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bhpc" hidePivotFieldList="1"/>
  <mc:AlternateContent xmlns:mc="http://schemas.openxmlformats.org/markup-compatibility/2006">
    <mc:Choice Requires="x15">
      <x15ac:absPath xmlns:x15ac="http://schemas.microsoft.com/office/spreadsheetml/2010/11/ac" url="https://d.docs.live.net/47fe6fa1c22f38ec/Coppo 1896/BHPC Manager/"/>
    </mc:Choice>
  </mc:AlternateContent>
  <xr:revisionPtr revIDLastSave="180" documentId="11_F1155919AB34A2A52E4E75945EC011D71B705D38" xr6:coauthVersionLast="47" xr6:coauthVersionMax="47" xr10:uidLastSave="{775783D7-6987-48AA-AA9B-7636C80492E3}"/>
  <bookViews>
    <workbookView xWindow="-110" yWindow="-110" windowWidth="38620" windowHeight="21100" tabRatio="719" firstSheet="11" activeTab="11" xr2:uid="{00000000-000D-0000-FFFF-FFFF00000000}"/>
  </bookViews>
  <sheets>
    <sheet name="bhpc_data" sheetId="31" state="hidden" r:id="rId1"/>
    <sheet name="clientData" sheetId="30" state="hidden" r:id="rId2"/>
    <sheet name="dgn_classFinal" sheetId="71" state="hidden" r:id="rId3"/>
    <sheet name="inventoryBHPC" sheetId="40" state="hidden" r:id="rId4"/>
    <sheet name="multimodal_data" sheetId="68" state="hidden" r:id="rId5"/>
    <sheet name="giftSet_productionData" sheetId="64" state="hidden" r:id="rId6"/>
    <sheet name="orderHistory" sheetId="35" state="hidden" r:id="rId7"/>
    <sheet name="salesHistory" sheetId="33" state="hidden" r:id="rId8"/>
    <sheet name="proformaModelFinal" sheetId="70" state="hidden" r:id="rId9"/>
    <sheet name="plModelFinal" sheetId="69" state="hidden" r:id="rId10"/>
    <sheet name="dgnFinalModel" sheetId="62" state="hidden" r:id="rId11"/>
    <sheet name="BHPC MANAGER" sheetId="37" r:id="rId12"/>
    <sheet name="utility" sheetId="61" state="hidden" r:id="rId13"/>
  </sheets>
  <functionGroups builtInGroupCount="19"/>
  <definedNames>
    <definedName name="_xlnm._FilterDatabase" localSheetId="11" hidden="1">'BHPC MANAGER'!$BZ$9:$CT$110</definedName>
    <definedName name="_xlnm._FilterDatabase" localSheetId="0" hidden="1">bhpc_data!#REF!</definedName>
    <definedName name="_xlnm._FilterDatabase" localSheetId="1" hidden="1">'clientData'!$A$1:$T$53</definedName>
    <definedName name="_xlnm.Print_Area" localSheetId="10">dgnFinalModel!$A$1:$J$71</definedName>
    <definedName name="_xlnm.Print_Area" localSheetId="3">inventoryBHPC!$B$177:$E$213</definedName>
    <definedName name="_xlnm.Print_Area" localSheetId="9">plModelFinal!$A$1:$M$160</definedName>
    <definedName name="_xlnm.Print_Area" localSheetId="8">proformaModelFinal!$A$1:$L$165</definedName>
    <definedName name="bhpcSKU" localSheetId="8">bhpc_data[sku]</definedName>
    <definedName name="BODYMIST">dgn_classFinal!$E$2:$E$9</definedName>
    <definedName name="BODYMIST_200">dgn_classFinal!$K$2:$K$5</definedName>
    <definedName name="BODYMIST_200_PESI">dgn_classFinal!$L$2:$L$5</definedName>
    <definedName name="BODYMIST_250">dgn_classFinal!$Q$2:$Q$5</definedName>
    <definedName name="BODYMIST_250_PESI">dgn_classFinal!$R$2:$R$5</definedName>
    <definedName name="clientName">OFFSET('clientData'!$A$2,0,0,COUNTA('clientData'!$A$2:$A$53),1)</definedName>
    <definedName name="currencyFields">'BHPC MANAGER'!$CC$10:$CC$110,'BHPC MANAGER'!$CE$10:$CE$110,'BHPC MANAGER'!$CT$10:$CT$110,'BHPC MANAGER'!$DA$11,'BHPC MANAGER'!$DA$14:$DA$15</definedName>
    <definedName name="DEODORANT">dgn_classFinal!$F$2:$F$52</definedName>
    <definedName name="DEODORANT_150">dgn_classFinal!$M$2:$M$20</definedName>
    <definedName name="DEODORANT_150_PESI">dgn_classFinal!$N$2:$N$20</definedName>
    <definedName name="DEODORANT_175">dgn_classFinal!$O$2:$O$24</definedName>
    <definedName name="DEODORANT_175_PESI">dgn_classFinal!$P$2:$P$24</definedName>
    <definedName name="DEODORANT_250">dgn_classFinal!$M$2:$M$5</definedName>
    <definedName name="DEODORANT_250_PESI">dgn_classFinal!$N$2:$N$5</definedName>
    <definedName name="DEODORANT_300">dgn_classFinal!$S$2:$S$7</definedName>
    <definedName name="DEODORANT_300_PESI">dgn_classFinal!$T$2:$T$7</definedName>
    <definedName name="DEODORANTPRESTIGE">dgn_classFinal!$G$2:$G$5</definedName>
    <definedName name="DEODORANTPRESTIGE_250">dgn_classFinal!$R$2:$R$5</definedName>
    <definedName name="DEODORANTPRESTIGE_250_PESI">dgn_classFinal!$S$2:$S$5</definedName>
    <definedName name="DEODORANTPRESTIGE_300">dgn_classFinal!$T$2:$T$5</definedName>
    <definedName name="DEODORANTPRESTIGE_300_PESI">dgn_classFinal!$U$2:$U$5</definedName>
    <definedName name="giftSetSku" localSheetId="9">giftsets_components[SKU]</definedName>
    <definedName name="giftSetSku" localSheetId="8">giftsets_components[SKU]</definedName>
    <definedName name="giftSetSku">giftsets_components[SKU]</definedName>
    <definedName name="onWaitingOrders">OFFSET('BHPC MANAGER'!$EP$10,0,0,COUNTA('BHPC MANAGER'!$EP$10:$EP$40)-COUNTBLANK('BHPC MANAGER'!$EP$10:$EP$40),1)</definedName>
    <definedName name="payment_method">OFFSET(utility!$B$2,0,0,COUNTA(utility!$B$2:$B$50),1)</definedName>
    <definedName name="PERFUME">dgn_classFinal!$D$2:$D$91</definedName>
    <definedName name="PERFUME_100">dgn_classFinal!$I$2:$I$44</definedName>
    <definedName name="PERFUME_100_PESI">dgn_classFinal!$J$2:$J$44</definedName>
    <definedName name="PERFUME_50">dgn_classFinal!$G$2:$G$34</definedName>
    <definedName name="PERFUME_50_PESI">dgn_classFinal!$H$2:$H$34</definedName>
    <definedName name="preparingOrders">OFFSET('BHPC MANAGER'!$EO$10,0,0,COUNTA('BHPC MANAGER'!$EO$10:$EO$40)-COUNTBLANK('BHPC MANAGER'!$EO$10:$EO$40),1)</definedName>
    <definedName name="ss" localSheetId="8">bhpc_data[sku]</definedName>
    <definedName name="_xlnm.Print_Titles" localSheetId="8">proformaModelFinal!$1:$12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6" i="70" l="1"/>
  <c r="D25" i="70"/>
  <c r="H14" i="70" a="1"/>
  <c r="H14" i="70" s="1"/>
  <c r="G14" i="70" a="1"/>
  <c r="G14" i="70" s="1"/>
  <c r="B14" i="70" a="1"/>
  <c r="B14" i="70" s="1"/>
  <c r="A14" i="70" a="1"/>
  <c r="A14" i="70" s="1"/>
  <c r="Z14" i="70" a="1"/>
  <c r="Z14" i="70" s="1"/>
  <c r="J14" i="70" s="1"/>
  <c r="L12" i="69" a="1"/>
  <c r="L12" i="69" s="1"/>
  <c r="G12" i="69" a="1"/>
  <c r="G12" i="69" s="1"/>
  <c r="J12" i="69" s="1"/>
  <c r="B12" i="69" a="1"/>
  <c r="B12" i="69" s="1"/>
  <c r="A12" i="69" a="1"/>
  <c r="A12" i="69" s="1"/>
  <c r="Z12" i="69" a="1"/>
  <c r="Z12" i="69" s="1"/>
  <c r="M12" i="69" s="1"/>
  <c r="K14" i="70" l="1"/>
  <c r="I12" i="69"/>
  <c r="K12" i="69"/>
  <c r="I14" i="70"/>
  <c r="H12" i="69"/>
  <c r="H17" i="70"/>
  <c r="H15" i="70"/>
  <c r="H18" i="70"/>
  <c r="H16" i="70"/>
  <c r="G17" i="70"/>
  <c r="G15" i="70"/>
  <c r="G18" i="70"/>
  <c r="G16" i="70"/>
  <c r="B17" i="70"/>
  <c r="B15" i="70"/>
  <c r="B18" i="70"/>
  <c r="B16" i="70"/>
  <c r="A17" i="70"/>
  <c r="A15" i="70"/>
  <c r="A18" i="70"/>
  <c r="A16" i="70"/>
  <c r="Z17" i="70"/>
  <c r="J17" i="70" s="1"/>
  <c r="Z15" i="70"/>
  <c r="J15" i="70" s="1"/>
  <c r="Z18" i="70"/>
  <c r="J18" i="70" s="1"/>
  <c r="Z16" i="70"/>
  <c r="J16" i="70" s="1"/>
  <c r="L15" i="69"/>
  <c r="L13" i="69"/>
  <c r="L16" i="69"/>
  <c r="L14" i="69"/>
  <c r="G15" i="69"/>
  <c r="G13" i="69"/>
  <c r="G16" i="69"/>
  <c r="G14" i="69"/>
  <c r="B15" i="69"/>
  <c r="B13" i="69"/>
  <c r="B16" i="69"/>
  <c r="B14" i="69"/>
  <c r="A15" i="69"/>
  <c r="A13" i="69"/>
  <c r="A16" i="69"/>
  <c r="A14" i="69"/>
  <c r="Z15" i="69"/>
  <c r="M15" i="69" s="1"/>
  <c r="Z13" i="69"/>
  <c r="M13" i="69" s="1"/>
  <c r="Z16" i="69"/>
  <c r="M16" i="69" s="1"/>
  <c r="Z14" i="69"/>
  <c r="M14" i="69" s="1"/>
  <c r="B32" i="62" l="1" a="1"/>
  <c r="B32" i="62" s="1"/>
  <c r="B31" i="62" a="1"/>
  <c r="J14" i="69"/>
  <c r="H14" i="69"/>
  <c r="K14" i="69"/>
  <c r="I14" i="69"/>
  <c r="J13" i="69"/>
  <c r="I32" i="62" s="1" a="1"/>
  <c r="H13" i="69"/>
  <c r="G32" i="62" s="1" a="1"/>
  <c r="K13" i="69"/>
  <c r="I13" i="69"/>
  <c r="H32" i="62" s="1" a="1"/>
  <c r="K16" i="70"/>
  <c r="I16" i="70"/>
  <c r="I15" i="70"/>
  <c r="K15" i="70"/>
  <c r="J16" i="69"/>
  <c r="H16" i="69"/>
  <c r="K16" i="69"/>
  <c r="I16" i="69"/>
  <c r="J15" i="69"/>
  <c r="H15" i="69"/>
  <c r="K15" i="69"/>
  <c r="I15" i="69"/>
  <c r="K18" i="70"/>
  <c r="I18" i="70"/>
  <c r="I17" i="70"/>
  <c r="K17" i="70"/>
  <c r="CG10" i="37"/>
  <c r="CH10" i="37"/>
  <c r="CI10" i="37"/>
  <c r="CJ10" i="37"/>
  <c r="CK10" i="37"/>
  <c r="CL10" i="37"/>
  <c r="CM10" i="37"/>
  <c r="CN10" i="37"/>
  <c r="CO10" i="37"/>
  <c r="CP10" i="37"/>
  <c r="H32" i="62" l="1"/>
  <c r="B31" i="62"/>
  <c r="I32" i="62"/>
  <c r="G32" i="62"/>
  <c r="CG12" i="37"/>
  <c r="CH12" i="37"/>
  <c r="CI12" i="37"/>
  <c r="CJ12" i="37"/>
  <c r="CK12" i="37"/>
  <c r="CL12" i="37"/>
  <c r="CM12" i="37"/>
  <c r="CN12" i="37"/>
  <c r="CO12" i="37"/>
  <c r="CP12" i="37"/>
  <c r="CG14" i="37"/>
  <c r="CH14" i="37"/>
  <c r="CI14" i="37"/>
  <c r="CJ14" i="37"/>
  <c r="CK14" i="37"/>
  <c r="CL14" i="37"/>
  <c r="CM14" i="37"/>
  <c r="CN14" i="37"/>
  <c r="CO14" i="37"/>
  <c r="CP14" i="37"/>
  <c r="CG15" i="37"/>
  <c r="CH15" i="37"/>
  <c r="CI15" i="37"/>
  <c r="CJ15" i="37"/>
  <c r="CK15" i="37"/>
  <c r="CL15" i="37"/>
  <c r="CM15" i="37"/>
  <c r="CN15" i="37"/>
  <c r="CO15" i="37"/>
  <c r="CP15" i="37"/>
  <c r="CG13" i="37"/>
  <c r="CH13" i="37"/>
  <c r="CI13" i="37"/>
  <c r="CJ13" i="37"/>
  <c r="CK13" i="37"/>
  <c r="CL13" i="37"/>
  <c r="CM13" i="37"/>
  <c r="CN13" i="37"/>
  <c r="CO13" i="37"/>
  <c r="CP13" i="37"/>
  <c r="CG16" i="37"/>
  <c r="CH16" i="37"/>
  <c r="CI16" i="37"/>
  <c r="CJ16" i="37"/>
  <c r="CK16" i="37"/>
  <c r="CL16" i="37"/>
  <c r="CM16" i="37"/>
  <c r="CN16" i="37"/>
  <c r="CO16" i="37"/>
  <c r="CP16" i="37"/>
  <c r="CG17" i="37"/>
  <c r="CH17" i="37"/>
  <c r="CI17" i="37"/>
  <c r="CJ17" i="37"/>
  <c r="CK17" i="37"/>
  <c r="CL17" i="37"/>
  <c r="CM17" i="37"/>
  <c r="CN17" i="37"/>
  <c r="CO17" i="37"/>
  <c r="CP17" i="37"/>
  <c r="CG18" i="37"/>
  <c r="CH18" i="37"/>
  <c r="CI18" i="37"/>
  <c r="CJ18" i="37"/>
  <c r="CK18" i="37"/>
  <c r="CL18" i="37"/>
  <c r="CM18" i="37"/>
  <c r="CN18" i="37"/>
  <c r="CO18" i="37"/>
  <c r="CP18" i="37"/>
  <c r="CG21" i="37"/>
  <c r="CH21" i="37"/>
  <c r="CI21" i="37"/>
  <c r="CJ21" i="37"/>
  <c r="CK21" i="37"/>
  <c r="CL21" i="37"/>
  <c r="CM21" i="37"/>
  <c r="CN21" i="37"/>
  <c r="CO21" i="37"/>
  <c r="CP21" i="37"/>
  <c r="CG48" i="37"/>
  <c r="CH48" i="37"/>
  <c r="CI48" i="37"/>
  <c r="CJ48" i="37"/>
  <c r="CK48" i="37"/>
  <c r="CL48" i="37"/>
  <c r="CM48" i="37"/>
  <c r="CN48" i="37"/>
  <c r="CO48" i="37"/>
  <c r="CP48" i="37"/>
  <c r="CG36" i="37"/>
  <c r="CH36" i="37"/>
  <c r="CI36" i="37"/>
  <c r="CJ36" i="37"/>
  <c r="CK36" i="37"/>
  <c r="CL36" i="37"/>
  <c r="CM36" i="37"/>
  <c r="CN36" i="37"/>
  <c r="CO36" i="37"/>
  <c r="CP36" i="37"/>
  <c r="CG37" i="37"/>
  <c r="CH37" i="37"/>
  <c r="CI37" i="37"/>
  <c r="CJ37" i="37"/>
  <c r="CK37" i="37"/>
  <c r="CL37" i="37"/>
  <c r="CM37" i="37"/>
  <c r="CN37" i="37"/>
  <c r="CO37" i="37"/>
  <c r="CP37" i="37"/>
  <c r="CG31" i="37"/>
  <c r="CH31" i="37"/>
  <c r="CI31" i="37"/>
  <c r="CJ31" i="37"/>
  <c r="CK31" i="37"/>
  <c r="CL31" i="37"/>
  <c r="CM31" i="37"/>
  <c r="CN31" i="37"/>
  <c r="CO31" i="37"/>
  <c r="CP31" i="37"/>
  <c r="CG34" i="37"/>
  <c r="CH34" i="37"/>
  <c r="CI34" i="37"/>
  <c r="CJ34" i="37"/>
  <c r="CK34" i="37"/>
  <c r="CL34" i="37"/>
  <c r="CM34" i="37"/>
  <c r="CN34" i="37"/>
  <c r="CO34" i="37"/>
  <c r="CP34" i="37"/>
  <c r="F154" i="70" l="1"/>
  <c r="H156" i="70" s="1"/>
  <c r="A154" i="69" l="1"/>
  <c r="H152" i="70" l="1"/>
  <c r="H158" i="70" s="1"/>
  <c r="C156" i="69"/>
  <c r="A156" i="69"/>
  <c r="D22" i="70" s="1"/>
  <c r="C154" i="69"/>
  <c r="D24" i="70" s="1"/>
  <c r="CA35" i="37"/>
  <c r="CA49" i="37"/>
  <c r="CA50" i="37"/>
  <c r="CA51" i="37"/>
  <c r="CA31" i="37"/>
  <c r="CA34" i="37"/>
  <c r="CA36" i="37"/>
  <c r="CA37" i="37"/>
  <c r="D154" i="70" l="1"/>
  <c r="H154" i="70"/>
  <c r="E156" i="69"/>
  <c r="D23" i="70" s="1"/>
  <c r="CU110" i="37" l="1"/>
  <c r="CU109" i="37"/>
  <c r="CU108" i="37"/>
  <c r="CU107" i="37"/>
  <c r="CU106" i="37"/>
  <c r="CU105" i="37"/>
  <c r="CU104" i="37"/>
  <c r="CU103" i="37"/>
  <c r="CU102" i="37"/>
  <c r="CU101" i="37"/>
  <c r="CU100" i="37"/>
  <c r="CU99" i="37"/>
  <c r="CU98" i="37"/>
  <c r="CU97" i="37"/>
  <c r="CU96" i="37"/>
  <c r="CU95" i="37"/>
  <c r="CU94" i="37"/>
  <c r="CU93" i="37"/>
  <c r="CU92" i="37"/>
  <c r="CU91" i="37"/>
  <c r="CU90" i="37"/>
  <c r="CU89" i="37"/>
  <c r="CU88" i="37"/>
  <c r="EF400" i="37" a="1"/>
  <c r="EF400" i="37" s="1"/>
  <c r="EE400" i="37" a="1"/>
  <c r="EE400" i="37" s="1"/>
  <c r="EF399" i="37" a="1"/>
  <c r="EF399" i="37" s="1"/>
  <c r="EE399" i="37" a="1"/>
  <c r="EE399" i="37" s="1"/>
  <c r="EF398" i="37" a="1"/>
  <c r="EF398" i="37" s="1"/>
  <c r="EE398" i="37" a="1"/>
  <c r="EE398" i="37" s="1"/>
  <c r="EF397" i="37" a="1"/>
  <c r="EF397" i="37" s="1"/>
  <c r="EE397" i="37" a="1"/>
  <c r="EE397" i="37" s="1"/>
  <c r="EF396" i="37" a="1"/>
  <c r="EF396" i="37" s="1"/>
  <c r="EE396" i="37" a="1"/>
  <c r="EE396" i="37" s="1"/>
  <c r="EF395" i="37" a="1"/>
  <c r="EF395" i="37" s="1"/>
  <c r="EE395" i="37" a="1"/>
  <c r="EE395" i="37" s="1"/>
  <c r="EF394" i="37" a="1"/>
  <c r="EF394" i="37" s="1"/>
  <c r="EE394" i="37" a="1"/>
  <c r="EE394" i="37" s="1"/>
  <c r="EF393" i="37" a="1"/>
  <c r="EF393" i="37" s="1"/>
  <c r="EE393" i="37" a="1"/>
  <c r="EE393" i="37" s="1"/>
  <c r="EF392" i="37" a="1"/>
  <c r="EF392" i="37" s="1"/>
  <c r="EE392" i="37" a="1"/>
  <c r="EE392" i="37" s="1"/>
  <c r="EF391" i="37" a="1"/>
  <c r="EF391" i="37" s="1"/>
  <c r="EE391" i="37" a="1"/>
  <c r="EE391" i="37" s="1"/>
  <c r="EK391" i="37" s="1"/>
  <c r="EF390" i="37" a="1"/>
  <c r="EF390" i="37" s="1"/>
  <c r="EE390" i="37" a="1"/>
  <c r="EE390" i="37" s="1"/>
  <c r="EF389" i="37" a="1"/>
  <c r="EF389" i="37" s="1"/>
  <c r="EE389" i="37" a="1"/>
  <c r="EE389" i="37" s="1"/>
  <c r="EK389" i="37" s="1"/>
  <c r="EF388" i="37" a="1"/>
  <c r="EF388" i="37" s="1"/>
  <c r="EE388" i="37" a="1"/>
  <c r="EE388" i="37" s="1"/>
  <c r="EF387" i="37" a="1"/>
  <c r="EF387" i="37" s="1"/>
  <c r="EE387" i="37" a="1"/>
  <c r="EE387" i="37" s="1"/>
  <c r="EK387" i="37" s="1"/>
  <c r="EF386" i="37" a="1"/>
  <c r="EF386" i="37" s="1"/>
  <c r="EE386" i="37" a="1"/>
  <c r="EE386" i="37" s="1"/>
  <c r="EF385" i="37" a="1"/>
  <c r="EF385" i="37" s="1"/>
  <c r="EE385" i="37" a="1"/>
  <c r="EE385" i="37" s="1"/>
  <c r="EK385" i="37" s="1"/>
  <c r="EF384" i="37" a="1"/>
  <c r="EF384" i="37" s="1"/>
  <c r="EE384" i="37" a="1"/>
  <c r="EE384" i="37" s="1"/>
  <c r="EF383" i="37" a="1"/>
  <c r="EF383" i="37" s="1"/>
  <c r="EE383" i="37" a="1"/>
  <c r="EE383" i="37" s="1"/>
  <c r="EK383" i="37" s="1"/>
  <c r="EF382" i="37" a="1"/>
  <c r="EF382" i="37" s="1"/>
  <c r="EE382" i="37" a="1"/>
  <c r="EE382" i="37" s="1"/>
  <c r="EF381" i="37" a="1"/>
  <c r="EF381" i="37" s="1"/>
  <c r="EE381" i="37" a="1"/>
  <c r="EE381" i="37" s="1"/>
  <c r="EK381" i="37" s="1"/>
  <c r="EF380" i="37" a="1"/>
  <c r="EF380" i="37" s="1"/>
  <c r="EE380" i="37" a="1"/>
  <c r="EE380" i="37" s="1"/>
  <c r="EF379" i="37" a="1"/>
  <c r="EF379" i="37" s="1"/>
  <c r="EE379" i="37" a="1"/>
  <c r="EE379" i="37" s="1"/>
  <c r="EF378" i="37" a="1"/>
  <c r="EF378" i="37" s="1"/>
  <c r="EE378" i="37" a="1"/>
  <c r="EE378" i="37" s="1"/>
  <c r="EF377" i="37" a="1"/>
  <c r="EF377" i="37" s="1"/>
  <c r="EE377" i="37" a="1"/>
  <c r="EE377" i="37" s="1"/>
  <c r="EF376" i="37" a="1"/>
  <c r="EF376" i="37" s="1"/>
  <c r="EE376" i="37" a="1"/>
  <c r="EE376" i="37" s="1"/>
  <c r="EF375" i="37" a="1"/>
  <c r="EF375" i="37" s="1"/>
  <c r="EE375" i="37" a="1"/>
  <c r="EE375" i="37" s="1"/>
  <c r="EF374" i="37" a="1"/>
  <c r="EF374" i="37" s="1"/>
  <c r="EE374" i="37" a="1"/>
  <c r="EE374" i="37" s="1"/>
  <c r="EF373" i="37" a="1"/>
  <c r="EF373" i="37" s="1"/>
  <c r="EE373" i="37" a="1"/>
  <c r="EE373" i="37" s="1"/>
  <c r="EF372" i="37" a="1"/>
  <c r="EF372" i="37" s="1"/>
  <c r="EE372" i="37" a="1"/>
  <c r="EE372" i="37" s="1"/>
  <c r="EF371" i="37" a="1"/>
  <c r="EF371" i="37" s="1"/>
  <c r="EE371" i="37" a="1"/>
  <c r="EE371" i="37" s="1"/>
  <c r="EF370" i="37" a="1"/>
  <c r="EF370" i="37" s="1"/>
  <c r="EE370" i="37" a="1"/>
  <c r="EE370" i="37" s="1"/>
  <c r="EF369" i="37" a="1"/>
  <c r="EF369" i="37" s="1"/>
  <c r="EE369" i="37" a="1"/>
  <c r="EE369" i="37" s="1"/>
  <c r="EF368" i="37" a="1"/>
  <c r="EF368" i="37" s="1"/>
  <c r="EE368" i="37" a="1"/>
  <c r="EE368" i="37" s="1"/>
  <c r="EF367" i="37" a="1"/>
  <c r="EF367" i="37" s="1"/>
  <c r="EE367" i="37" a="1"/>
  <c r="EE367" i="37" s="1"/>
  <c r="EF366" i="37" a="1"/>
  <c r="EF366" i="37" s="1"/>
  <c r="EE366" i="37" a="1"/>
  <c r="EE366" i="37" s="1"/>
  <c r="EF365" i="37" a="1"/>
  <c r="EF365" i="37" s="1"/>
  <c r="EE365" i="37" a="1"/>
  <c r="EE365" i="37" s="1"/>
  <c r="EF364" i="37" a="1"/>
  <c r="EF364" i="37" s="1"/>
  <c r="EE364" i="37" a="1"/>
  <c r="EE364" i="37" s="1"/>
  <c r="EF363" i="37" a="1"/>
  <c r="EF363" i="37" s="1"/>
  <c r="EE363" i="37" a="1"/>
  <c r="EE363" i="37" s="1"/>
  <c r="EF362" i="37" a="1"/>
  <c r="EF362" i="37" s="1"/>
  <c r="EE362" i="37" a="1"/>
  <c r="EE362" i="37" s="1"/>
  <c r="EF361" i="37" a="1"/>
  <c r="EF361" i="37" s="1"/>
  <c r="EE361" i="37" a="1"/>
  <c r="EE361" i="37" s="1"/>
  <c r="EF360" i="37" a="1"/>
  <c r="EF360" i="37" s="1"/>
  <c r="EE360" i="37" a="1"/>
  <c r="EE360" i="37" s="1"/>
  <c r="EF359" i="37" a="1"/>
  <c r="EF359" i="37" s="1"/>
  <c r="EE359" i="37" a="1"/>
  <c r="EE359" i="37" s="1"/>
  <c r="EF358" i="37" a="1"/>
  <c r="EF358" i="37" s="1"/>
  <c r="EE358" i="37" a="1"/>
  <c r="EE358" i="37" s="1"/>
  <c r="EF357" i="37" a="1"/>
  <c r="EF357" i="37" s="1"/>
  <c r="EE357" i="37" a="1"/>
  <c r="EE357" i="37" s="1"/>
  <c r="EF356" i="37" a="1"/>
  <c r="EF356" i="37" s="1"/>
  <c r="EE356" i="37" a="1"/>
  <c r="EE356" i="37" s="1"/>
  <c r="EF355" i="37" a="1"/>
  <c r="EF355" i="37" s="1"/>
  <c r="EE355" i="37" a="1"/>
  <c r="EE355" i="37" s="1"/>
  <c r="EF354" i="37" a="1"/>
  <c r="EF354" i="37" s="1"/>
  <c r="EE354" i="37" a="1"/>
  <c r="EE354" i="37" s="1"/>
  <c r="EF353" i="37" a="1"/>
  <c r="EF353" i="37" s="1"/>
  <c r="EE353" i="37" a="1"/>
  <c r="EE353" i="37" s="1"/>
  <c r="EF352" i="37" a="1"/>
  <c r="EF352" i="37" s="1"/>
  <c r="EE352" i="37" a="1"/>
  <c r="EE352" i="37" s="1"/>
  <c r="EF351" i="37" a="1"/>
  <c r="EF351" i="37" s="1"/>
  <c r="EE351" i="37" a="1"/>
  <c r="EE351" i="37" s="1"/>
  <c r="EF350" i="37" a="1"/>
  <c r="EF350" i="37" s="1"/>
  <c r="EE350" i="37" a="1"/>
  <c r="EE350" i="37" s="1"/>
  <c r="EF349" i="37" a="1"/>
  <c r="EF349" i="37" s="1"/>
  <c r="EE349" i="37" a="1"/>
  <c r="EE349" i="37" s="1"/>
  <c r="EF348" i="37" a="1"/>
  <c r="EF348" i="37" s="1"/>
  <c r="EE348" i="37" a="1"/>
  <c r="EE348" i="37" s="1"/>
  <c r="EF347" i="37" a="1"/>
  <c r="EF347" i="37" s="1"/>
  <c r="EE347" i="37" a="1"/>
  <c r="EE347" i="37" s="1"/>
  <c r="EF346" i="37" a="1"/>
  <c r="EF346" i="37" s="1"/>
  <c r="EE346" i="37" a="1"/>
  <c r="EE346" i="37" s="1"/>
  <c r="EF345" i="37" a="1"/>
  <c r="EF345" i="37" s="1"/>
  <c r="EE345" i="37" a="1"/>
  <c r="EE345" i="37" s="1"/>
  <c r="EF344" i="37" a="1"/>
  <c r="EF344" i="37" s="1"/>
  <c r="EE344" i="37" a="1"/>
  <c r="EE344" i="37" s="1"/>
  <c r="EF343" i="37" a="1"/>
  <c r="EF343" i="37" s="1"/>
  <c r="EE343" i="37" a="1"/>
  <c r="EE343" i="37" s="1"/>
  <c r="EF342" i="37" a="1"/>
  <c r="EF342" i="37" s="1"/>
  <c r="EE342" i="37" a="1"/>
  <c r="EE342" i="37" s="1"/>
  <c r="EF341" i="37" a="1"/>
  <c r="EF341" i="37" s="1"/>
  <c r="EE341" i="37" a="1"/>
  <c r="EE341" i="37" s="1"/>
  <c r="EF340" i="37" a="1"/>
  <c r="EF340" i="37" s="1"/>
  <c r="EE340" i="37" a="1"/>
  <c r="EE340" i="37" s="1"/>
  <c r="EF339" i="37" a="1"/>
  <c r="EF339" i="37" s="1"/>
  <c r="EE339" i="37" a="1"/>
  <c r="EE339" i="37" s="1"/>
  <c r="EF338" i="37" a="1"/>
  <c r="EF338" i="37" s="1"/>
  <c r="EE338" i="37" a="1"/>
  <c r="EE338" i="37" s="1"/>
  <c r="EF337" i="37" a="1"/>
  <c r="EF337" i="37" s="1"/>
  <c r="EE337" i="37" a="1"/>
  <c r="EE337" i="37" s="1"/>
  <c r="EK337" i="37" s="1"/>
  <c r="EF336" i="37" a="1"/>
  <c r="EF336" i="37" s="1"/>
  <c r="EE336" i="37" a="1"/>
  <c r="EE336" i="37" s="1"/>
  <c r="EF335" i="37" a="1"/>
  <c r="EF335" i="37" s="1"/>
  <c r="EE335" i="37" a="1"/>
  <c r="EE335" i="37" s="1"/>
  <c r="EK335" i="37" s="1"/>
  <c r="EF334" i="37" a="1"/>
  <c r="EF334" i="37" s="1"/>
  <c r="EE334" i="37" a="1"/>
  <c r="EE334" i="37" s="1"/>
  <c r="EF333" i="37" a="1"/>
  <c r="EF333" i="37" s="1"/>
  <c r="EE333" i="37" a="1"/>
  <c r="EE333" i="37" s="1"/>
  <c r="EK333" i="37" s="1"/>
  <c r="EF332" i="37" a="1"/>
  <c r="EF332" i="37" s="1"/>
  <c r="EE332" i="37" a="1"/>
  <c r="EE332" i="37" s="1"/>
  <c r="EF331" i="37" a="1"/>
  <c r="EF331" i="37" s="1"/>
  <c r="EE331" i="37" a="1"/>
  <c r="EE331" i="37" s="1"/>
  <c r="EK331" i="37" s="1"/>
  <c r="EF330" i="37" a="1"/>
  <c r="EF330" i="37" s="1"/>
  <c r="EE330" i="37" a="1"/>
  <c r="EE330" i="37" s="1"/>
  <c r="EF329" i="37" a="1"/>
  <c r="EF329" i="37" s="1"/>
  <c r="EE329" i="37" a="1"/>
  <c r="EE329" i="37" s="1"/>
  <c r="EK329" i="37" s="1"/>
  <c r="EF328" i="37" a="1"/>
  <c r="EF328" i="37" s="1"/>
  <c r="EE328" i="37" a="1"/>
  <c r="EE328" i="37" s="1"/>
  <c r="EF327" i="37" a="1"/>
  <c r="EF327" i="37" s="1"/>
  <c r="EE327" i="37" a="1"/>
  <c r="EE327" i="37" s="1"/>
  <c r="EK327" i="37" s="1"/>
  <c r="EF326" i="37" a="1"/>
  <c r="EF326" i="37" s="1"/>
  <c r="EE326" i="37" a="1"/>
  <c r="EE326" i="37" s="1"/>
  <c r="EF325" i="37" a="1"/>
  <c r="EF325" i="37" s="1"/>
  <c r="EE325" i="37" a="1"/>
  <c r="EE325" i="37" s="1"/>
  <c r="EK325" i="37" s="1"/>
  <c r="EF324" i="37" a="1"/>
  <c r="EF324" i="37" s="1"/>
  <c r="EE324" i="37" a="1"/>
  <c r="EE324" i="37" s="1"/>
  <c r="EF323" i="37" a="1"/>
  <c r="EF323" i="37" s="1"/>
  <c r="EE323" i="37" a="1"/>
  <c r="EE323" i="37" s="1"/>
  <c r="EK323" i="37" s="1"/>
  <c r="EF322" i="37" a="1"/>
  <c r="EF322" i="37" s="1"/>
  <c r="EE322" i="37" a="1"/>
  <c r="EE322" i="37" s="1"/>
  <c r="EF321" i="37" a="1"/>
  <c r="EF321" i="37" s="1"/>
  <c r="EE321" i="37" a="1"/>
  <c r="EE321" i="37" s="1"/>
  <c r="EK321" i="37" s="1"/>
  <c r="EF320" i="37" a="1"/>
  <c r="EF320" i="37" s="1"/>
  <c r="EE320" i="37" a="1"/>
  <c r="EE320" i="37" s="1"/>
  <c r="EF319" i="37" a="1"/>
  <c r="EF319" i="37" s="1"/>
  <c r="EE319" i="37" a="1"/>
  <c r="EE319" i="37" s="1"/>
  <c r="EK319" i="37" s="1"/>
  <c r="EF318" i="37" a="1"/>
  <c r="EF318" i="37" s="1"/>
  <c r="EE318" i="37" a="1"/>
  <c r="EE318" i="37" s="1"/>
  <c r="EF317" i="37" a="1"/>
  <c r="EF317" i="37" s="1"/>
  <c r="EE317" i="37" a="1"/>
  <c r="EE317" i="37" s="1"/>
  <c r="EK317" i="37" s="1"/>
  <c r="EF316" i="37" a="1"/>
  <c r="EF316" i="37" s="1"/>
  <c r="EE316" i="37" a="1"/>
  <c r="EE316" i="37" s="1"/>
  <c r="EF315" i="37" a="1"/>
  <c r="EF315" i="37" s="1"/>
  <c r="EE315" i="37" a="1"/>
  <c r="EE315" i="37" s="1"/>
  <c r="EK315" i="37" s="1"/>
  <c r="EF314" i="37" a="1"/>
  <c r="EF314" i="37" s="1"/>
  <c r="EE314" i="37" a="1"/>
  <c r="EE314" i="37" s="1"/>
  <c r="EF313" i="37" a="1"/>
  <c r="EF313" i="37" s="1"/>
  <c r="EE313" i="37" a="1"/>
  <c r="EE313" i="37" s="1"/>
  <c r="EK313" i="37" s="1"/>
  <c r="EF312" i="37" a="1"/>
  <c r="EF312" i="37" s="1"/>
  <c r="EE312" i="37" a="1"/>
  <c r="EE312" i="37" s="1"/>
  <c r="EF311" i="37" a="1"/>
  <c r="EF311" i="37" s="1"/>
  <c r="EE311" i="37" a="1"/>
  <c r="EE311" i="37" s="1"/>
  <c r="EI311" i="37" s="1"/>
  <c r="EF310" i="37" a="1"/>
  <c r="EF310" i="37" s="1"/>
  <c r="EE310" i="37" a="1"/>
  <c r="EE310" i="37" s="1"/>
  <c r="EI310" i="37" s="1"/>
  <c r="EF309" i="37" a="1"/>
  <c r="EF309" i="37" s="1"/>
  <c r="EE309" i="37" a="1"/>
  <c r="EE309" i="37" s="1"/>
  <c r="EI309" i="37" s="1"/>
  <c r="EF308" i="37" a="1"/>
  <c r="EF308" i="37" s="1"/>
  <c r="EE308" i="37" a="1"/>
  <c r="EE308" i="37" s="1"/>
  <c r="EI308" i="37" s="1"/>
  <c r="EF307" i="37" a="1"/>
  <c r="EF307" i="37" s="1"/>
  <c r="EE307" i="37" a="1"/>
  <c r="EE307" i="37" s="1"/>
  <c r="EI307" i="37" s="1"/>
  <c r="EF306" i="37" a="1"/>
  <c r="EF306" i="37" s="1"/>
  <c r="EE306" i="37" a="1"/>
  <c r="EE306" i="37" s="1"/>
  <c r="EI306" i="37" s="1"/>
  <c r="EF305" i="37" a="1"/>
  <c r="EF305" i="37" s="1"/>
  <c r="EE305" i="37" a="1"/>
  <c r="EE305" i="37" s="1"/>
  <c r="EI305" i="37" s="1"/>
  <c r="EF304" i="37" a="1"/>
  <c r="EF304" i="37" s="1"/>
  <c r="EE304" i="37" a="1"/>
  <c r="EE304" i="37" s="1"/>
  <c r="EI304" i="37" s="1"/>
  <c r="EF303" i="37" a="1"/>
  <c r="EF303" i="37" s="1"/>
  <c r="EE303" i="37" a="1"/>
  <c r="EE303" i="37" s="1"/>
  <c r="EF302" i="37" a="1"/>
  <c r="EF302" i="37" s="1"/>
  <c r="EE302" i="37" a="1"/>
  <c r="EE302" i="37" s="1"/>
  <c r="EI302" i="37" s="1"/>
  <c r="EF301" i="37" a="1"/>
  <c r="EF301" i="37" s="1"/>
  <c r="EE301" i="37" a="1"/>
  <c r="EE301" i="37" s="1"/>
  <c r="EI301" i="37" s="1"/>
  <c r="EF300" i="37" a="1"/>
  <c r="EF300" i="37" s="1"/>
  <c r="EE300" i="37" a="1"/>
  <c r="EE300" i="37" s="1"/>
  <c r="EI300" i="37" s="1"/>
  <c r="EF299" i="37" a="1"/>
  <c r="EF299" i="37" s="1"/>
  <c r="EE299" i="37" a="1"/>
  <c r="EE299" i="37" s="1"/>
  <c r="EF298" i="37" a="1"/>
  <c r="EF298" i="37" s="1"/>
  <c r="EE298" i="37" a="1"/>
  <c r="EE298" i="37" s="1"/>
  <c r="EF297" i="37" a="1"/>
  <c r="EF297" i="37" s="1"/>
  <c r="EE297" i="37" a="1"/>
  <c r="EE297" i="37" s="1"/>
  <c r="EI297" i="37" s="1"/>
  <c r="EF296" i="37" a="1"/>
  <c r="EF296" i="37" s="1"/>
  <c r="EE296" i="37" a="1"/>
  <c r="EE296" i="37" s="1"/>
  <c r="EF295" i="37" a="1"/>
  <c r="EF295" i="37" s="1"/>
  <c r="EE295" i="37" a="1"/>
  <c r="EE295" i="37" s="1"/>
  <c r="EI295" i="37" s="1"/>
  <c r="EF294" i="37" a="1"/>
  <c r="EF294" i="37" s="1"/>
  <c r="EE294" i="37" a="1"/>
  <c r="EE294" i="37" s="1"/>
  <c r="EF293" i="37" a="1"/>
  <c r="EF293" i="37" s="1"/>
  <c r="EE293" i="37" a="1"/>
  <c r="EE293" i="37" s="1"/>
  <c r="EI293" i="37" s="1"/>
  <c r="EF292" i="37" a="1"/>
  <c r="EF292" i="37" s="1"/>
  <c r="EE292" i="37" a="1"/>
  <c r="EE292" i="37" s="1"/>
  <c r="EF291" i="37" a="1"/>
  <c r="EF291" i="37" s="1"/>
  <c r="EE291" i="37" a="1"/>
  <c r="EE291" i="37" s="1"/>
  <c r="EF290" i="37" a="1"/>
  <c r="EF290" i="37" s="1"/>
  <c r="EE290" i="37" a="1"/>
  <c r="EE290" i="37" s="1"/>
  <c r="EF289" i="37" a="1"/>
  <c r="EF289" i="37" s="1"/>
  <c r="EE289" i="37" a="1"/>
  <c r="EE289" i="37" s="1"/>
  <c r="EF288" i="37" a="1"/>
  <c r="EF288" i="37" s="1"/>
  <c r="EE288" i="37" a="1"/>
  <c r="EE288" i="37" s="1"/>
  <c r="EF287" i="37" a="1"/>
  <c r="EF287" i="37" s="1"/>
  <c r="EE287" i="37" a="1"/>
  <c r="EE287" i="37" s="1"/>
  <c r="EF286" i="37" a="1"/>
  <c r="EF286" i="37" s="1"/>
  <c r="EE286" i="37" a="1"/>
  <c r="EE286" i="37" s="1"/>
  <c r="EF285" i="37" a="1"/>
  <c r="EF285" i="37" s="1"/>
  <c r="EE285" i="37" a="1"/>
  <c r="EE285" i="37" s="1"/>
  <c r="EF284" i="37" a="1"/>
  <c r="EF284" i="37" s="1"/>
  <c r="EE284" i="37" a="1"/>
  <c r="EE284" i="37" s="1"/>
  <c r="EF283" i="37" a="1"/>
  <c r="EF283" i="37" s="1"/>
  <c r="EE283" i="37" a="1"/>
  <c r="EE283" i="37" s="1"/>
  <c r="EI283" i="37" s="1"/>
  <c r="EF282" i="37" a="1"/>
  <c r="EF282" i="37" s="1"/>
  <c r="EE282" i="37" a="1"/>
  <c r="EE282" i="37" s="1"/>
  <c r="EF281" i="37" a="1"/>
  <c r="EF281" i="37" s="1"/>
  <c r="EE281" i="37" a="1"/>
  <c r="EE281" i="37" s="1"/>
  <c r="EI281" i="37" s="1"/>
  <c r="EF280" i="37" a="1"/>
  <c r="EF280" i="37" s="1"/>
  <c r="EE280" i="37" a="1"/>
  <c r="EE280" i="37" s="1"/>
  <c r="EF279" i="37" a="1"/>
  <c r="EF279" i="37" s="1"/>
  <c r="EE279" i="37" a="1"/>
  <c r="EE279" i="37" s="1"/>
  <c r="EF278" i="37" a="1"/>
  <c r="EF278" i="37" s="1"/>
  <c r="EE278" i="37" a="1"/>
  <c r="EE278" i="37" s="1"/>
  <c r="EF277" i="37" a="1"/>
  <c r="EF277" i="37" s="1"/>
  <c r="EE277" i="37" a="1"/>
  <c r="EE277" i="37" s="1"/>
  <c r="EF276" i="37" a="1"/>
  <c r="EF276" i="37" s="1"/>
  <c r="EE276" i="37" a="1"/>
  <c r="EE276" i="37" s="1"/>
  <c r="EF275" i="37" a="1"/>
  <c r="EF275" i="37" s="1"/>
  <c r="EE275" i="37" a="1"/>
  <c r="EE275" i="37" s="1"/>
  <c r="EF274" i="37" a="1"/>
  <c r="EF274" i="37" s="1"/>
  <c r="EE274" i="37" a="1"/>
  <c r="EE274" i="37" s="1"/>
  <c r="EF273" i="37" a="1"/>
  <c r="EF273" i="37" s="1"/>
  <c r="EE273" i="37" a="1"/>
  <c r="EE273" i="37" s="1"/>
  <c r="EI273" i="37" s="1"/>
  <c r="EF272" i="37" a="1"/>
  <c r="EF272" i="37" s="1"/>
  <c r="EE272" i="37" a="1"/>
  <c r="EE272" i="37" s="1"/>
  <c r="EF271" i="37" a="1"/>
  <c r="EF271" i="37" s="1"/>
  <c r="EE271" i="37" a="1"/>
  <c r="EE271" i="37" s="1"/>
  <c r="EF270" i="37" a="1"/>
  <c r="EF270" i="37" s="1"/>
  <c r="EE270" i="37" a="1"/>
  <c r="EE270" i="37" s="1"/>
  <c r="EF269" i="37" a="1"/>
  <c r="EF269" i="37" s="1"/>
  <c r="EE269" i="37" a="1"/>
  <c r="EE269" i="37" s="1"/>
  <c r="EF268" i="37" a="1"/>
  <c r="EF268" i="37" s="1"/>
  <c r="EE268" i="37" a="1"/>
  <c r="EE268" i="37" s="1"/>
  <c r="EF267" i="37" a="1"/>
  <c r="EF267" i="37" s="1"/>
  <c r="EE267" i="37" a="1"/>
  <c r="EE267" i="37" s="1"/>
  <c r="EF266" i="37" a="1"/>
  <c r="EF266" i="37" s="1"/>
  <c r="EE266" i="37" a="1"/>
  <c r="EE266" i="37" s="1"/>
  <c r="EF265" i="37" a="1"/>
  <c r="EF265" i="37" s="1"/>
  <c r="EE265" i="37" a="1"/>
  <c r="EE265" i="37" s="1"/>
  <c r="EF264" i="37" a="1"/>
  <c r="EF264" i="37" s="1"/>
  <c r="EE264" i="37" a="1"/>
  <c r="EE264" i="37" s="1"/>
  <c r="EF263" i="37" a="1"/>
  <c r="EF263" i="37" s="1"/>
  <c r="EE263" i="37" a="1"/>
  <c r="EE263" i="37" s="1"/>
  <c r="EF262" i="37" a="1"/>
  <c r="EF262" i="37" s="1"/>
  <c r="EE262" i="37" a="1"/>
  <c r="EE262" i="37" s="1"/>
  <c r="EF261" i="37" a="1"/>
  <c r="EF261" i="37" s="1"/>
  <c r="EE261" i="37" a="1"/>
  <c r="EE261" i="37" s="1"/>
  <c r="EF260" i="37" a="1"/>
  <c r="EF260" i="37" s="1"/>
  <c r="EE260" i="37" a="1"/>
  <c r="EE260" i="37" s="1"/>
  <c r="EF259" i="37" a="1"/>
  <c r="EF259" i="37" s="1"/>
  <c r="EE259" i="37" a="1"/>
  <c r="EE259" i="37" s="1"/>
  <c r="EF258" i="37" a="1"/>
  <c r="EF258" i="37" s="1"/>
  <c r="EE258" i="37" a="1"/>
  <c r="EE258" i="37" s="1"/>
  <c r="EF257" i="37" a="1"/>
  <c r="EF257" i="37" s="1"/>
  <c r="EE257" i="37" a="1"/>
  <c r="EE257" i="37" s="1"/>
  <c r="EF256" i="37" a="1"/>
  <c r="EF256" i="37" s="1"/>
  <c r="EE256" i="37" a="1"/>
  <c r="EE256" i="37" s="1"/>
  <c r="EF255" i="37" a="1"/>
  <c r="EF255" i="37" s="1"/>
  <c r="EE255" i="37" a="1"/>
  <c r="EE255" i="37" s="1"/>
  <c r="EF254" i="37" a="1"/>
  <c r="EF254" i="37" s="1"/>
  <c r="EE254" i="37" a="1"/>
  <c r="EE254" i="37" s="1"/>
  <c r="EF253" i="37" a="1"/>
  <c r="EF253" i="37" s="1"/>
  <c r="EE253" i="37" a="1"/>
  <c r="EE253" i="37" s="1"/>
  <c r="EF252" i="37" a="1"/>
  <c r="EF252" i="37" s="1"/>
  <c r="EE252" i="37" a="1"/>
  <c r="EE252" i="37" s="1"/>
  <c r="EF251" i="37" a="1"/>
  <c r="EF251" i="37" s="1"/>
  <c r="EE251" i="37" a="1"/>
  <c r="EE251" i="37" s="1"/>
  <c r="EG252" i="37" l="1"/>
  <c r="EI252" i="37" s="1"/>
  <c r="EK252" i="37" s="1"/>
  <c r="EG256" i="37"/>
  <c r="EI256" i="37" s="1"/>
  <c r="EK256" i="37" s="1"/>
  <c r="EG257" i="37"/>
  <c r="EI257" i="37" s="1"/>
  <c r="EK257" i="37" s="1"/>
  <c r="EG264" i="37"/>
  <c r="EI264" i="37" s="1"/>
  <c r="EK264" i="37" s="1"/>
  <c r="EK268" i="37"/>
  <c r="EG268" i="37"/>
  <c r="EI268" i="37"/>
  <c r="EI269" i="37"/>
  <c r="EK269" i="37"/>
  <c r="EG269" i="37"/>
  <c r="EK272" i="37"/>
  <c r="EG272" i="37"/>
  <c r="EI272" i="37"/>
  <c r="EK274" i="37"/>
  <c r="EG274" i="37"/>
  <c r="EI274" i="37"/>
  <c r="EI275" i="37"/>
  <c r="EK275" i="37"/>
  <c r="EG275" i="37"/>
  <c r="EK286" i="37"/>
  <c r="EG286" i="37"/>
  <c r="EI286" i="37"/>
  <c r="EI287" i="37"/>
  <c r="EK287" i="37"/>
  <c r="EG287" i="37"/>
  <c r="EK290" i="37"/>
  <c r="EG290" i="37"/>
  <c r="EI290" i="37"/>
  <c r="EG258" i="37"/>
  <c r="EI258" i="37" s="1"/>
  <c r="EK258" i="37" s="1"/>
  <c r="EG260" i="37"/>
  <c r="EI260" i="37" s="1"/>
  <c r="EK260" i="37" s="1"/>
  <c r="EG262" i="37"/>
  <c r="EI262" i="37" s="1"/>
  <c r="EK262" i="37" s="1"/>
  <c r="EG263" i="37"/>
  <c r="EI263" i="37" s="1"/>
  <c r="EK263" i="37" s="1"/>
  <c r="EG266" i="37"/>
  <c r="EI266" i="37" s="1"/>
  <c r="EK266" i="37" s="1"/>
  <c r="EI267" i="37"/>
  <c r="EK267" i="37"/>
  <c r="EG267" i="37"/>
  <c r="EK270" i="37"/>
  <c r="EG270" i="37"/>
  <c r="EI270" i="37"/>
  <c r="EI271" i="37"/>
  <c r="EK271" i="37"/>
  <c r="EG271" i="37"/>
  <c r="EK276" i="37"/>
  <c r="EG276" i="37"/>
  <c r="EI276" i="37"/>
  <c r="EI277" i="37"/>
  <c r="EK277" i="37"/>
  <c r="EG277" i="37"/>
  <c r="EK280" i="37"/>
  <c r="EG280" i="37"/>
  <c r="EI280" i="37"/>
  <c r="EK282" i="37"/>
  <c r="EG282" i="37"/>
  <c r="EI282" i="37"/>
  <c r="EK284" i="37"/>
  <c r="EG284" i="37"/>
  <c r="EI284" i="37"/>
  <c r="EI285" i="37"/>
  <c r="EK285" i="37"/>
  <c r="EG285" i="37"/>
  <c r="EK288" i="37"/>
  <c r="EG288" i="37"/>
  <c r="EI288" i="37"/>
  <c r="EI289" i="37"/>
  <c r="EK289" i="37"/>
  <c r="EG289" i="37"/>
  <c r="EK292" i="37"/>
  <c r="EG292" i="37"/>
  <c r="EI292" i="37"/>
  <c r="EK294" i="37"/>
  <c r="EG294" i="37"/>
  <c r="EI294" i="37"/>
  <c r="EK296" i="37"/>
  <c r="EG296" i="37"/>
  <c r="EI296" i="37"/>
  <c r="EI298" i="37"/>
  <c r="EG298" i="37"/>
  <c r="EK298" i="37"/>
  <c r="EG254" i="37"/>
  <c r="EI254" i="37" s="1"/>
  <c r="EK254" i="37" s="1"/>
  <c r="EG265" i="37"/>
  <c r="EI265" i="37" s="1"/>
  <c r="EK265" i="37" s="1"/>
  <c r="EK278" i="37"/>
  <c r="EG278" i="37"/>
  <c r="EI278" i="37"/>
  <c r="EI279" i="37"/>
  <c r="EK279" i="37"/>
  <c r="EG279" i="37"/>
  <c r="EI291" i="37"/>
  <c r="EK291" i="37"/>
  <c r="EG291" i="37"/>
  <c r="EK299" i="37"/>
  <c r="EG299" i="37"/>
  <c r="EK303" i="37"/>
  <c r="EG303" i="37"/>
  <c r="EK307" i="37"/>
  <c r="EG307" i="37"/>
  <c r="EK311" i="37"/>
  <c r="EG311" i="37"/>
  <c r="EI312" i="37"/>
  <c r="EK312" i="37"/>
  <c r="EG312" i="37"/>
  <c r="EI314" i="37"/>
  <c r="EK314" i="37"/>
  <c r="EG314" i="37"/>
  <c r="EI316" i="37"/>
  <c r="EK316" i="37"/>
  <c r="EG316" i="37"/>
  <c r="EI318" i="37"/>
  <c r="EK318" i="37"/>
  <c r="EG318" i="37"/>
  <c r="EI320" i="37"/>
  <c r="EK320" i="37"/>
  <c r="EG320" i="37"/>
  <c r="EI322" i="37"/>
  <c r="EK322" i="37"/>
  <c r="EG322" i="37"/>
  <c r="EI324" i="37"/>
  <c r="EK324" i="37"/>
  <c r="EG324" i="37"/>
  <c r="EI326" i="37"/>
  <c r="EK326" i="37"/>
  <c r="EG326" i="37"/>
  <c r="EI328" i="37"/>
  <c r="EK328" i="37"/>
  <c r="EG328" i="37"/>
  <c r="EI330" i="37"/>
  <c r="EK330" i="37"/>
  <c r="EG330" i="37"/>
  <c r="EI332" i="37"/>
  <c r="EK332" i="37"/>
  <c r="EG332" i="37"/>
  <c r="EI334" i="37"/>
  <c r="EK334" i="37"/>
  <c r="EG334" i="37"/>
  <c r="EI336" i="37"/>
  <c r="EK336" i="37"/>
  <c r="EG336" i="37"/>
  <c r="EI338" i="37"/>
  <c r="EK338" i="37"/>
  <c r="EG338" i="37"/>
  <c r="EK339" i="37"/>
  <c r="EG339" i="37"/>
  <c r="EI339" i="37"/>
  <c r="EI342" i="37"/>
  <c r="EK342" i="37"/>
  <c r="EG342" i="37"/>
  <c r="EK343" i="37"/>
  <c r="EG343" i="37"/>
  <c r="EI343" i="37"/>
  <c r="EI346" i="37"/>
  <c r="EK346" i="37"/>
  <c r="EG346" i="37"/>
  <c r="EK347" i="37"/>
  <c r="EG347" i="37"/>
  <c r="EI347" i="37"/>
  <c r="EI350" i="37"/>
  <c r="EK350" i="37"/>
  <c r="EG350" i="37"/>
  <c r="EK351" i="37"/>
  <c r="EG351" i="37"/>
  <c r="EI351" i="37"/>
  <c r="EI354" i="37"/>
  <c r="EK354" i="37"/>
  <c r="EG354" i="37"/>
  <c r="EK355" i="37"/>
  <c r="EG355" i="37"/>
  <c r="EI355" i="37"/>
  <c r="EI358" i="37"/>
  <c r="EK358" i="37"/>
  <c r="EG358" i="37"/>
  <c r="EK359" i="37"/>
  <c r="EG359" i="37"/>
  <c r="EI359" i="37"/>
  <c r="EI362" i="37"/>
  <c r="EK362" i="37"/>
  <c r="EG362" i="37"/>
  <c r="EK363" i="37"/>
  <c r="EG363" i="37"/>
  <c r="EI363" i="37"/>
  <c r="EI366" i="37"/>
  <c r="EK366" i="37"/>
  <c r="EG366" i="37"/>
  <c r="EK367" i="37"/>
  <c r="EG367" i="37"/>
  <c r="EI367" i="37"/>
  <c r="EI370" i="37"/>
  <c r="EK370" i="37"/>
  <c r="EG370" i="37"/>
  <c r="EK371" i="37"/>
  <c r="EG371" i="37"/>
  <c r="EI371" i="37"/>
  <c r="EI374" i="37"/>
  <c r="EK374" i="37"/>
  <c r="EG374" i="37"/>
  <c r="EK375" i="37"/>
  <c r="EG375" i="37"/>
  <c r="EI375" i="37"/>
  <c r="EI378" i="37"/>
  <c r="EK378" i="37"/>
  <c r="EG378" i="37"/>
  <c r="EK379" i="37"/>
  <c r="EG379" i="37"/>
  <c r="EI379" i="37"/>
  <c r="EI394" i="37"/>
  <c r="EK394" i="37"/>
  <c r="EG394" i="37"/>
  <c r="EK395" i="37"/>
  <c r="EG395" i="37"/>
  <c r="EI395" i="37"/>
  <c r="EI398" i="37"/>
  <c r="EK398" i="37"/>
  <c r="EG398" i="37"/>
  <c r="EK399" i="37"/>
  <c r="EG399" i="37"/>
  <c r="EI399" i="37"/>
  <c r="EG251" i="37"/>
  <c r="EI251" i="37" s="1"/>
  <c r="EK251" i="37" s="1"/>
  <c r="EG253" i="37"/>
  <c r="EI253" i="37" s="1"/>
  <c r="EK253" i="37" s="1"/>
  <c r="EG255" i="37"/>
  <c r="EI255" i="37" s="1"/>
  <c r="EK255" i="37" s="1"/>
  <c r="EG259" i="37"/>
  <c r="EI259" i="37" s="1"/>
  <c r="EK259" i="37" s="1"/>
  <c r="EG261" i="37"/>
  <c r="EI261" i="37" s="1"/>
  <c r="EK261" i="37" s="1"/>
  <c r="EG273" i="37"/>
  <c r="EK273" i="37"/>
  <c r="EG281" i="37"/>
  <c r="EK281" i="37"/>
  <c r="EG283" i="37"/>
  <c r="EK283" i="37"/>
  <c r="EG293" i="37"/>
  <c r="EK293" i="37"/>
  <c r="EG295" i="37"/>
  <c r="EK295" i="37"/>
  <c r="EG297" i="37"/>
  <c r="EK297" i="37"/>
  <c r="EG300" i="37"/>
  <c r="EK302" i="37"/>
  <c r="EG304" i="37"/>
  <c r="EK306" i="37"/>
  <c r="EG308" i="37"/>
  <c r="EK310" i="37"/>
  <c r="EK301" i="37"/>
  <c r="EG301" i="37"/>
  <c r="EK305" i="37"/>
  <c r="EG305" i="37"/>
  <c r="EK309" i="37"/>
  <c r="EG309" i="37"/>
  <c r="EI340" i="37"/>
  <c r="EK340" i="37"/>
  <c r="EG340" i="37"/>
  <c r="EK341" i="37"/>
  <c r="EG341" i="37"/>
  <c r="EI341" i="37"/>
  <c r="EI344" i="37"/>
  <c r="EK344" i="37"/>
  <c r="EG344" i="37"/>
  <c r="EK345" i="37"/>
  <c r="EG345" i="37"/>
  <c r="EI345" i="37"/>
  <c r="EI348" i="37"/>
  <c r="EK348" i="37"/>
  <c r="EG348" i="37"/>
  <c r="EK349" i="37"/>
  <c r="EG349" i="37"/>
  <c r="EI349" i="37"/>
  <c r="EI352" i="37"/>
  <c r="EK352" i="37"/>
  <c r="EG352" i="37"/>
  <c r="EK353" i="37"/>
  <c r="EG353" i="37"/>
  <c r="EI353" i="37"/>
  <c r="EI356" i="37"/>
  <c r="EK356" i="37"/>
  <c r="EG356" i="37"/>
  <c r="EK357" i="37"/>
  <c r="EG357" i="37"/>
  <c r="EI357" i="37"/>
  <c r="EI360" i="37"/>
  <c r="EK360" i="37"/>
  <c r="EG360" i="37"/>
  <c r="EK361" i="37"/>
  <c r="EG361" i="37"/>
  <c r="EI361" i="37"/>
  <c r="EI364" i="37"/>
  <c r="EK364" i="37"/>
  <c r="EG364" i="37"/>
  <c r="EK365" i="37"/>
  <c r="EG365" i="37"/>
  <c r="EI365" i="37"/>
  <c r="EI368" i="37"/>
  <c r="EK368" i="37"/>
  <c r="EG368" i="37"/>
  <c r="EK369" i="37"/>
  <c r="EG369" i="37"/>
  <c r="EI369" i="37"/>
  <c r="EI372" i="37"/>
  <c r="EK372" i="37"/>
  <c r="EG372" i="37"/>
  <c r="EK373" i="37"/>
  <c r="EG373" i="37"/>
  <c r="EI373" i="37"/>
  <c r="EI376" i="37"/>
  <c r="EK376" i="37"/>
  <c r="EG376" i="37"/>
  <c r="EK377" i="37"/>
  <c r="EG377" i="37"/>
  <c r="EI377" i="37"/>
  <c r="EI380" i="37"/>
  <c r="EK380" i="37"/>
  <c r="EG380" i="37"/>
  <c r="EI382" i="37"/>
  <c r="EK382" i="37"/>
  <c r="EG382" i="37"/>
  <c r="EI384" i="37"/>
  <c r="EK384" i="37"/>
  <c r="EG384" i="37"/>
  <c r="EI386" i="37"/>
  <c r="EK386" i="37"/>
  <c r="EG386" i="37"/>
  <c r="EI388" i="37"/>
  <c r="EK388" i="37"/>
  <c r="EG388" i="37"/>
  <c r="EI390" i="37"/>
  <c r="EK390" i="37"/>
  <c r="EG390" i="37"/>
  <c r="EI392" i="37"/>
  <c r="EK392" i="37"/>
  <c r="EG392" i="37"/>
  <c r="EK393" i="37"/>
  <c r="EG393" i="37"/>
  <c r="EI393" i="37"/>
  <c r="EI396" i="37"/>
  <c r="EK396" i="37"/>
  <c r="EG396" i="37"/>
  <c r="EK397" i="37"/>
  <c r="EG397" i="37"/>
  <c r="EI397" i="37"/>
  <c r="EI400" i="37"/>
  <c r="EK400" i="37"/>
  <c r="EG400" i="37"/>
  <c r="EI299" i="37"/>
  <c r="EK300" i="37"/>
  <c r="EG302" i="37"/>
  <c r="EI303" i="37"/>
  <c r="EK304" i="37"/>
  <c r="EG306" i="37"/>
  <c r="EK308" i="37"/>
  <c r="EG310" i="37"/>
  <c r="EI313" i="37"/>
  <c r="EI315" i="37"/>
  <c r="EI317" i="37"/>
  <c r="EI319" i="37"/>
  <c r="EI321" i="37"/>
  <c r="EI323" i="37"/>
  <c r="EI325" i="37"/>
  <c r="EI327" i="37"/>
  <c r="EI329" i="37"/>
  <c r="EI331" i="37"/>
  <c r="EI333" i="37"/>
  <c r="EI335" i="37"/>
  <c r="EI337" i="37"/>
  <c r="EI381" i="37"/>
  <c r="EI383" i="37"/>
  <c r="EI385" i="37"/>
  <c r="EI387" i="37"/>
  <c r="EI389" i="37"/>
  <c r="EI391" i="37"/>
  <c r="EG313" i="37"/>
  <c r="EG315" i="37"/>
  <c r="EG317" i="37"/>
  <c r="EG319" i="37"/>
  <c r="EG321" i="37"/>
  <c r="EG323" i="37"/>
  <c r="EG325" i="37"/>
  <c r="EG327" i="37"/>
  <c r="EG329" i="37"/>
  <c r="EG331" i="37"/>
  <c r="EG333" i="37"/>
  <c r="EG335" i="37"/>
  <c r="EG337" i="37"/>
  <c r="EG381" i="37"/>
  <c r="EG383" i="37"/>
  <c r="EG385" i="37"/>
  <c r="EG387" i="37"/>
  <c r="EG389" i="37"/>
  <c r="EG391" i="37"/>
  <c r="W60" i="37" l="1" a="1"/>
  <c r="W60" i="37" s="1"/>
  <c r="W59" i="37" a="1"/>
  <c r="W59" i="37" s="1"/>
  <c r="W58" i="37" a="1"/>
  <c r="W58" i="37" s="1"/>
  <c r="W57" i="37" a="1"/>
  <c r="W57" i="37" s="1"/>
  <c r="W56" i="37" a="1"/>
  <c r="W56" i="37" s="1"/>
  <c r="W55" i="37" a="1"/>
  <c r="W55" i="37" s="1"/>
  <c r="W54" i="37" a="1"/>
  <c r="W54" i="37" s="1"/>
  <c r="W53" i="37" a="1"/>
  <c r="W53" i="37" s="1"/>
  <c r="W52" i="37" a="1"/>
  <c r="W52" i="37" s="1"/>
  <c r="W51" i="37" a="1"/>
  <c r="W51" i="37" s="1"/>
  <c r="W50" i="37" a="1"/>
  <c r="W50" i="37" s="1"/>
  <c r="W49" i="37" a="1"/>
  <c r="W49" i="37" s="1"/>
  <c r="W48" i="37" a="1"/>
  <c r="W48" i="37" s="1"/>
  <c r="W47" i="37" a="1"/>
  <c r="W47" i="37" s="1"/>
  <c r="W46" i="37" a="1"/>
  <c r="W46" i="37" s="1"/>
  <c r="W45" i="37" a="1"/>
  <c r="W45" i="37" s="1"/>
  <c r="W44" i="37" a="1"/>
  <c r="W44" i="37" s="1"/>
  <c r="W43" i="37" a="1"/>
  <c r="W43" i="37" s="1"/>
  <c r="W42" i="37" a="1"/>
  <c r="W42" i="37" s="1"/>
  <c r="W41" i="37" a="1"/>
  <c r="W41" i="37" s="1"/>
  <c r="W40" i="37" a="1"/>
  <c r="W40" i="37" s="1"/>
  <c r="W39" i="37" a="1"/>
  <c r="W39" i="37" s="1"/>
  <c r="W38" i="37" a="1"/>
  <c r="W38" i="37" s="1"/>
  <c r="W37" i="37" a="1"/>
  <c r="W37" i="37" s="1"/>
  <c r="W36" i="37" a="1"/>
  <c r="W36" i="37" s="1"/>
  <c r="W35" i="37" a="1"/>
  <c r="W35" i="37" s="1"/>
  <c r="W34" i="37" a="1"/>
  <c r="W34" i="37" s="1"/>
  <c r="W33" i="37" a="1"/>
  <c r="W33" i="37" s="1"/>
  <c r="W32" i="37" a="1"/>
  <c r="W32" i="37" s="1"/>
  <c r="W31" i="37" a="1"/>
  <c r="W31" i="37" s="1"/>
  <c r="W30" i="37" a="1"/>
  <c r="W30" i="37" s="1"/>
  <c r="W29" i="37" a="1"/>
  <c r="W29" i="37" s="1"/>
  <c r="W28" i="37" a="1"/>
  <c r="W28" i="37" s="1"/>
  <c r="W27" i="37" a="1"/>
  <c r="W27" i="37" s="1"/>
  <c r="W26" i="37" a="1"/>
  <c r="W26" i="37" s="1"/>
  <c r="W25" i="37" a="1"/>
  <c r="W25" i="37" s="1"/>
  <c r="W24" i="37" a="1"/>
  <c r="W24" i="37" s="1"/>
  <c r="W23" i="37" a="1"/>
  <c r="W23" i="37" s="1"/>
  <c r="W22" i="37" a="1"/>
  <c r="W22" i="37" s="1"/>
  <c r="W21" i="37" a="1"/>
  <c r="W21" i="37" s="1"/>
  <c r="W20" i="37" a="1"/>
  <c r="W20" i="37" s="1"/>
  <c r="W19" i="37" a="1"/>
  <c r="W19" i="37" s="1"/>
  <c r="W18" i="37" a="1"/>
  <c r="W18" i="37" s="1"/>
  <c r="W17" i="37" a="1"/>
  <c r="W17" i="37" s="1"/>
  <c r="W16" i="37" a="1"/>
  <c r="W16" i="37" s="1"/>
  <c r="W15" i="37" a="1"/>
  <c r="W15" i="37" s="1"/>
  <c r="W14" i="37" a="1"/>
  <c r="W14" i="37" s="1"/>
  <c r="W13" i="37" a="1"/>
  <c r="W13" i="37" s="1"/>
  <c r="W12" i="37" a="1"/>
  <c r="W12" i="37" s="1"/>
  <c r="W11" i="37" a="1"/>
  <c r="W11" i="37" s="1"/>
  <c r="W10" i="37" a="1"/>
  <c r="W10" i="37" s="1"/>
  <c r="AZ1" i="30" l="1"/>
  <c r="CP110" i="37" l="1"/>
  <c r="CO110" i="37"/>
  <c r="CN110" i="37"/>
  <c r="CM110" i="37"/>
  <c r="CL110" i="37"/>
  <c r="CK110" i="37"/>
  <c r="CJ110" i="37"/>
  <c r="CI110" i="37"/>
  <c r="CH110" i="37"/>
  <c r="CG110" i="37"/>
  <c r="CP109" i="37"/>
  <c r="CO109" i="37"/>
  <c r="CN109" i="37"/>
  <c r="CM109" i="37"/>
  <c r="CL109" i="37"/>
  <c r="CK109" i="37"/>
  <c r="CJ109" i="37"/>
  <c r="CI109" i="37"/>
  <c r="CH109" i="37"/>
  <c r="CG109" i="37"/>
  <c r="CP108" i="37"/>
  <c r="CO108" i="37"/>
  <c r="CN108" i="37"/>
  <c r="CM108" i="37"/>
  <c r="CL108" i="37"/>
  <c r="CK108" i="37"/>
  <c r="CJ108" i="37"/>
  <c r="CI108" i="37"/>
  <c r="CH108" i="37"/>
  <c r="CG108" i="37"/>
  <c r="CP107" i="37"/>
  <c r="CO107" i="37"/>
  <c r="CN107" i="37"/>
  <c r="CM107" i="37"/>
  <c r="CL107" i="37"/>
  <c r="CK107" i="37"/>
  <c r="CJ107" i="37"/>
  <c r="CI107" i="37"/>
  <c r="CH107" i="37"/>
  <c r="CG107" i="37"/>
  <c r="CP106" i="37"/>
  <c r="CO106" i="37"/>
  <c r="CN106" i="37"/>
  <c r="CM106" i="37"/>
  <c r="CL106" i="37"/>
  <c r="CK106" i="37"/>
  <c r="CJ106" i="37"/>
  <c r="CI106" i="37"/>
  <c r="CH106" i="37"/>
  <c r="CG106" i="37"/>
  <c r="CP105" i="37"/>
  <c r="CO105" i="37"/>
  <c r="CN105" i="37"/>
  <c r="CM105" i="37"/>
  <c r="CL105" i="37"/>
  <c r="CK105" i="37"/>
  <c r="CJ105" i="37"/>
  <c r="CI105" i="37"/>
  <c r="CH105" i="37"/>
  <c r="CG105" i="37"/>
  <c r="CP104" i="37"/>
  <c r="CO104" i="37"/>
  <c r="CN104" i="37"/>
  <c r="CM104" i="37"/>
  <c r="CL104" i="37"/>
  <c r="CK104" i="37"/>
  <c r="CJ104" i="37"/>
  <c r="CI104" i="37"/>
  <c r="CH104" i="37"/>
  <c r="CG104" i="37"/>
  <c r="CP103" i="37"/>
  <c r="CO103" i="37"/>
  <c r="CN103" i="37"/>
  <c r="CM103" i="37"/>
  <c r="CL103" i="37"/>
  <c r="CK103" i="37"/>
  <c r="CJ103" i="37"/>
  <c r="CI103" i="37"/>
  <c r="CH103" i="37"/>
  <c r="CG103" i="37"/>
  <c r="CP102" i="37"/>
  <c r="CO102" i="37"/>
  <c r="CN102" i="37"/>
  <c r="CM102" i="37"/>
  <c r="CL102" i="37"/>
  <c r="CK102" i="37"/>
  <c r="CJ102" i="37"/>
  <c r="CI102" i="37"/>
  <c r="CH102" i="37"/>
  <c r="CG102" i="37"/>
  <c r="CP101" i="37"/>
  <c r="CO101" i="37"/>
  <c r="CN101" i="37"/>
  <c r="CM101" i="37"/>
  <c r="CL101" i="37"/>
  <c r="CK101" i="37"/>
  <c r="CJ101" i="37"/>
  <c r="CI101" i="37"/>
  <c r="CH101" i="37"/>
  <c r="CG101" i="37"/>
  <c r="CP100" i="37"/>
  <c r="CO100" i="37"/>
  <c r="CN100" i="37"/>
  <c r="CM100" i="37"/>
  <c r="CL100" i="37"/>
  <c r="CK100" i="37"/>
  <c r="CJ100" i="37"/>
  <c r="CI100" i="37"/>
  <c r="CH100" i="37"/>
  <c r="CG100" i="37"/>
  <c r="CP99" i="37"/>
  <c r="CO99" i="37"/>
  <c r="CN99" i="37"/>
  <c r="CM99" i="37"/>
  <c r="CL99" i="37"/>
  <c r="CK99" i="37"/>
  <c r="CJ99" i="37"/>
  <c r="CI99" i="37"/>
  <c r="CH99" i="37"/>
  <c r="CG99" i="37"/>
  <c r="CP98" i="37"/>
  <c r="CO98" i="37"/>
  <c r="CN98" i="37"/>
  <c r="CM98" i="37"/>
  <c r="CL98" i="37"/>
  <c r="CK98" i="37"/>
  <c r="CJ98" i="37"/>
  <c r="CI98" i="37"/>
  <c r="CH98" i="37"/>
  <c r="CG98" i="37"/>
  <c r="CP97" i="37"/>
  <c r="CO97" i="37"/>
  <c r="CN97" i="37"/>
  <c r="CM97" i="37"/>
  <c r="CL97" i="37"/>
  <c r="CK97" i="37"/>
  <c r="CJ97" i="37"/>
  <c r="CI97" i="37"/>
  <c r="CH97" i="37"/>
  <c r="CG97" i="37"/>
  <c r="CP96" i="37"/>
  <c r="CO96" i="37"/>
  <c r="CN96" i="37"/>
  <c r="CM96" i="37"/>
  <c r="CL96" i="37"/>
  <c r="CK96" i="37"/>
  <c r="CJ96" i="37"/>
  <c r="CI96" i="37"/>
  <c r="CH96" i="37"/>
  <c r="CG96" i="37"/>
  <c r="CP95" i="37"/>
  <c r="CO95" i="37"/>
  <c r="CN95" i="37"/>
  <c r="CM95" i="37"/>
  <c r="CL95" i="37"/>
  <c r="CK95" i="37"/>
  <c r="CJ95" i="37"/>
  <c r="CI95" i="37"/>
  <c r="CH95" i="37"/>
  <c r="CG95" i="37"/>
  <c r="CP94" i="37"/>
  <c r="CO94" i="37"/>
  <c r="CN94" i="37"/>
  <c r="CM94" i="37"/>
  <c r="CL94" i="37"/>
  <c r="CK94" i="37"/>
  <c r="CJ94" i="37"/>
  <c r="CI94" i="37"/>
  <c r="CH94" i="37"/>
  <c r="CG94" i="37"/>
  <c r="CP93" i="37"/>
  <c r="CO93" i="37"/>
  <c r="CN93" i="37"/>
  <c r="CM93" i="37"/>
  <c r="CL93" i="37"/>
  <c r="CK93" i="37"/>
  <c r="CJ93" i="37"/>
  <c r="CI93" i="37"/>
  <c r="CH93" i="37"/>
  <c r="CG93" i="37"/>
  <c r="CP92" i="37"/>
  <c r="CO92" i="37"/>
  <c r="CN92" i="37"/>
  <c r="CM92" i="37"/>
  <c r="CL92" i="37"/>
  <c r="CK92" i="37"/>
  <c r="CJ92" i="37"/>
  <c r="CI92" i="37"/>
  <c r="CH92" i="37"/>
  <c r="CG92" i="37"/>
  <c r="CP91" i="37"/>
  <c r="CO91" i="37"/>
  <c r="CN91" i="37"/>
  <c r="CM91" i="37"/>
  <c r="CL91" i="37"/>
  <c r="CK91" i="37"/>
  <c r="CJ91" i="37"/>
  <c r="CI91" i="37"/>
  <c r="CH91" i="37"/>
  <c r="CG91" i="37"/>
  <c r="CP90" i="37"/>
  <c r="CO90" i="37"/>
  <c r="CN90" i="37"/>
  <c r="CM90" i="37"/>
  <c r="CL90" i="37"/>
  <c r="CK90" i="37"/>
  <c r="CJ90" i="37"/>
  <c r="CI90" i="37"/>
  <c r="CH90" i="37"/>
  <c r="CG90" i="37"/>
  <c r="CP89" i="37"/>
  <c r="CO89" i="37"/>
  <c r="CN89" i="37"/>
  <c r="CM89" i="37"/>
  <c r="CL89" i="37"/>
  <c r="CK89" i="37"/>
  <c r="CJ89" i="37"/>
  <c r="CI89" i="37"/>
  <c r="CH89" i="37"/>
  <c r="CG89" i="37"/>
  <c r="CP88" i="37"/>
  <c r="CO88" i="37"/>
  <c r="CN88" i="37"/>
  <c r="CM88" i="37"/>
  <c r="CL88" i="37"/>
  <c r="CK88" i="37"/>
  <c r="CJ88" i="37"/>
  <c r="CI88" i="37"/>
  <c r="CH88" i="37"/>
  <c r="CG88" i="37"/>
  <c r="CP87" i="37"/>
  <c r="CO87" i="37"/>
  <c r="CN87" i="37"/>
  <c r="CM87" i="37"/>
  <c r="CL87" i="37"/>
  <c r="CK87" i="37"/>
  <c r="CJ87" i="37"/>
  <c r="CI87" i="37"/>
  <c r="CH87" i="37"/>
  <c r="CG87" i="37"/>
  <c r="CP86" i="37"/>
  <c r="CO86" i="37"/>
  <c r="CN86" i="37"/>
  <c r="CM86" i="37"/>
  <c r="CL86" i="37"/>
  <c r="CK86" i="37"/>
  <c r="CJ86" i="37"/>
  <c r="CI86" i="37"/>
  <c r="CH86" i="37"/>
  <c r="CG86" i="37"/>
  <c r="CP85" i="37"/>
  <c r="CO85" i="37"/>
  <c r="CN85" i="37"/>
  <c r="CM85" i="37"/>
  <c r="CL85" i="37"/>
  <c r="CK85" i="37"/>
  <c r="CJ85" i="37"/>
  <c r="CI85" i="37"/>
  <c r="CH85" i="37"/>
  <c r="CG85" i="37"/>
  <c r="CP84" i="37"/>
  <c r="CO84" i="37"/>
  <c r="CN84" i="37"/>
  <c r="CM84" i="37"/>
  <c r="CL84" i="37"/>
  <c r="CK84" i="37"/>
  <c r="CJ84" i="37"/>
  <c r="CI84" i="37"/>
  <c r="CH84" i="37"/>
  <c r="CG84" i="37"/>
  <c r="CP83" i="37"/>
  <c r="CO83" i="37"/>
  <c r="CN83" i="37"/>
  <c r="CM83" i="37"/>
  <c r="CL83" i="37"/>
  <c r="CK83" i="37"/>
  <c r="CJ83" i="37"/>
  <c r="CI83" i="37"/>
  <c r="CH83" i="37"/>
  <c r="CG83" i="37"/>
  <c r="CP82" i="37"/>
  <c r="CO82" i="37"/>
  <c r="CN82" i="37"/>
  <c r="CM82" i="37"/>
  <c r="CL82" i="37"/>
  <c r="CK82" i="37"/>
  <c r="CJ82" i="37"/>
  <c r="CI82" i="37"/>
  <c r="CH82" i="37"/>
  <c r="CG82" i="37"/>
  <c r="CP81" i="37"/>
  <c r="CO81" i="37"/>
  <c r="CN81" i="37"/>
  <c r="CM81" i="37"/>
  <c r="CL81" i="37"/>
  <c r="CK81" i="37"/>
  <c r="CJ81" i="37"/>
  <c r="CI81" i="37"/>
  <c r="CH81" i="37"/>
  <c r="CG81" i="37"/>
  <c r="CP80" i="37"/>
  <c r="CO80" i="37"/>
  <c r="CN80" i="37"/>
  <c r="CM80" i="37"/>
  <c r="CL80" i="37"/>
  <c r="CK80" i="37"/>
  <c r="CJ80" i="37"/>
  <c r="CI80" i="37"/>
  <c r="CH80" i="37"/>
  <c r="CG80" i="37"/>
  <c r="CP79" i="37"/>
  <c r="CO79" i="37"/>
  <c r="CN79" i="37"/>
  <c r="CM79" i="37"/>
  <c r="CL79" i="37"/>
  <c r="CK79" i="37"/>
  <c r="CJ79" i="37"/>
  <c r="CI79" i="37"/>
  <c r="CH79" i="37"/>
  <c r="CG79" i="37"/>
  <c r="CP78" i="37"/>
  <c r="CO78" i="37"/>
  <c r="CN78" i="37"/>
  <c r="CM78" i="37"/>
  <c r="CL78" i="37"/>
  <c r="CK78" i="37"/>
  <c r="CJ78" i="37"/>
  <c r="CI78" i="37"/>
  <c r="CH78" i="37"/>
  <c r="CG78" i="37"/>
  <c r="CP77" i="37"/>
  <c r="CO77" i="37"/>
  <c r="CN77" i="37"/>
  <c r="CM77" i="37"/>
  <c r="CL77" i="37"/>
  <c r="CK77" i="37"/>
  <c r="CJ77" i="37"/>
  <c r="CI77" i="37"/>
  <c r="CH77" i="37"/>
  <c r="CG77" i="37"/>
  <c r="CP76" i="37"/>
  <c r="CO76" i="37"/>
  <c r="CN76" i="37"/>
  <c r="CM76" i="37"/>
  <c r="CL76" i="37"/>
  <c r="CK76" i="37"/>
  <c r="CJ76" i="37"/>
  <c r="CI76" i="37"/>
  <c r="CH76" i="37"/>
  <c r="CG76" i="37"/>
  <c r="CP75" i="37"/>
  <c r="CO75" i="37"/>
  <c r="CN75" i="37"/>
  <c r="CM75" i="37"/>
  <c r="CL75" i="37"/>
  <c r="CK75" i="37"/>
  <c r="CJ75" i="37"/>
  <c r="CI75" i="37"/>
  <c r="CH75" i="37"/>
  <c r="CG75" i="37"/>
  <c r="CP74" i="37"/>
  <c r="CO74" i="37"/>
  <c r="CN74" i="37"/>
  <c r="CM74" i="37"/>
  <c r="CL74" i="37"/>
  <c r="CK74" i="37"/>
  <c r="CJ74" i="37"/>
  <c r="CI74" i="37"/>
  <c r="CH74" i="37"/>
  <c r="CG74" i="37"/>
  <c r="CP73" i="37"/>
  <c r="CO73" i="37"/>
  <c r="CN73" i="37"/>
  <c r="CM73" i="37"/>
  <c r="CL73" i="37"/>
  <c r="CK73" i="37"/>
  <c r="CJ73" i="37"/>
  <c r="CI73" i="37"/>
  <c r="CH73" i="37"/>
  <c r="CG73" i="37"/>
  <c r="CP72" i="37"/>
  <c r="CO72" i="37"/>
  <c r="CN72" i="37"/>
  <c r="CM72" i="37"/>
  <c r="CL72" i="37"/>
  <c r="CK72" i="37"/>
  <c r="CJ72" i="37"/>
  <c r="CI72" i="37"/>
  <c r="CH72" i="37"/>
  <c r="CG72" i="37"/>
  <c r="CP71" i="37"/>
  <c r="CO71" i="37"/>
  <c r="CN71" i="37"/>
  <c r="CM71" i="37"/>
  <c r="CL71" i="37"/>
  <c r="CK71" i="37"/>
  <c r="CJ71" i="37"/>
  <c r="CI71" i="37"/>
  <c r="CH71" i="37"/>
  <c r="CG71" i="37"/>
  <c r="CP70" i="37"/>
  <c r="CO70" i="37"/>
  <c r="CN70" i="37"/>
  <c r="CM70" i="37"/>
  <c r="CL70" i="37"/>
  <c r="CK70" i="37"/>
  <c r="CJ70" i="37"/>
  <c r="CI70" i="37"/>
  <c r="CH70" i="37"/>
  <c r="CG70" i="37"/>
  <c r="CP69" i="37"/>
  <c r="CO69" i="37"/>
  <c r="CN69" i="37"/>
  <c r="CM69" i="37"/>
  <c r="CL69" i="37"/>
  <c r="CK69" i="37"/>
  <c r="CJ69" i="37"/>
  <c r="CI69" i="37"/>
  <c r="CH69" i="37"/>
  <c r="CG69" i="37"/>
  <c r="CP68" i="37"/>
  <c r="CO68" i="37"/>
  <c r="CN68" i="37"/>
  <c r="CM68" i="37"/>
  <c r="CL68" i="37"/>
  <c r="CK68" i="37"/>
  <c r="CJ68" i="37"/>
  <c r="CI68" i="37"/>
  <c r="CH68" i="37"/>
  <c r="CG68" i="37"/>
  <c r="CP67" i="37"/>
  <c r="CO67" i="37"/>
  <c r="CN67" i="37"/>
  <c r="CM67" i="37"/>
  <c r="CL67" i="37"/>
  <c r="CK67" i="37"/>
  <c r="CJ67" i="37"/>
  <c r="CI67" i="37"/>
  <c r="CH67" i="37"/>
  <c r="CG67" i="37"/>
  <c r="CP66" i="37"/>
  <c r="CO66" i="37"/>
  <c r="CN66" i="37"/>
  <c r="CM66" i="37"/>
  <c r="CL66" i="37"/>
  <c r="CK66" i="37"/>
  <c r="CJ66" i="37"/>
  <c r="CI66" i="37"/>
  <c r="CH66" i="37"/>
  <c r="CG66" i="37"/>
  <c r="CP65" i="37"/>
  <c r="CO65" i="37"/>
  <c r="CN65" i="37"/>
  <c r="CM65" i="37"/>
  <c r="CL65" i="37"/>
  <c r="CK65" i="37"/>
  <c r="CJ65" i="37"/>
  <c r="CI65" i="37"/>
  <c r="CH65" i="37"/>
  <c r="CG65" i="37"/>
  <c r="CP64" i="37"/>
  <c r="CO64" i="37"/>
  <c r="CN64" i="37"/>
  <c r="CM64" i="37"/>
  <c r="CL64" i="37"/>
  <c r="CK64" i="37"/>
  <c r="CJ64" i="37"/>
  <c r="CI64" i="37"/>
  <c r="CH64" i="37"/>
  <c r="CG64" i="37"/>
  <c r="CP19" i="37"/>
  <c r="CO19" i="37"/>
  <c r="CN19" i="37"/>
  <c r="CM19" i="37"/>
  <c r="CL19" i="37"/>
  <c r="CK19" i="37"/>
  <c r="CJ19" i="37"/>
  <c r="CI19" i="37"/>
  <c r="CH19" i="37"/>
  <c r="CG19" i="37"/>
  <c r="CP20" i="37"/>
  <c r="CO20" i="37"/>
  <c r="CN20" i="37"/>
  <c r="CM20" i="37"/>
  <c r="CL20" i="37"/>
  <c r="CK20" i="37"/>
  <c r="CJ20" i="37"/>
  <c r="CI20" i="37"/>
  <c r="CH20" i="37"/>
  <c r="CG20" i="37"/>
  <c r="CP63" i="37"/>
  <c r="CO63" i="37"/>
  <c r="CN63" i="37"/>
  <c r="CM63" i="37"/>
  <c r="CL63" i="37"/>
  <c r="CK63" i="37"/>
  <c r="CJ63" i="37"/>
  <c r="CI63" i="37"/>
  <c r="CH63" i="37"/>
  <c r="CG63" i="37"/>
  <c r="CP62" i="37"/>
  <c r="CO62" i="37"/>
  <c r="CN62" i="37"/>
  <c r="CM62" i="37"/>
  <c r="CL62" i="37"/>
  <c r="CK62" i="37"/>
  <c r="CJ62" i="37"/>
  <c r="CI62" i="37"/>
  <c r="CH62" i="37"/>
  <c r="CG62" i="37"/>
  <c r="CP61" i="37"/>
  <c r="CO61" i="37"/>
  <c r="CN61" i="37"/>
  <c r="CM61" i="37"/>
  <c r="CL61" i="37"/>
  <c r="CK61" i="37"/>
  <c r="CJ61" i="37"/>
  <c r="CI61" i="37"/>
  <c r="CH61" i="37"/>
  <c r="CG61" i="37"/>
  <c r="CP57" i="37"/>
  <c r="CO57" i="37"/>
  <c r="CN57" i="37"/>
  <c r="CM57" i="37"/>
  <c r="CL57" i="37"/>
  <c r="CK57" i="37"/>
  <c r="CJ57" i="37"/>
  <c r="CI57" i="37"/>
  <c r="CH57" i="37"/>
  <c r="CG57" i="37"/>
  <c r="CP56" i="37"/>
  <c r="CO56" i="37"/>
  <c r="CN56" i="37"/>
  <c r="CM56" i="37"/>
  <c r="CL56" i="37"/>
  <c r="CK56" i="37"/>
  <c r="CJ56" i="37"/>
  <c r="CI56" i="37"/>
  <c r="CH56" i="37"/>
  <c r="CG56" i="37"/>
  <c r="CP55" i="37"/>
  <c r="CO55" i="37"/>
  <c r="CN55" i="37"/>
  <c r="CM55" i="37"/>
  <c r="CL55" i="37"/>
  <c r="CK55" i="37"/>
  <c r="CJ55" i="37"/>
  <c r="CI55" i="37"/>
  <c r="CH55" i="37"/>
  <c r="CG55" i="37"/>
  <c r="CP54" i="37"/>
  <c r="CO54" i="37"/>
  <c r="CN54" i="37"/>
  <c r="CM54" i="37"/>
  <c r="CL54" i="37"/>
  <c r="CK54" i="37"/>
  <c r="CJ54" i="37"/>
  <c r="CI54" i="37"/>
  <c r="CH54" i="37"/>
  <c r="CG54" i="37"/>
  <c r="CP60" i="37"/>
  <c r="CO60" i="37"/>
  <c r="CN60" i="37"/>
  <c r="CM60" i="37"/>
  <c r="CL60" i="37"/>
  <c r="CK60" i="37"/>
  <c r="CJ60" i="37"/>
  <c r="CI60" i="37"/>
  <c r="CH60" i="37"/>
  <c r="CG60" i="37"/>
  <c r="CP47" i="37"/>
  <c r="CO47" i="37"/>
  <c r="CN47" i="37"/>
  <c r="CM47" i="37"/>
  <c r="CL47" i="37"/>
  <c r="CK47" i="37"/>
  <c r="CJ47" i="37"/>
  <c r="CI47" i="37"/>
  <c r="CH47" i="37"/>
  <c r="CG47" i="37"/>
  <c r="CP46" i="37"/>
  <c r="CO46" i="37"/>
  <c r="CN46" i="37"/>
  <c r="CM46" i="37"/>
  <c r="CL46" i="37"/>
  <c r="CK46" i="37"/>
  <c r="CJ46" i="37"/>
  <c r="CI46" i="37"/>
  <c r="CH46" i="37"/>
  <c r="CG46" i="37"/>
  <c r="CP29" i="37"/>
  <c r="CO29" i="37"/>
  <c r="CN29" i="37"/>
  <c r="CM29" i="37"/>
  <c r="CL29" i="37"/>
  <c r="CK29" i="37"/>
  <c r="CJ29" i="37"/>
  <c r="CI29" i="37"/>
  <c r="CH29" i="37"/>
  <c r="CG29" i="37"/>
  <c r="CP28" i="37"/>
  <c r="CO28" i="37"/>
  <c r="CN28" i="37"/>
  <c r="CM28" i="37"/>
  <c r="CL28" i="37"/>
  <c r="CK28" i="37"/>
  <c r="CJ28" i="37"/>
  <c r="CI28" i="37"/>
  <c r="CH28" i="37"/>
  <c r="CG28" i="37"/>
  <c r="CP27" i="37"/>
  <c r="CO27" i="37"/>
  <c r="CN27" i="37"/>
  <c r="CM27" i="37"/>
  <c r="CL27" i="37"/>
  <c r="CK27" i="37"/>
  <c r="CJ27" i="37"/>
  <c r="CI27" i="37"/>
  <c r="CH27" i="37"/>
  <c r="CG27" i="37"/>
  <c r="CP26" i="37"/>
  <c r="CO26" i="37"/>
  <c r="CN26" i="37"/>
  <c r="CM26" i="37"/>
  <c r="CL26" i="37"/>
  <c r="CK26" i="37"/>
  <c r="CJ26" i="37"/>
  <c r="CI26" i="37"/>
  <c r="CH26" i="37"/>
  <c r="CG26" i="37"/>
  <c r="CP25" i="37"/>
  <c r="CO25" i="37"/>
  <c r="CN25" i="37"/>
  <c r="CM25" i="37"/>
  <c r="CL25" i="37"/>
  <c r="CK25" i="37"/>
  <c r="CJ25" i="37"/>
  <c r="CI25" i="37"/>
  <c r="CH25" i="37"/>
  <c r="CG25" i="37"/>
  <c r="CP24" i="37"/>
  <c r="CO24" i="37"/>
  <c r="CN24" i="37"/>
  <c r="CM24" i="37"/>
  <c r="CL24" i="37"/>
  <c r="CK24" i="37"/>
  <c r="CJ24" i="37"/>
  <c r="CI24" i="37"/>
  <c r="CH24" i="37"/>
  <c r="CG24" i="37"/>
  <c r="CP23" i="37"/>
  <c r="CO23" i="37"/>
  <c r="CN23" i="37"/>
  <c r="CM23" i="37"/>
  <c r="CL23" i="37"/>
  <c r="CK23" i="37"/>
  <c r="CJ23" i="37"/>
  <c r="CI23" i="37"/>
  <c r="CH23" i="37"/>
  <c r="CG23" i="37"/>
  <c r="CP22" i="37"/>
  <c r="CO22" i="37"/>
  <c r="CN22" i="37"/>
  <c r="CM22" i="37"/>
  <c r="CL22" i="37"/>
  <c r="CK22" i="37"/>
  <c r="CJ22" i="37"/>
  <c r="CI22" i="37"/>
  <c r="CH22" i="37"/>
  <c r="CG22" i="37"/>
  <c r="CP45" i="37"/>
  <c r="CO45" i="37"/>
  <c r="CN45" i="37"/>
  <c r="CM45" i="37"/>
  <c r="CL45" i="37"/>
  <c r="CK45" i="37"/>
  <c r="CJ45" i="37"/>
  <c r="CI45" i="37"/>
  <c r="CH45" i="37"/>
  <c r="CG45" i="37"/>
  <c r="CP44" i="37"/>
  <c r="CO44" i="37"/>
  <c r="CN44" i="37"/>
  <c r="CM44" i="37"/>
  <c r="CL44" i="37"/>
  <c r="CK44" i="37"/>
  <c r="CJ44" i="37"/>
  <c r="CI44" i="37"/>
  <c r="CH44" i="37"/>
  <c r="CG44" i="37"/>
  <c r="CP43" i="37"/>
  <c r="CO43" i="37"/>
  <c r="CN43" i="37"/>
  <c r="CM43" i="37"/>
  <c r="CL43" i="37"/>
  <c r="CK43" i="37"/>
  <c r="CJ43" i="37"/>
  <c r="CI43" i="37"/>
  <c r="CH43" i="37"/>
  <c r="CG43" i="37"/>
  <c r="CP42" i="37"/>
  <c r="CO42" i="37"/>
  <c r="CN42" i="37"/>
  <c r="CM42" i="37"/>
  <c r="CL42" i="37"/>
  <c r="CK42" i="37"/>
  <c r="CJ42" i="37"/>
  <c r="CI42" i="37"/>
  <c r="CH42" i="37"/>
  <c r="CG42" i="37"/>
  <c r="CP41" i="37"/>
  <c r="CO41" i="37"/>
  <c r="CN41" i="37"/>
  <c r="CM41" i="37"/>
  <c r="CL41" i="37"/>
  <c r="CK41" i="37"/>
  <c r="CJ41" i="37"/>
  <c r="CI41" i="37"/>
  <c r="CH41" i="37"/>
  <c r="CG41" i="37"/>
  <c r="CP40" i="37"/>
  <c r="CO40" i="37"/>
  <c r="CN40" i="37"/>
  <c r="CM40" i="37"/>
  <c r="CL40" i="37"/>
  <c r="CK40" i="37"/>
  <c r="CJ40" i="37"/>
  <c r="CI40" i="37"/>
  <c r="CH40" i="37"/>
  <c r="CG40" i="37"/>
  <c r="CP39" i="37"/>
  <c r="CO39" i="37"/>
  <c r="CN39" i="37"/>
  <c r="CM39" i="37"/>
  <c r="CL39" i="37"/>
  <c r="CK39" i="37"/>
  <c r="CJ39" i="37"/>
  <c r="CI39" i="37"/>
  <c r="CH39" i="37"/>
  <c r="CG39" i="37"/>
  <c r="CP38" i="37"/>
  <c r="CO38" i="37"/>
  <c r="CN38" i="37"/>
  <c r="CM38" i="37"/>
  <c r="CL38" i="37"/>
  <c r="CK38" i="37"/>
  <c r="CJ38" i="37"/>
  <c r="CI38" i="37"/>
  <c r="CH38" i="37"/>
  <c r="CG38" i="37"/>
  <c r="CP59" i="37"/>
  <c r="CO59" i="37"/>
  <c r="CN59" i="37"/>
  <c r="CM59" i="37"/>
  <c r="CL59" i="37"/>
  <c r="CK59" i="37"/>
  <c r="CJ59" i="37"/>
  <c r="CI59" i="37"/>
  <c r="CH59" i="37"/>
  <c r="CG59" i="37"/>
  <c r="CP58" i="37"/>
  <c r="CO58" i="37"/>
  <c r="CN58" i="37"/>
  <c r="CM58" i="37"/>
  <c r="CL58" i="37"/>
  <c r="CK58" i="37"/>
  <c r="CJ58" i="37"/>
  <c r="CI58" i="37"/>
  <c r="CH58" i="37"/>
  <c r="CG58" i="37"/>
  <c r="CP53" i="37"/>
  <c r="CO53" i="37"/>
  <c r="CN53" i="37"/>
  <c r="CM53" i="37"/>
  <c r="CL53" i="37"/>
  <c r="CK53" i="37"/>
  <c r="CJ53" i="37"/>
  <c r="CI53" i="37"/>
  <c r="CH53" i="37"/>
  <c r="CG53" i="37"/>
  <c r="CP52" i="37"/>
  <c r="CO52" i="37"/>
  <c r="CN52" i="37"/>
  <c r="CM52" i="37"/>
  <c r="CL52" i="37"/>
  <c r="CK52" i="37"/>
  <c r="CJ52" i="37"/>
  <c r="CI52" i="37"/>
  <c r="CH52" i="37"/>
  <c r="CG52" i="37"/>
  <c r="CP51" i="37"/>
  <c r="CO51" i="37"/>
  <c r="CN51" i="37"/>
  <c r="CM51" i="37"/>
  <c r="CL51" i="37"/>
  <c r="CK51" i="37"/>
  <c r="CJ51" i="37"/>
  <c r="CI51" i="37"/>
  <c r="CH51" i="37"/>
  <c r="CG51" i="37"/>
  <c r="CP50" i="37"/>
  <c r="CO50" i="37"/>
  <c r="CN50" i="37"/>
  <c r="CM50" i="37"/>
  <c r="CL50" i="37"/>
  <c r="CK50" i="37"/>
  <c r="CJ50" i="37"/>
  <c r="CI50" i="37"/>
  <c r="CH50" i="37"/>
  <c r="CG50" i="37"/>
  <c r="CP49" i="37"/>
  <c r="CO49" i="37"/>
  <c r="CN49" i="37"/>
  <c r="CM49" i="37"/>
  <c r="CL49" i="37"/>
  <c r="CK49" i="37"/>
  <c r="CJ49" i="37"/>
  <c r="CI49" i="37"/>
  <c r="CH49" i="37"/>
  <c r="CG49" i="37"/>
  <c r="CP35" i="37"/>
  <c r="CO35" i="37"/>
  <c r="CN35" i="37"/>
  <c r="CM35" i="37"/>
  <c r="CL35" i="37"/>
  <c r="CK35" i="37"/>
  <c r="CJ35" i="37"/>
  <c r="CI35" i="37"/>
  <c r="CH35" i="37"/>
  <c r="CG35" i="37"/>
  <c r="CP32" i="37" l="1"/>
  <c r="CO32" i="37"/>
  <c r="CN32" i="37"/>
  <c r="CM32" i="37"/>
  <c r="CL32" i="37"/>
  <c r="CK32" i="37"/>
  <c r="CJ32" i="37"/>
  <c r="CI32" i="37"/>
  <c r="CH32" i="37"/>
  <c r="CG32" i="37"/>
  <c r="CP11" i="37"/>
  <c r="CO11" i="37"/>
  <c r="CN11" i="37"/>
  <c r="CM11" i="37"/>
  <c r="CL11" i="37"/>
  <c r="CK11" i="37"/>
  <c r="CJ11" i="37"/>
  <c r="CI11" i="37"/>
  <c r="CH11" i="37"/>
  <c r="CG11" i="37"/>
  <c r="CP30" i="37"/>
  <c r="CO30" i="37"/>
  <c r="CN30" i="37"/>
  <c r="CM30" i="37"/>
  <c r="CL30" i="37"/>
  <c r="CK30" i="37"/>
  <c r="CJ30" i="37"/>
  <c r="CI30" i="37"/>
  <c r="CH30" i="37"/>
  <c r="CG30" i="37"/>
  <c r="CP33" i="37"/>
  <c r="CO33" i="37"/>
  <c r="CN33" i="37"/>
  <c r="CM33" i="37"/>
  <c r="CL33" i="37"/>
  <c r="CK33" i="37"/>
  <c r="CJ33" i="37"/>
  <c r="CI33" i="37"/>
  <c r="CH33" i="37"/>
  <c r="CG33" i="37"/>
  <c r="CT58" i="37" l="1"/>
  <c r="CA110" i="37" l="1"/>
  <c r="CA109" i="37"/>
  <c r="CA108" i="37"/>
  <c r="CA107" i="37"/>
  <c r="CA106" i="37"/>
  <c r="CA105" i="37"/>
  <c r="CA104" i="37"/>
  <c r="CA103" i="37"/>
  <c r="CA102" i="37"/>
  <c r="CA101" i="37"/>
  <c r="CA100" i="37"/>
  <c r="CA99" i="37"/>
  <c r="CA98" i="37"/>
  <c r="CA97" i="37"/>
  <c r="CA96" i="37"/>
  <c r="CA95" i="37"/>
  <c r="CA94" i="37"/>
  <c r="CA93" i="37"/>
  <c r="CA92" i="37"/>
  <c r="CA91" i="37"/>
  <c r="CA90" i="37"/>
  <c r="CA89" i="37"/>
  <c r="CA88" i="37"/>
  <c r="CA87" i="37"/>
  <c r="CA86" i="37"/>
  <c r="CA85" i="37"/>
  <c r="CA84" i="37"/>
  <c r="CA83" i="37"/>
  <c r="CA82" i="37"/>
  <c r="CA81" i="37"/>
  <c r="CA80" i="37"/>
  <c r="CA79" i="37"/>
  <c r="CA78" i="37"/>
  <c r="CA77" i="37"/>
  <c r="CA76" i="37"/>
  <c r="CA75" i="37"/>
  <c r="CA74" i="37"/>
  <c r="CA73" i="37"/>
  <c r="CA72" i="37"/>
  <c r="CA71" i="37"/>
  <c r="CA70" i="37"/>
  <c r="CA69" i="37"/>
  <c r="CA68" i="37"/>
  <c r="CA67" i="37"/>
  <c r="CA66" i="37"/>
  <c r="CA65" i="37"/>
  <c r="CA64" i="37"/>
  <c r="CA19" i="37"/>
  <c r="CA20" i="37"/>
  <c r="CA63" i="37"/>
  <c r="CA62" i="37"/>
  <c r="CA61" i="37"/>
  <c r="CA57" i="37"/>
  <c r="CA56" i="37"/>
  <c r="CA55" i="37"/>
  <c r="CA54" i="37"/>
  <c r="CA60" i="37"/>
  <c r="CA47" i="37"/>
  <c r="CA46" i="37"/>
  <c r="CA29" i="37"/>
  <c r="CA28" i="37"/>
  <c r="CA27" i="37"/>
  <c r="CA26" i="37"/>
  <c r="CA25" i="37"/>
  <c r="CA24" i="37"/>
  <c r="CA23" i="37"/>
  <c r="CA22" i="37"/>
  <c r="CA45" i="37"/>
  <c r="CA44" i="37"/>
  <c r="CA43" i="37"/>
  <c r="CA42" i="37"/>
  <c r="CA41" i="37"/>
  <c r="CA40" i="37"/>
  <c r="CA39" i="37"/>
  <c r="CA38" i="37"/>
  <c r="CA59" i="37"/>
  <c r="CA58" i="37"/>
  <c r="CA53" i="37"/>
  <c r="CA52" i="37"/>
  <c r="CA48" i="37"/>
  <c r="CA21" i="37"/>
  <c r="CA18" i="37"/>
  <c r="CA17" i="37"/>
  <c r="CA16" i="37"/>
  <c r="CA13" i="37"/>
  <c r="CA15" i="37"/>
  <c r="CA14" i="37"/>
  <c r="CA12" i="37"/>
  <c r="CA10" i="37"/>
  <c r="CA32" i="37"/>
  <c r="CA11" i="37"/>
  <c r="CA30" i="37"/>
  <c r="CA33" i="37"/>
  <c r="L10" i="37" l="1" a="1"/>
  <c r="L10" i="37" s="1"/>
  <c r="S60" i="37" a="1"/>
  <c r="S60" i="37" s="1"/>
  <c r="S59" i="37" a="1"/>
  <c r="S59" i="37" s="1"/>
  <c r="S58" i="37" a="1"/>
  <c r="S58" i="37" s="1"/>
  <c r="S57" i="37" a="1"/>
  <c r="S57" i="37" s="1"/>
  <c r="S56" i="37" a="1"/>
  <c r="S56" i="37" s="1"/>
  <c r="S55" i="37" a="1"/>
  <c r="S55" i="37" s="1"/>
  <c r="S54" i="37" a="1"/>
  <c r="S54" i="37" s="1"/>
  <c r="S53" i="37" a="1"/>
  <c r="S53" i="37" s="1"/>
  <c r="S52" i="37" a="1"/>
  <c r="S52" i="37" s="1"/>
  <c r="S51" i="37" a="1"/>
  <c r="S51" i="37" s="1"/>
  <c r="S50" i="37" a="1"/>
  <c r="S50" i="37" s="1"/>
  <c r="S49" i="37" a="1"/>
  <c r="S49" i="37" s="1"/>
  <c r="S48" i="37" a="1"/>
  <c r="S48" i="37" s="1"/>
  <c r="S47" i="37" a="1"/>
  <c r="S47" i="37" s="1"/>
  <c r="S46" i="37" a="1"/>
  <c r="S46" i="37" s="1"/>
  <c r="S45" i="37" a="1"/>
  <c r="S45" i="37" s="1"/>
  <c r="S44" i="37" a="1"/>
  <c r="S44" i="37" s="1"/>
  <c r="S43" i="37" a="1"/>
  <c r="S43" i="37" s="1"/>
  <c r="S42" i="37" a="1"/>
  <c r="S42" i="37" s="1"/>
  <c r="S41" i="37" a="1"/>
  <c r="S41" i="37" s="1"/>
  <c r="S40" i="37" a="1"/>
  <c r="S40" i="37" s="1"/>
  <c r="S39" i="37" a="1"/>
  <c r="S39" i="37" s="1"/>
  <c r="S38" i="37" a="1"/>
  <c r="S38" i="37" s="1"/>
  <c r="S37" i="37" a="1"/>
  <c r="S37" i="37" s="1"/>
  <c r="S36" i="37" a="1"/>
  <c r="S36" i="37" s="1"/>
  <c r="S35" i="37" a="1"/>
  <c r="S35" i="37" s="1"/>
  <c r="S34" i="37" a="1"/>
  <c r="S34" i="37" s="1"/>
  <c r="S33" i="37" a="1"/>
  <c r="S33" i="37" s="1"/>
  <c r="S32" i="37" a="1"/>
  <c r="S32" i="37" s="1"/>
  <c r="S31" i="37" a="1"/>
  <c r="S31" i="37" s="1"/>
  <c r="S30" i="37" a="1"/>
  <c r="S30" i="37" s="1"/>
  <c r="S29" i="37" a="1"/>
  <c r="S29" i="37" s="1"/>
  <c r="S28" i="37" a="1"/>
  <c r="S28" i="37" s="1"/>
  <c r="S27" i="37" a="1"/>
  <c r="S27" i="37" s="1"/>
  <c r="S26" i="37" a="1"/>
  <c r="S26" i="37" s="1"/>
  <c r="S25" i="37" a="1"/>
  <c r="S25" i="37" s="1"/>
  <c r="S24" i="37" a="1"/>
  <c r="S24" i="37" s="1"/>
  <c r="S23" i="37" a="1"/>
  <c r="S23" i="37" s="1"/>
  <c r="S22" i="37" a="1"/>
  <c r="S22" i="37" s="1"/>
  <c r="S21" i="37" a="1"/>
  <c r="S21" i="37" s="1"/>
  <c r="S20" i="37" a="1"/>
  <c r="S20" i="37" s="1"/>
  <c r="S19" i="37" a="1"/>
  <c r="S19" i="37" s="1"/>
  <c r="S18" i="37" a="1"/>
  <c r="S18" i="37" s="1"/>
  <c r="S17" i="37" a="1"/>
  <c r="S17" i="37" s="1"/>
  <c r="S16" i="37" a="1"/>
  <c r="S16" i="37" s="1"/>
  <c r="S15" i="37" a="1"/>
  <c r="S15" i="37" s="1"/>
  <c r="S14" i="37" a="1"/>
  <c r="S14" i="37" s="1"/>
  <c r="S13" i="37" a="1"/>
  <c r="S13" i="37" s="1"/>
  <c r="S12" i="37" a="1"/>
  <c r="S12" i="37" s="1"/>
  <c r="S11" i="37" a="1"/>
  <c r="S11" i="37" s="1"/>
  <c r="S10" i="37" a="1"/>
  <c r="S10" i="37" s="1"/>
  <c r="F3" i="61" a="1"/>
  <c r="F3" i="61" s="1"/>
  <c r="F4" i="61" a="1"/>
  <c r="F4" i="61" s="1"/>
  <c r="F5" i="61" a="1"/>
  <c r="F5" i="61" s="1"/>
  <c r="F6" i="61" a="1"/>
  <c r="F6" i="61" s="1"/>
  <c r="F7" i="61" a="1"/>
  <c r="F7" i="61" s="1"/>
  <c r="F8" i="61" a="1"/>
  <c r="F8" i="61" s="1"/>
  <c r="F9" i="61" a="1"/>
  <c r="F9" i="61" s="1"/>
  <c r="F10" i="61" a="1"/>
  <c r="F10" i="61" s="1"/>
  <c r="F11" i="61" a="1"/>
  <c r="F11" i="61" s="1"/>
  <c r="F12" i="61" a="1"/>
  <c r="F12" i="61" s="1"/>
  <c r="F13" i="61" a="1"/>
  <c r="F13" i="61" s="1"/>
  <c r="F14" i="61" a="1"/>
  <c r="F14" i="61" s="1"/>
  <c r="F15" i="61" a="1"/>
  <c r="F15" i="61" s="1"/>
  <c r="F16" i="61" a="1"/>
  <c r="F16" i="61" s="1"/>
  <c r="F17" i="61" a="1"/>
  <c r="F17" i="61" s="1"/>
  <c r="F18" i="61" a="1"/>
  <c r="F18" i="61" s="1"/>
  <c r="F2" i="61" a="1"/>
  <c r="F2" i="61" s="1"/>
  <c r="F19" i="61" a="1"/>
  <c r="F19" i="61" s="1"/>
  <c r="F20" i="61" a="1"/>
  <c r="F20" i="61" s="1"/>
  <c r="EE10" i="37" a="1"/>
  <c r="EE10" i="37" s="1"/>
  <c r="P32" i="37" a="1"/>
  <c r="P32" i="37" s="1"/>
  <c r="EG10" i="37" l="1"/>
  <c r="P12" i="37" a="1"/>
  <c r="P12" i="37" s="1"/>
  <c r="P13" i="37" a="1"/>
  <c r="P13" i="37" s="1"/>
  <c r="P14" i="37" a="1"/>
  <c r="P14" i="37" s="1"/>
  <c r="P15" i="37" a="1"/>
  <c r="P15" i="37" s="1"/>
  <c r="P16" i="37" a="1"/>
  <c r="P16" i="37" s="1"/>
  <c r="P17" i="37" a="1"/>
  <c r="P17" i="37" s="1"/>
  <c r="P18" i="37" a="1"/>
  <c r="P18" i="37" s="1"/>
  <c r="P19" i="37" a="1"/>
  <c r="P19" i="37" s="1"/>
  <c r="P20" i="37" a="1"/>
  <c r="P20" i="37" s="1"/>
  <c r="P21" i="37" a="1"/>
  <c r="P21" i="37" s="1"/>
  <c r="P22" i="37" a="1"/>
  <c r="P22" i="37" s="1"/>
  <c r="P23" i="37" a="1"/>
  <c r="P23" i="37" s="1"/>
  <c r="P24" i="37" a="1"/>
  <c r="P24" i="37" s="1"/>
  <c r="P25" i="37" a="1"/>
  <c r="P25" i="37" s="1"/>
  <c r="P26" i="37" a="1"/>
  <c r="P26" i="37" s="1"/>
  <c r="P27" i="37" a="1"/>
  <c r="P27" i="37" s="1"/>
  <c r="P28" i="37" a="1"/>
  <c r="P28" i="37" s="1"/>
  <c r="P29" i="37" a="1"/>
  <c r="P29" i="37" s="1"/>
  <c r="P30" i="37" a="1"/>
  <c r="P30" i="37" s="1"/>
  <c r="P31" i="37" a="1"/>
  <c r="P31" i="37" s="1"/>
  <c r="P33" i="37" a="1"/>
  <c r="P33" i="37" s="1"/>
  <c r="P34" i="37" a="1"/>
  <c r="P34" i="37" s="1"/>
  <c r="P35" i="37" a="1"/>
  <c r="P35" i="37" s="1"/>
  <c r="P36" i="37" a="1"/>
  <c r="P36" i="37" s="1"/>
  <c r="P37" i="37" a="1"/>
  <c r="P37" i="37" s="1"/>
  <c r="P38" i="37" a="1"/>
  <c r="P38" i="37" s="1"/>
  <c r="P39" i="37" a="1"/>
  <c r="P39" i="37" s="1"/>
  <c r="P40" i="37" a="1"/>
  <c r="P40" i="37" s="1"/>
  <c r="P41" i="37" a="1"/>
  <c r="P41" i="37" s="1"/>
  <c r="P42" i="37" a="1"/>
  <c r="P42" i="37" s="1"/>
  <c r="P43" i="37" a="1"/>
  <c r="P43" i="37" s="1"/>
  <c r="P44" i="37" a="1"/>
  <c r="P44" i="37" s="1"/>
  <c r="P45" i="37" a="1"/>
  <c r="P45" i="37" s="1"/>
  <c r="P46" i="37" a="1"/>
  <c r="P46" i="37" s="1"/>
  <c r="P47" i="37" a="1"/>
  <c r="P47" i="37" s="1"/>
  <c r="P48" i="37" a="1"/>
  <c r="P48" i="37" s="1"/>
  <c r="P49" i="37" a="1"/>
  <c r="P49" i="37" s="1"/>
  <c r="P50" i="37" a="1"/>
  <c r="P50" i="37" s="1"/>
  <c r="P51" i="37" a="1"/>
  <c r="P51" i="37" s="1"/>
  <c r="P52" i="37" a="1"/>
  <c r="P52" i="37" s="1"/>
  <c r="P53" i="37" a="1"/>
  <c r="P53" i="37" s="1"/>
  <c r="P54" i="37" a="1"/>
  <c r="P54" i="37" s="1"/>
  <c r="P55" i="37" a="1"/>
  <c r="P55" i="37" s="1"/>
  <c r="P56" i="37" a="1"/>
  <c r="P56" i="37" s="1"/>
  <c r="P57" i="37" a="1"/>
  <c r="P57" i="37" s="1"/>
  <c r="P58" i="37" a="1"/>
  <c r="P58" i="37" s="1"/>
  <c r="P59" i="37" a="1"/>
  <c r="P59" i="37" s="1"/>
  <c r="P60" i="37" a="1"/>
  <c r="P60" i="37" s="1"/>
  <c r="EI10" i="37" l="1"/>
  <c r="G55" i="62"/>
  <c r="I55" i="62" l="1"/>
  <c r="CR110" i="37"/>
  <c r="CS110" i="37" s="1"/>
  <c r="CR109" i="37"/>
  <c r="CS109" i="37" s="1"/>
  <c r="CR108" i="37"/>
  <c r="CS108" i="37" s="1"/>
  <c r="CR107" i="37"/>
  <c r="CS107" i="37" s="1"/>
  <c r="CR106" i="37"/>
  <c r="CS106" i="37" s="1"/>
  <c r="CR105" i="37"/>
  <c r="CS105" i="37" s="1"/>
  <c r="CR104" i="37"/>
  <c r="CS104" i="37" s="1"/>
  <c r="CR103" i="37"/>
  <c r="CS103" i="37" s="1"/>
  <c r="CR102" i="37"/>
  <c r="CS102" i="37" s="1"/>
  <c r="CR101" i="37"/>
  <c r="CS101" i="37" s="1"/>
  <c r="CR100" i="37"/>
  <c r="CS100" i="37" s="1"/>
  <c r="CR99" i="37"/>
  <c r="CS99" i="37" s="1"/>
  <c r="CR98" i="37"/>
  <c r="CS98" i="37" s="1"/>
  <c r="CR97" i="37"/>
  <c r="CS97" i="37" s="1"/>
  <c r="CR96" i="37"/>
  <c r="CS96" i="37" s="1"/>
  <c r="CR95" i="37"/>
  <c r="CS95" i="37" s="1"/>
  <c r="CR94" i="37"/>
  <c r="CS94" i="37" s="1"/>
  <c r="CR93" i="37"/>
  <c r="CS93" i="37" s="1"/>
  <c r="CR92" i="37"/>
  <c r="CS92" i="37" s="1"/>
  <c r="CR91" i="37"/>
  <c r="CS91" i="37" s="1"/>
  <c r="CR90" i="37"/>
  <c r="CS90" i="37" s="1"/>
  <c r="CR89" i="37"/>
  <c r="CS89" i="37" s="1"/>
  <c r="CR88" i="37"/>
  <c r="CS88" i="37" s="1"/>
  <c r="DA24" i="37" l="1"/>
  <c r="H55" i="62"/>
  <c r="M3" i="61" l="1"/>
  <c r="CT51" i="37" l="1"/>
  <c r="CT52" i="37" l="1"/>
  <c r="L15" i="37" l="1" a="1"/>
  <c r="L15" i="37" s="1"/>
  <c r="EF10" i="37" l="1" a="1"/>
  <c r="EF10" i="37" s="1"/>
  <c r="EF11" i="37" a="1"/>
  <c r="EF11" i="37" s="1"/>
  <c r="EF12" i="37" a="1"/>
  <c r="EF12" i="37" s="1"/>
  <c r="EF13" i="37" a="1"/>
  <c r="EF13" i="37" s="1"/>
  <c r="EF14" i="37" a="1"/>
  <c r="EF14" i="37" s="1"/>
  <c r="EF15" i="37" a="1"/>
  <c r="EF15" i="37" s="1"/>
  <c r="EF16" i="37" a="1"/>
  <c r="EF16" i="37" s="1"/>
  <c r="EF17" i="37" a="1"/>
  <c r="EF17" i="37" s="1"/>
  <c r="EF18" i="37" a="1"/>
  <c r="EF18" i="37" s="1"/>
  <c r="EF19" i="37" a="1"/>
  <c r="EF19" i="37" s="1"/>
  <c r="EF20" i="37" a="1"/>
  <c r="EF20" i="37" s="1"/>
  <c r="EF21" i="37" a="1"/>
  <c r="EF21" i="37" s="1"/>
  <c r="EF22" i="37" a="1"/>
  <c r="EF22" i="37" s="1"/>
  <c r="EF23" i="37" a="1"/>
  <c r="EF23" i="37" s="1"/>
  <c r="EF24" i="37" a="1"/>
  <c r="EF24" i="37" s="1"/>
  <c r="EF25" i="37" a="1"/>
  <c r="EF25" i="37" s="1"/>
  <c r="EF26" i="37" a="1"/>
  <c r="EF26" i="37" s="1"/>
  <c r="EF27" i="37" a="1"/>
  <c r="EF27" i="37" s="1"/>
  <c r="EF28" i="37" a="1"/>
  <c r="EF28" i="37" s="1"/>
  <c r="EF29" i="37" a="1"/>
  <c r="EF29" i="37" s="1"/>
  <c r="EF30" i="37" a="1"/>
  <c r="EF30" i="37" s="1"/>
  <c r="EF31" i="37" a="1"/>
  <c r="EF31" i="37" s="1"/>
  <c r="EF32" i="37" a="1"/>
  <c r="EF32" i="37" s="1"/>
  <c r="EF33" i="37" a="1"/>
  <c r="EF33" i="37" s="1"/>
  <c r="EF34" i="37" a="1"/>
  <c r="EF34" i="37" s="1"/>
  <c r="EF35" i="37" a="1"/>
  <c r="EF35" i="37" s="1"/>
  <c r="EF36" i="37" a="1"/>
  <c r="EF36" i="37" s="1"/>
  <c r="EF37" i="37" a="1"/>
  <c r="EF37" i="37" s="1"/>
  <c r="EF38" i="37" a="1"/>
  <c r="EF38" i="37" s="1"/>
  <c r="EF39" i="37" a="1"/>
  <c r="EF39" i="37" s="1"/>
  <c r="EF40" i="37" a="1"/>
  <c r="EF40" i="37" s="1"/>
  <c r="EF41" i="37" a="1"/>
  <c r="EF41" i="37" s="1"/>
  <c r="EF42" i="37" a="1"/>
  <c r="EF42" i="37" s="1"/>
  <c r="EF43" i="37" a="1"/>
  <c r="EF43" i="37" s="1"/>
  <c r="EF44" i="37" a="1"/>
  <c r="EF44" i="37" s="1"/>
  <c r="EF45" i="37" a="1"/>
  <c r="EF45" i="37" s="1"/>
  <c r="EF46" i="37" a="1"/>
  <c r="EF46" i="37" s="1"/>
  <c r="EF47" i="37" a="1"/>
  <c r="EF47" i="37" s="1"/>
  <c r="EF48" i="37" a="1"/>
  <c r="EF48" i="37" s="1"/>
  <c r="EF49" i="37" a="1"/>
  <c r="EF49" i="37" s="1"/>
  <c r="EF50" i="37" a="1"/>
  <c r="EF50" i="37" s="1"/>
  <c r="EF51" i="37" a="1"/>
  <c r="EF51" i="37" s="1"/>
  <c r="EF52" i="37" a="1"/>
  <c r="EF52" i="37" s="1"/>
  <c r="EF53" i="37" a="1"/>
  <c r="EF53" i="37" s="1"/>
  <c r="EF54" i="37" a="1"/>
  <c r="EF54" i="37" s="1"/>
  <c r="EF55" i="37" a="1"/>
  <c r="EF55" i="37" s="1"/>
  <c r="EF56" i="37" a="1"/>
  <c r="EF56" i="37" s="1"/>
  <c r="EF57" i="37" a="1"/>
  <c r="EF57" i="37" s="1"/>
  <c r="EF58" i="37" a="1"/>
  <c r="EF58" i="37" s="1"/>
  <c r="EF59" i="37" a="1"/>
  <c r="EF59" i="37" s="1"/>
  <c r="EF60" i="37" a="1"/>
  <c r="EF60" i="37" s="1"/>
  <c r="EF61" i="37" a="1"/>
  <c r="EF61" i="37" s="1"/>
  <c r="EF62" i="37" a="1"/>
  <c r="EF62" i="37" s="1"/>
  <c r="EF63" i="37" a="1"/>
  <c r="EF63" i="37" s="1"/>
  <c r="EF64" i="37" a="1"/>
  <c r="EF64" i="37" s="1"/>
  <c r="EF65" i="37" a="1"/>
  <c r="EF65" i="37" s="1"/>
  <c r="EF66" i="37" a="1"/>
  <c r="EF66" i="37" s="1"/>
  <c r="EF67" i="37" a="1"/>
  <c r="EF67" i="37" s="1"/>
  <c r="EF68" i="37" a="1"/>
  <c r="EF68" i="37" s="1"/>
  <c r="EF69" i="37" a="1"/>
  <c r="EF69" i="37" s="1"/>
  <c r="EF70" i="37" a="1"/>
  <c r="EF70" i="37" s="1"/>
  <c r="EF71" i="37" a="1"/>
  <c r="EF71" i="37" s="1"/>
  <c r="EF72" i="37" a="1"/>
  <c r="EF72" i="37" s="1"/>
  <c r="EF73" i="37" a="1"/>
  <c r="EF73" i="37" s="1"/>
  <c r="EF74" i="37" a="1"/>
  <c r="EF74" i="37" s="1"/>
  <c r="EF75" i="37" a="1"/>
  <c r="EF75" i="37" s="1"/>
  <c r="EF76" i="37" a="1"/>
  <c r="EF76" i="37" s="1"/>
  <c r="EF77" i="37" a="1"/>
  <c r="EF77" i="37" s="1"/>
  <c r="EF78" i="37" a="1"/>
  <c r="EF78" i="37" s="1"/>
  <c r="EF79" i="37" a="1"/>
  <c r="EF79" i="37" s="1"/>
  <c r="EF80" i="37" a="1"/>
  <c r="EF80" i="37" s="1"/>
  <c r="EF81" i="37" a="1"/>
  <c r="EF81" i="37" s="1"/>
  <c r="EF82" i="37" a="1"/>
  <c r="EF82" i="37" s="1"/>
  <c r="EF83" i="37" a="1"/>
  <c r="EF83" i="37" s="1"/>
  <c r="EF84" i="37" a="1"/>
  <c r="EF84" i="37" s="1"/>
  <c r="EF85" i="37" a="1"/>
  <c r="EF85" i="37" s="1"/>
  <c r="EF86" i="37" a="1"/>
  <c r="EF86" i="37" s="1"/>
  <c r="EF87" i="37" a="1"/>
  <c r="EF87" i="37" s="1"/>
  <c r="EF88" i="37" a="1"/>
  <c r="EF88" i="37" s="1"/>
  <c r="EF89" i="37" a="1"/>
  <c r="EF89" i="37" s="1"/>
  <c r="EF90" i="37" a="1"/>
  <c r="EF90" i="37" s="1"/>
  <c r="EF91" i="37" a="1"/>
  <c r="EF91" i="37" s="1"/>
  <c r="EF92" i="37" a="1"/>
  <c r="EF92" i="37" s="1"/>
  <c r="EF93" i="37" a="1"/>
  <c r="EF93" i="37" s="1"/>
  <c r="EF94" i="37" a="1"/>
  <c r="EF94" i="37" s="1"/>
  <c r="EF95" i="37" a="1"/>
  <c r="EF95" i="37" s="1"/>
  <c r="EF96" i="37" a="1"/>
  <c r="EF96" i="37" s="1"/>
  <c r="EF97" i="37" a="1"/>
  <c r="EF97" i="37" s="1"/>
  <c r="EF98" i="37" a="1"/>
  <c r="EF98" i="37" s="1"/>
  <c r="EF99" i="37" a="1"/>
  <c r="EF99" i="37" s="1"/>
  <c r="EF100" i="37" a="1"/>
  <c r="EF100" i="37" s="1"/>
  <c r="EF101" i="37" a="1"/>
  <c r="EF101" i="37" s="1"/>
  <c r="EF102" i="37" a="1"/>
  <c r="EF102" i="37" s="1"/>
  <c r="EF103" i="37" a="1"/>
  <c r="EF103" i="37" s="1"/>
  <c r="EF104" i="37" a="1"/>
  <c r="EF104" i="37" s="1"/>
  <c r="EF105" i="37" a="1"/>
  <c r="EF105" i="37" s="1"/>
  <c r="EF106" i="37" a="1"/>
  <c r="EF106" i="37" s="1"/>
  <c r="EF107" i="37" a="1"/>
  <c r="EF107" i="37" s="1"/>
  <c r="EF108" i="37" a="1"/>
  <c r="EF108" i="37" s="1"/>
  <c r="EF109" i="37" a="1"/>
  <c r="EF109" i="37" s="1"/>
  <c r="EF110" i="37" a="1"/>
  <c r="EF110" i="37" s="1"/>
  <c r="EF111" i="37" a="1"/>
  <c r="EF111" i="37" s="1"/>
  <c r="EF112" i="37" a="1"/>
  <c r="EF112" i="37" s="1"/>
  <c r="EF113" i="37" a="1"/>
  <c r="EF113" i="37" s="1"/>
  <c r="EF114" i="37" a="1"/>
  <c r="EF114" i="37" s="1"/>
  <c r="EF115" i="37" a="1"/>
  <c r="EF115" i="37" s="1"/>
  <c r="EF116" i="37" a="1"/>
  <c r="EF116" i="37" s="1"/>
  <c r="EF117" i="37" a="1"/>
  <c r="EF117" i="37" s="1"/>
  <c r="EF118" i="37" a="1"/>
  <c r="EF118" i="37" s="1"/>
  <c r="EF119" i="37" a="1"/>
  <c r="EF119" i="37" s="1"/>
  <c r="EF120" i="37" a="1"/>
  <c r="EF120" i="37" s="1"/>
  <c r="EF121" i="37" a="1"/>
  <c r="EF121" i="37" s="1"/>
  <c r="EF122" i="37" a="1"/>
  <c r="EF122" i="37" s="1"/>
  <c r="EF123" i="37" a="1"/>
  <c r="EF123" i="37" s="1"/>
  <c r="EF124" i="37" a="1"/>
  <c r="EF124" i="37" s="1"/>
  <c r="EF125" i="37" a="1"/>
  <c r="EF125" i="37" s="1"/>
  <c r="EF126" i="37" a="1"/>
  <c r="EF126" i="37" s="1"/>
  <c r="EF127" i="37" a="1"/>
  <c r="EF127" i="37" s="1"/>
  <c r="EF128" i="37" a="1"/>
  <c r="EF128" i="37" s="1"/>
  <c r="EF129" i="37" a="1"/>
  <c r="EF129" i="37" s="1"/>
  <c r="EF130" i="37" a="1"/>
  <c r="EF130" i="37" s="1"/>
  <c r="EF131" i="37" a="1"/>
  <c r="EF131" i="37" s="1"/>
  <c r="EF132" i="37" a="1"/>
  <c r="EF132" i="37" s="1"/>
  <c r="EF133" i="37" a="1"/>
  <c r="EF133" i="37" s="1"/>
  <c r="EF134" i="37" a="1"/>
  <c r="EF134" i="37" s="1"/>
  <c r="EF135" i="37" a="1"/>
  <c r="EF135" i="37" s="1"/>
  <c r="EF136" i="37" a="1"/>
  <c r="EF136" i="37" s="1"/>
  <c r="EF137" i="37" a="1"/>
  <c r="EF137" i="37" s="1"/>
  <c r="EF138" i="37" a="1"/>
  <c r="EF138" i="37" s="1"/>
  <c r="EF139" i="37" a="1"/>
  <c r="EF139" i="37" s="1"/>
  <c r="EF140" i="37" a="1"/>
  <c r="EF140" i="37" s="1"/>
  <c r="EF141" i="37" a="1"/>
  <c r="EF141" i="37" s="1"/>
  <c r="EF142" i="37" a="1"/>
  <c r="EF142" i="37" s="1"/>
  <c r="EF143" i="37" a="1"/>
  <c r="EF143" i="37" s="1"/>
  <c r="EF144" i="37" a="1"/>
  <c r="EF144" i="37" s="1"/>
  <c r="EF145" i="37" a="1"/>
  <c r="EF145" i="37" s="1"/>
  <c r="EF146" i="37" a="1"/>
  <c r="EF146" i="37" s="1"/>
  <c r="EF147" i="37" a="1"/>
  <c r="EF147" i="37" s="1"/>
  <c r="EF148" i="37" a="1"/>
  <c r="EF148" i="37" s="1"/>
  <c r="EF149" i="37" a="1"/>
  <c r="EF149" i="37" s="1"/>
  <c r="EF150" i="37" a="1"/>
  <c r="EF150" i="37" s="1"/>
  <c r="EF151" i="37" a="1"/>
  <c r="EF151" i="37" s="1"/>
  <c r="EF152" i="37" a="1"/>
  <c r="EF152" i="37" s="1"/>
  <c r="EF153" i="37" a="1"/>
  <c r="EF153" i="37" s="1"/>
  <c r="EF154" i="37" a="1"/>
  <c r="EF154" i="37" s="1"/>
  <c r="EF155" i="37" a="1"/>
  <c r="EF155" i="37" s="1"/>
  <c r="EF156" i="37" a="1"/>
  <c r="EF156" i="37" s="1"/>
  <c r="EF157" i="37" a="1"/>
  <c r="EF157" i="37" s="1"/>
  <c r="EF158" i="37" a="1"/>
  <c r="EF158" i="37" s="1"/>
  <c r="EF159" i="37" a="1"/>
  <c r="EF159" i="37" s="1"/>
  <c r="EF160" i="37" a="1"/>
  <c r="EF160" i="37" s="1"/>
  <c r="EF161" i="37" a="1"/>
  <c r="EF161" i="37" s="1"/>
  <c r="EF162" i="37" a="1"/>
  <c r="EF162" i="37" s="1"/>
  <c r="EF163" i="37" a="1"/>
  <c r="EF163" i="37" s="1"/>
  <c r="EF164" i="37" a="1"/>
  <c r="EF164" i="37" s="1"/>
  <c r="EF165" i="37" a="1"/>
  <c r="EF165" i="37" s="1"/>
  <c r="EF166" i="37" a="1"/>
  <c r="EF166" i="37" s="1"/>
  <c r="EF167" i="37" a="1"/>
  <c r="EF167" i="37" s="1"/>
  <c r="EF168" i="37" a="1"/>
  <c r="EF168" i="37" s="1"/>
  <c r="EF169" i="37" a="1"/>
  <c r="EF169" i="37" s="1"/>
  <c r="EF170" i="37" a="1"/>
  <c r="EF170" i="37" s="1"/>
  <c r="EF171" i="37" a="1"/>
  <c r="EF171" i="37" s="1"/>
  <c r="EF172" i="37" a="1"/>
  <c r="EF172" i="37" s="1"/>
  <c r="EF173" i="37" a="1"/>
  <c r="EF173" i="37" s="1"/>
  <c r="EF174" i="37" a="1"/>
  <c r="EF174" i="37" s="1"/>
  <c r="EF175" i="37" a="1"/>
  <c r="EF175" i="37" s="1"/>
  <c r="EF176" i="37" a="1"/>
  <c r="EF176" i="37" s="1"/>
  <c r="EF177" i="37" a="1"/>
  <c r="EF177" i="37" s="1"/>
  <c r="EF178" i="37" a="1"/>
  <c r="EF178" i="37" s="1"/>
  <c r="EF179" i="37" a="1"/>
  <c r="EF179" i="37" s="1"/>
  <c r="EF180" i="37" a="1"/>
  <c r="EF180" i="37" s="1"/>
  <c r="EF181" i="37" a="1"/>
  <c r="EF181" i="37" s="1"/>
  <c r="EF182" i="37" a="1"/>
  <c r="EF182" i="37" s="1"/>
  <c r="EF183" i="37" a="1"/>
  <c r="EF183" i="37" s="1"/>
  <c r="EF184" i="37" a="1"/>
  <c r="EF184" i="37" s="1"/>
  <c r="EF185" i="37" a="1"/>
  <c r="EF185" i="37" s="1"/>
  <c r="EF186" i="37" a="1"/>
  <c r="EF186" i="37" s="1"/>
  <c r="EF187" i="37" a="1"/>
  <c r="EF187" i="37" s="1"/>
  <c r="EF188" i="37" a="1"/>
  <c r="EF188" i="37" s="1"/>
  <c r="EF189" i="37" a="1"/>
  <c r="EF189" i="37" s="1"/>
  <c r="EF190" i="37" a="1"/>
  <c r="EF190" i="37" s="1"/>
  <c r="EF191" i="37" a="1"/>
  <c r="EF191" i="37" s="1"/>
  <c r="EF192" i="37" a="1"/>
  <c r="EF192" i="37" s="1"/>
  <c r="EF193" i="37" a="1"/>
  <c r="EF193" i="37" s="1"/>
  <c r="EF194" i="37" a="1"/>
  <c r="EF194" i="37" s="1"/>
  <c r="EF195" i="37" a="1"/>
  <c r="EF195" i="37" s="1"/>
  <c r="EF196" i="37" a="1"/>
  <c r="EF196" i="37" s="1"/>
  <c r="EF197" i="37" a="1"/>
  <c r="EF197" i="37" s="1"/>
  <c r="EF198" i="37" a="1"/>
  <c r="EF198" i="37" s="1"/>
  <c r="EF199" i="37" a="1"/>
  <c r="EF199" i="37" s="1"/>
  <c r="EF200" i="37" a="1"/>
  <c r="EF200" i="37" s="1"/>
  <c r="EF201" i="37" a="1"/>
  <c r="EF201" i="37" s="1"/>
  <c r="EF202" i="37" a="1"/>
  <c r="EF202" i="37" s="1"/>
  <c r="EF203" i="37" a="1"/>
  <c r="EF203" i="37" s="1"/>
  <c r="EF204" i="37" a="1"/>
  <c r="EF204" i="37" s="1"/>
  <c r="EF205" i="37" a="1"/>
  <c r="EF205" i="37" s="1"/>
  <c r="EF206" i="37" a="1"/>
  <c r="EF206" i="37" s="1"/>
  <c r="EF207" i="37" a="1"/>
  <c r="EF207" i="37" s="1"/>
  <c r="EF208" i="37" a="1"/>
  <c r="EF208" i="37" s="1"/>
  <c r="EF209" i="37" a="1"/>
  <c r="EF209" i="37" s="1"/>
  <c r="EF210" i="37" a="1"/>
  <c r="EF210" i="37" s="1"/>
  <c r="EF211" i="37" a="1"/>
  <c r="EF211" i="37" s="1"/>
  <c r="EF212" i="37" a="1"/>
  <c r="EF212" i="37" s="1"/>
  <c r="EF213" i="37" a="1"/>
  <c r="EF213" i="37" s="1"/>
  <c r="EF214" i="37" a="1"/>
  <c r="EF214" i="37" s="1"/>
  <c r="EF215" i="37" a="1"/>
  <c r="EF215" i="37" s="1"/>
  <c r="EF216" i="37" a="1"/>
  <c r="EF216" i="37" s="1"/>
  <c r="EF217" i="37" a="1"/>
  <c r="EF217" i="37" s="1"/>
  <c r="EF218" i="37" a="1"/>
  <c r="EF218" i="37" s="1"/>
  <c r="EF219" i="37" a="1"/>
  <c r="EF219" i="37" s="1"/>
  <c r="EF220" i="37" a="1"/>
  <c r="EF220" i="37" s="1"/>
  <c r="EF221" i="37" a="1"/>
  <c r="EF221" i="37" s="1"/>
  <c r="EF222" i="37" a="1"/>
  <c r="EF222" i="37" s="1"/>
  <c r="EF223" i="37" a="1"/>
  <c r="EF223" i="37" s="1"/>
  <c r="EF224" i="37" a="1"/>
  <c r="EF224" i="37" s="1"/>
  <c r="EF225" i="37" a="1"/>
  <c r="EF225" i="37" s="1"/>
  <c r="EF226" i="37" a="1"/>
  <c r="EF226" i="37" s="1"/>
  <c r="EF227" i="37" a="1"/>
  <c r="EF227" i="37" s="1"/>
  <c r="EF228" i="37" a="1"/>
  <c r="EF228" i="37" s="1"/>
  <c r="EF229" i="37" a="1"/>
  <c r="EF229" i="37" s="1"/>
  <c r="EF230" i="37" a="1"/>
  <c r="EF230" i="37" s="1"/>
  <c r="EF231" i="37" a="1"/>
  <c r="EF231" i="37" s="1"/>
  <c r="EF232" i="37" a="1"/>
  <c r="EF232" i="37" s="1"/>
  <c r="EF233" i="37" a="1"/>
  <c r="EF233" i="37" s="1"/>
  <c r="EF234" i="37" a="1"/>
  <c r="EF234" i="37" s="1"/>
  <c r="EF235" i="37" a="1"/>
  <c r="EF235" i="37" s="1"/>
  <c r="EF236" i="37" a="1"/>
  <c r="EF236" i="37" s="1"/>
  <c r="EF237" i="37" a="1"/>
  <c r="EF237" i="37" s="1"/>
  <c r="EF238" i="37" a="1"/>
  <c r="EF238" i="37" s="1"/>
  <c r="EF239" i="37" a="1"/>
  <c r="EF239" i="37" s="1"/>
  <c r="EF240" i="37" a="1"/>
  <c r="EF240" i="37" s="1"/>
  <c r="EF241" i="37" a="1"/>
  <c r="EF241" i="37" s="1"/>
  <c r="EF242" i="37" a="1"/>
  <c r="EF242" i="37" s="1"/>
  <c r="EF243" i="37" a="1"/>
  <c r="EF243" i="37" s="1"/>
  <c r="EF244" i="37" a="1"/>
  <c r="EF244" i="37" s="1"/>
  <c r="EF245" i="37" a="1"/>
  <c r="EF245" i="37" s="1"/>
  <c r="EF246" i="37" a="1"/>
  <c r="EF246" i="37" s="1"/>
  <c r="EF247" i="37" a="1"/>
  <c r="EF247" i="37" s="1"/>
  <c r="EF248" i="37" a="1"/>
  <c r="EF248" i="37" s="1"/>
  <c r="EF249" i="37" a="1"/>
  <c r="EF249" i="37" s="1"/>
  <c r="EF250" i="37" a="1"/>
  <c r="EF250" i="37" s="1"/>
  <c r="EE11" i="37" a="1"/>
  <c r="EE11" i="37" s="1"/>
  <c r="EE12" i="37" a="1"/>
  <c r="EE12" i="37" s="1"/>
  <c r="EE13" i="37" a="1"/>
  <c r="EE13" i="37" s="1"/>
  <c r="EE14" i="37" a="1"/>
  <c r="EE14" i="37" s="1"/>
  <c r="EE15" i="37" a="1"/>
  <c r="EE15" i="37" s="1"/>
  <c r="EE16" i="37" a="1"/>
  <c r="EE16" i="37" s="1"/>
  <c r="EE17" i="37" a="1"/>
  <c r="EE17" i="37" s="1"/>
  <c r="EE18" i="37" a="1"/>
  <c r="EE18" i="37" s="1"/>
  <c r="EE19" i="37" a="1"/>
  <c r="EE19" i="37" s="1"/>
  <c r="EE20" i="37" a="1"/>
  <c r="EE20" i="37" s="1"/>
  <c r="EE21" i="37" a="1"/>
  <c r="EE21" i="37" s="1"/>
  <c r="EE22" i="37" a="1"/>
  <c r="EE22" i="37" s="1"/>
  <c r="EE23" i="37" a="1"/>
  <c r="EE23" i="37" s="1"/>
  <c r="EE24" i="37" a="1"/>
  <c r="EE24" i="37" s="1"/>
  <c r="EE25" i="37" a="1"/>
  <c r="EE25" i="37" s="1"/>
  <c r="EE26" i="37" a="1"/>
  <c r="EE26" i="37" s="1"/>
  <c r="EE27" i="37" a="1"/>
  <c r="EE27" i="37" s="1"/>
  <c r="EE28" i="37" a="1"/>
  <c r="EE28" i="37" s="1"/>
  <c r="EE29" i="37" a="1"/>
  <c r="EE29" i="37" s="1"/>
  <c r="EE30" i="37" a="1"/>
  <c r="EE30" i="37" s="1"/>
  <c r="EE31" i="37" a="1"/>
  <c r="EE31" i="37" s="1"/>
  <c r="EE32" i="37" a="1"/>
  <c r="EE32" i="37" s="1"/>
  <c r="EE33" i="37" a="1"/>
  <c r="EE33" i="37" s="1"/>
  <c r="EE34" i="37" a="1"/>
  <c r="EE34" i="37" s="1"/>
  <c r="EE35" i="37" a="1"/>
  <c r="EE35" i="37" s="1"/>
  <c r="EE36" i="37" a="1"/>
  <c r="EE36" i="37" s="1"/>
  <c r="EE37" i="37" a="1"/>
  <c r="EE37" i="37" s="1"/>
  <c r="EE38" i="37" a="1"/>
  <c r="EE38" i="37" s="1"/>
  <c r="EE39" i="37" a="1"/>
  <c r="EE39" i="37" s="1"/>
  <c r="EE40" i="37" a="1"/>
  <c r="EE40" i="37" s="1"/>
  <c r="EE41" i="37" a="1"/>
  <c r="EE41" i="37" s="1"/>
  <c r="EE42" i="37" a="1"/>
  <c r="EE42" i="37" s="1"/>
  <c r="EE43" i="37" a="1"/>
  <c r="EE43" i="37" s="1"/>
  <c r="EE44" i="37" a="1"/>
  <c r="EE44" i="37" s="1"/>
  <c r="EE45" i="37" a="1"/>
  <c r="EE45" i="37" s="1"/>
  <c r="EE46" i="37" a="1"/>
  <c r="EE46" i="37" s="1"/>
  <c r="EE47" i="37" a="1"/>
  <c r="EE47" i="37" s="1"/>
  <c r="EE48" i="37" a="1"/>
  <c r="EE48" i="37" s="1"/>
  <c r="EE49" i="37" a="1"/>
  <c r="EE49" i="37" s="1"/>
  <c r="EE50" i="37" a="1"/>
  <c r="EE50" i="37" s="1"/>
  <c r="EE51" i="37" a="1"/>
  <c r="EE51" i="37" s="1"/>
  <c r="EE52" i="37" a="1"/>
  <c r="EE52" i="37" s="1"/>
  <c r="EE53" i="37" a="1"/>
  <c r="EE53" i="37" s="1"/>
  <c r="EE54" i="37" a="1"/>
  <c r="EE54" i="37" s="1"/>
  <c r="EE55" i="37" a="1"/>
  <c r="EE55" i="37" s="1"/>
  <c r="EE56" i="37" a="1"/>
  <c r="EE56" i="37" s="1"/>
  <c r="EE57" i="37" a="1"/>
  <c r="EE57" i="37" s="1"/>
  <c r="EE58" i="37" a="1"/>
  <c r="EE58" i="37" s="1"/>
  <c r="EE59" i="37" a="1"/>
  <c r="EE59" i="37" s="1"/>
  <c r="EE60" i="37" a="1"/>
  <c r="EE60" i="37" s="1"/>
  <c r="EE61" i="37" a="1"/>
  <c r="EE61" i="37" s="1"/>
  <c r="EE62" i="37" a="1"/>
  <c r="EE62" i="37" s="1"/>
  <c r="EE63" i="37" a="1"/>
  <c r="EE63" i="37" s="1"/>
  <c r="EE64" i="37" a="1"/>
  <c r="EE64" i="37" s="1"/>
  <c r="EE65" i="37" a="1"/>
  <c r="EE65" i="37" s="1"/>
  <c r="EE66" i="37" a="1"/>
  <c r="EE66" i="37" s="1"/>
  <c r="EE67" i="37" a="1"/>
  <c r="EE67" i="37" s="1"/>
  <c r="EE68" i="37" a="1"/>
  <c r="EE68" i="37" s="1"/>
  <c r="EE69" i="37" a="1"/>
  <c r="EE69" i="37" s="1"/>
  <c r="EE70" i="37" a="1"/>
  <c r="EE70" i="37" s="1"/>
  <c r="EE71" i="37" a="1"/>
  <c r="EE71" i="37" s="1"/>
  <c r="EE72" i="37" a="1"/>
  <c r="EE72" i="37" s="1"/>
  <c r="EE73" i="37" a="1"/>
  <c r="EE73" i="37" s="1"/>
  <c r="EE74" i="37" a="1"/>
  <c r="EE74" i="37" s="1"/>
  <c r="EE75" i="37" a="1"/>
  <c r="EE75" i="37" s="1"/>
  <c r="EE76" i="37" a="1"/>
  <c r="EE76" i="37" s="1"/>
  <c r="EE77" i="37" a="1"/>
  <c r="EE77" i="37" s="1"/>
  <c r="EE78" i="37" a="1"/>
  <c r="EE78" i="37" s="1"/>
  <c r="EE79" i="37" a="1"/>
  <c r="EE79" i="37" s="1"/>
  <c r="EE80" i="37" a="1"/>
  <c r="EE80" i="37" s="1"/>
  <c r="EE81" i="37" a="1"/>
  <c r="EE81" i="37" s="1"/>
  <c r="EE82" i="37" a="1"/>
  <c r="EE82" i="37" s="1"/>
  <c r="EE83" i="37" a="1"/>
  <c r="EE83" i="37" s="1"/>
  <c r="EE84" i="37" a="1"/>
  <c r="EE84" i="37" s="1"/>
  <c r="EE85" i="37" a="1"/>
  <c r="EE85" i="37" s="1"/>
  <c r="EE86" i="37" a="1"/>
  <c r="EE86" i="37" s="1"/>
  <c r="EE87" i="37" a="1"/>
  <c r="EE87" i="37" s="1"/>
  <c r="EE88" i="37" a="1"/>
  <c r="EE88" i="37" s="1"/>
  <c r="EE89" i="37" a="1"/>
  <c r="EE89" i="37" s="1"/>
  <c r="EE90" i="37" a="1"/>
  <c r="EE90" i="37" s="1"/>
  <c r="EE91" i="37" a="1"/>
  <c r="EE91" i="37" s="1"/>
  <c r="EE92" i="37" a="1"/>
  <c r="EE92" i="37" s="1"/>
  <c r="EE93" i="37" a="1"/>
  <c r="EE93" i="37" s="1"/>
  <c r="EE94" i="37" a="1"/>
  <c r="EE94" i="37" s="1"/>
  <c r="EE95" i="37" a="1"/>
  <c r="EE95" i="37" s="1"/>
  <c r="EE96" i="37" a="1"/>
  <c r="EE96" i="37" s="1"/>
  <c r="EE97" i="37" a="1"/>
  <c r="EE97" i="37" s="1"/>
  <c r="EE98" i="37" a="1"/>
  <c r="EE98" i="37" s="1"/>
  <c r="EE99" i="37" a="1"/>
  <c r="EE99" i="37" s="1"/>
  <c r="EE100" i="37" a="1"/>
  <c r="EE100" i="37" s="1"/>
  <c r="EE101" i="37" a="1"/>
  <c r="EE101" i="37" s="1"/>
  <c r="EE102" i="37" a="1"/>
  <c r="EE102" i="37" s="1"/>
  <c r="EE103" i="37" a="1"/>
  <c r="EE103" i="37" s="1"/>
  <c r="EE104" i="37" a="1"/>
  <c r="EE104" i="37" s="1"/>
  <c r="EE105" i="37" a="1"/>
  <c r="EE105" i="37" s="1"/>
  <c r="EE106" i="37" a="1"/>
  <c r="EE106" i="37" s="1"/>
  <c r="EE107" i="37" a="1"/>
  <c r="EE107" i="37" s="1"/>
  <c r="EE108" i="37" a="1"/>
  <c r="EE108" i="37" s="1"/>
  <c r="EE109" i="37" a="1"/>
  <c r="EE109" i="37" s="1"/>
  <c r="EE110" i="37" a="1"/>
  <c r="EE110" i="37" s="1"/>
  <c r="EE111" i="37" a="1"/>
  <c r="EE111" i="37" s="1"/>
  <c r="EE112" i="37" a="1"/>
  <c r="EE112" i="37" s="1"/>
  <c r="EE113" i="37" a="1"/>
  <c r="EE113" i="37" s="1"/>
  <c r="EE114" i="37" a="1"/>
  <c r="EE114" i="37" s="1"/>
  <c r="EE115" i="37" a="1"/>
  <c r="EE115" i="37" s="1"/>
  <c r="EE116" i="37" a="1"/>
  <c r="EE116" i="37" s="1"/>
  <c r="EE117" i="37" a="1"/>
  <c r="EE117" i="37" s="1"/>
  <c r="EE118" i="37" a="1"/>
  <c r="EE118" i="37" s="1"/>
  <c r="EE119" i="37" a="1"/>
  <c r="EE119" i="37" s="1"/>
  <c r="EE120" i="37" a="1"/>
  <c r="EE120" i="37" s="1"/>
  <c r="EE121" i="37" a="1"/>
  <c r="EE121" i="37" s="1"/>
  <c r="EE122" i="37" a="1"/>
  <c r="EE122" i="37" s="1"/>
  <c r="EE123" i="37" a="1"/>
  <c r="EE123" i="37" s="1"/>
  <c r="EE124" i="37" a="1"/>
  <c r="EE124" i="37" s="1"/>
  <c r="EE125" i="37" a="1"/>
  <c r="EE125" i="37" s="1"/>
  <c r="EE126" i="37" a="1"/>
  <c r="EE126" i="37" s="1"/>
  <c r="EE127" i="37" a="1"/>
  <c r="EE127" i="37" s="1"/>
  <c r="EE128" i="37" a="1"/>
  <c r="EE128" i="37" s="1"/>
  <c r="EE129" i="37" a="1"/>
  <c r="EE129" i="37" s="1"/>
  <c r="EE130" i="37" a="1"/>
  <c r="EE130" i="37" s="1"/>
  <c r="EE131" i="37" a="1"/>
  <c r="EE131" i="37" s="1"/>
  <c r="EE132" i="37" a="1"/>
  <c r="EE132" i="37" s="1"/>
  <c r="EE133" i="37" a="1"/>
  <c r="EE133" i="37" s="1"/>
  <c r="EE134" i="37" a="1"/>
  <c r="EE134" i="37" s="1"/>
  <c r="EE135" i="37" a="1"/>
  <c r="EE135" i="37" s="1"/>
  <c r="EE136" i="37" a="1"/>
  <c r="EE136" i="37" s="1"/>
  <c r="EE137" i="37" a="1"/>
  <c r="EE137" i="37" s="1"/>
  <c r="EE138" i="37" a="1"/>
  <c r="EE138" i="37" s="1"/>
  <c r="EE139" i="37" a="1"/>
  <c r="EE139" i="37" s="1"/>
  <c r="EE140" i="37" a="1"/>
  <c r="EE140" i="37" s="1"/>
  <c r="EE141" i="37" a="1"/>
  <c r="EE141" i="37" s="1"/>
  <c r="EE142" i="37" a="1"/>
  <c r="EE142" i="37" s="1"/>
  <c r="EE143" i="37" a="1"/>
  <c r="EE143" i="37" s="1"/>
  <c r="EE144" i="37" a="1"/>
  <c r="EE144" i="37" s="1"/>
  <c r="EE145" i="37" a="1"/>
  <c r="EE145" i="37" s="1"/>
  <c r="EE146" i="37" a="1"/>
  <c r="EE146" i="37" s="1"/>
  <c r="EE147" i="37" a="1"/>
  <c r="EE147" i="37" s="1"/>
  <c r="EE148" i="37" a="1"/>
  <c r="EE148" i="37" s="1"/>
  <c r="EE149" i="37" a="1"/>
  <c r="EE149" i="37" s="1"/>
  <c r="EE150" i="37" a="1"/>
  <c r="EE150" i="37" s="1"/>
  <c r="EE151" i="37" a="1"/>
  <c r="EE151" i="37" s="1"/>
  <c r="EE152" i="37" a="1"/>
  <c r="EE152" i="37" s="1"/>
  <c r="EE153" i="37" a="1"/>
  <c r="EE153" i="37" s="1"/>
  <c r="EE154" i="37" a="1"/>
  <c r="EE154" i="37" s="1"/>
  <c r="EE155" i="37" a="1"/>
  <c r="EE155" i="37" s="1"/>
  <c r="EE156" i="37" a="1"/>
  <c r="EE156" i="37" s="1"/>
  <c r="EE157" i="37" a="1"/>
  <c r="EE157" i="37" s="1"/>
  <c r="EE158" i="37" a="1"/>
  <c r="EE158" i="37" s="1"/>
  <c r="EE159" i="37" a="1"/>
  <c r="EE159" i="37" s="1"/>
  <c r="EE160" i="37" a="1"/>
  <c r="EE160" i="37" s="1"/>
  <c r="EE161" i="37" a="1"/>
  <c r="EE161" i="37" s="1"/>
  <c r="EE162" i="37" a="1"/>
  <c r="EE162" i="37" s="1"/>
  <c r="EE163" i="37" a="1"/>
  <c r="EE163" i="37" s="1"/>
  <c r="EE164" i="37" a="1"/>
  <c r="EE164" i="37" s="1"/>
  <c r="EE165" i="37" a="1"/>
  <c r="EE165" i="37" s="1"/>
  <c r="EE166" i="37" a="1"/>
  <c r="EE166" i="37" s="1"/>
  <c r="EE167" i="37" a="1"/>
  <c r="EE167" i="37" s="1"/>
  <c r="EE168" i="37" a="1"/>
  <c r="EE168" i="37" s="1"/>
  <c r="EE169" i="37" a="1"/>
  <c r="EE169" i="37" s="1"/>
  <c r="EE170" i="37" a="1"/>
  <c r="EE170" i="37" s="1"/>
  <c r="EE171" i="37" a="1"/>
  <c r="EE171" i="37" s="1"/>
  <c r="EE172" i="37" a="1"/>
  <c r="EE172" i="37" s="1"/>
  <c r="EE173" i="37" a="1"/>
  <c r="EE173" i="37" s="1"/>
  <c r="EE174" i="37" a="1"/>
  <c r="EE174" i="37" s="1"/>
  <c r="EE175" i="37" a="1"/>
  <c r="EE175" i="37" s="1"/>
  <c r="EE176" i="37" a="1"/>
  <c r="EE176" i="37" s="1"/>
  <c r="EE177" i="37" a="1"/>
  <c r="EE177" i="37" s="1"/>
  <c r="EE178" i="37" a="1"/>
  <c r="EE178" i="37" s="1"/>
  <c r="EE179" i="37" a="1"/>
  <c r="EE179" i="37" s="1"/>
  <c r="EE180" i="37" a="1"/>
  <c r="EE180" i="37" s="1"/>
  <c r="EE181" i="37" a="1"/>
  <c r="EE181" i="37" s="1"/>
  <c r="EE182" i="37" a="1"/>
  <c r="EE182" i="37" s="1"/>
  <c r="EE183" i="37" a="1"/>
  <c r="EE183" i="37" s="1"/>
  <c r="EE184" i="37" a="1"/>
  <c r="EE184" i="37" s="1"/>
  <c r="EE185" i="37" a="1"/>
  <c r="EE185" i="37" s="1"/>
  <c r="EE186" i="37" a="1"/>
  <c r="EE186" i="37" s="1"/>
  <c r="EE187" i="37" a="1"/>
  <c r="EE187" i="37" s="1"/>
  <c r="EE188" i="37" a="1"/>
  <c r="EE188" i="37" s="1"/>
  <c r="EE189" i="37" a="1"/>
  <c r="EE189" i="37" s="1"/>
  <c r="EE190" i="37" a="1"/>
  <c r="EE190" i="37" s="1"/>
  <c r="EE191" i="37" a="1"/>
  <c r="EE191" i="37" s="1"/>
  <c r="EE192" i="37" a="1"/>
  <c r="EE192" i="37" s="1"/>
  <c r="EE193" i="37" a="1"/>
  <c r="EE193" i="37" s="1"/>
  <c r="EE194" i="37" a="1"/>
  <c r="EE194" i="37" s="1"/>
  <c r="EE195" i="37" a="1"/>
  <c r="EE195" i="37" s="1"/>
  <c r="EE196" i="37" a="1"/>
  <c r="EE196" i="37" s="1"/>
  <c r="EE197" i="37" a="1"/>
  <c r="EE197" i="37" s="1"/>
  <c r="EE198" i="37" a="1"/>
  <c r="EE198" i="37" s="1"/>
  <c r="EE199" i="37" a="1"/>
  <c r="EE199" i="37" s="1"/>
  <c r="EE200" i="37" a="1"/>
  <c r="EE200" i="37" s="1"/>
  <c r="EE201" i="37" a="1"/>
  <c r="EE201" i="37" s="1"/>
  <c r="EE202" i="37" a="1"/>
  <c r="EE202" i="37" s="1"/>
  <c r="EE203" i="37" a="1"/>
  <c r="EE203" i="37" s="1"/>
  <c r="EE204" i="37" a="1"/>
  <c r="EE204" i="37" s="1"/>
  <c r="EE205" i="37" a="1"/>
  <c r="EE205" i="37" s="1"/>
  <c r="EE206" i="37" a="1"/>
  <c r="EE206" i="37" s="1"/>
  <c r="EE207" i="37" a="1"/>
  <c r="EE207" i="37" s="1"/>
  <c r="EE208" i="37" a="1"/>
  <c r="EE208" i="37" s="1"/>
  <c r="EE209" i="37" a="1"/>
  <c r="EE209" i="37" s="1"/>
  <c r="EE210" i="37" a="1"/>
  <c r="EE210" i="37" s="1"/>
  <c r="EE211" i="37" a="1"/>
  <c r="EE211" i="37" s="1"/>
  <c r="EE212" i="37" a="1"/>
  <c r="EE212" i="37" s="1"/>
  <c r="EE213" i="37" a="1"/>
  <c r="EE213" i="37" s="1"/>
  <c r="EE214" i="37" a="1"/>
  <c r="EE214" i="37" s="1"/>
  <c r="EE215" i="37" a="1"/>
  <c r="EE215" i="37" s="1"/>
  <c r="EE216" i="37" a="1"/>
  <c r="EE216" i="37" s="1"/>
  <c r="EE217" i="37" a="1"/>
  <c r="EE217" i="37" s="1"/>
  <c r="EE218" i="37" a="1"/>
  <c r="EE218" i="37" s="1"/>
  <c r="EE219" i="37" a="1"/>
  <c r="EE219" i="37" s="1"/>
  <c r="EE220" i="37" a="1"/>
  <c r="EE220" i="37" s="1"/>
  <c r="EE221" i="37" a="1"/>
  <c r="EE221" i="37" s="1"/>
  <c r="EE222" i="37" a="1"/>
  <c r="EE222" i="37" s="1"/>
  <c r="EE223" i="37" a="1"/>
  <c r="EE223" i="37" s="1"/>
  <c r="EE224" i="37" a="1"/>
  <c r="EE224" i="37" s="1"/>
  <c r="EE225" i="37" a="1"/>
  <c r="EE225" i="37" s="1"/>
  <c r="EE226" i="37" a="1"/>
  <c r="EE226" i="37" s="1"/>
  <c r="EE227" i="37" a="1"/>
  <c r="EE227" i="37" s="1"/>
  <c r="EE228" i="37" a="1"/>
  <c r="EE228" i="37" s="1"/>
  <c r="EE229" i="37" a="1"/>
  <c r="EE229" i="37" s="1"/>
  <c r="EE230" i="37" a="1"/>
  <c r="EE230" i="37" s="1"/>
  <c r="EE231" i="37" a="1"/>
  <c r="EE231" i="37" s="1"/>
  <c r="EE232" i="37" a="1"/>
  <c r="EE232" i="37" s="1"/>
  <c r="EE233" i="37" a="1"/>
  <c r="EE233" i="37" s="1"/>
  <c r="EE234" i="37" a="1"/>
  <c r="EE234" i="37" s="1"/>
  <c r="EE235" i="37" a="1"/>
  <c r="EE235" i="37" s="1"/>
  <c r="EE236" i="37" a="1"/>
  <c r="EE236" i="37" s="1"/>
  <c r="EE237" i="37" a="1"/>
  <c r="EE237" i="37" s="1"/>
  <c r="EE238" i="37" a="1"/>
  <c r="EE238" i="37" s="1"/>
  <c r="EE239" i="37" a="1"/>
  <c r="EE239" i="37" s="1"/>
  <c r="EE240" i="37" a="1"/>
  <c r="EE240" i="37" s="1"/>
  <c r="EE241" i="37" a="1"/>
  <c r="EE241" i="37" s="1"/>
  <c r="EE242" i="37" a="1"/>
  <c r="EE242" i="37" s="1"/>
  <c r="EE243" i="37" a="1"/>
  <c r="EE243" i="37" s="1"/>
  <c r="EE244" i="37" a="1"/>
  <c r="EE244" i="37" s="1"/>
  <c r="EE245" i="37" a="1"/>
  <c r="EE245" i="37" s="1"/>
  <c r="EE246" i="37" a="1"/>
  <c r="EE246" i="37" s="1"/>
  <c r="EE247" i="37" a="1"/>
  <c r="EE247" i="37" s="1"/>
  <c r="EE248" i="37" a="1"/>
  <c r="EE248" i="37" s="1"/>
  <c r="EE249" i="37" a="1"/>
  <c r="EE249" i="37" s="1"/>
  <c r="EE250" i="37" a="1"/>
  <c r="EE250" i="37" s="1"/>
  <c r="EO41" i="37" a="1"/>
  <c r="EO41" i="37" s="1"/>
  <c r="EO42" i="37" a="1"/>
  <c r="EO42" i="37" s="1"/>
  <c r="EO43" i="37" a="1"/>
  <c r="EO43" i="37" s="1"/>
  <c r="EO44" i="37" a="1"/>
  <c r="EO44" i="37" s="1"/>
  <c r="EO45" i="37" a="1"/>
  <c r="EO45" i="37" s="1"/>
  <c r="EO46" i="37" a="1"/>
  <c r="EO46" i="37" s="1"/>
  <c r="EO47" i="37" a="1"/>
  <c r="EO47" i="37" s="1"/>
  <c r="EO48" i="37" a="1"/>
  <c r="EO48" i="37" s="1"/>
  <c r="EO49" i="37" a="1"/>
  <c r="EO49" i="37" s="1"/>
  <c r="EO50" i="37" a="1"/>
  <c r="EO50" i="37" s="1"/>
  <c r="EO51" i="37" a="1"/>
  <c r="EO51" i="37" s="1"/>
  <c r="EO52" i="37" a="1"/>
  <c r="EO52" i="37" s="1"/>
  <c r="EO53" i="37" a="1"/>
  <c r="EO53" i="37" s="1"/>
  <c r="EO54" i="37" a="1"/>
  <c r="EO54" i="37" s="1"/>
  <c r="EO55" i="37" a="1"/>
  <c r="EO55" i="37" s="1"/>
  <c r="EO56" i="37" a="1"/>
  <c r="EO56" i="37" s="1"/>
  <c r="EO57" i="37" a="1"/>
  <c r="EO57" i="37" s="1"/>
  <c r="EO58" i="37" a="1"/>
  <c r="EO58" i="37" s="1"/>
  <c r="EO59" i="37" a="1"/>
  <c r="EO59" i="37" s="1"/>
  <c r="EO60" i="37" a="1"/>
  <c r="EO60" i="37" s="1"/>
  <c r="EG249" i="37" l="1"/>
  <c r="EI249" i="37" s="1"/>
  <c r="EK249" i="37" s="1"/>
  <c r="EG247" i="37"/>
  <c r="EI247" i="37" s="1"/>
  <c r="EK247" i="37" s="1"/>
  <c r="EG245" i="37"/>
  <c r="EI245" i="37" s="1"/>
  <c r="EK245" i="37" s="1"/>
  <c r="EG243" i="37"/>
  <c r="EI243" i="37" s="1"/>
  <c r="EK243" i="37" s="1"/>
  <c r="EG241" i="37"/>
  <c r="EI241" i="37" s="1"/>
  <c r="EK241" i="37" s="1"/>
  <c r="EG239" i="37"/>
  <c r="EI239" i="37" s="1"/>
  <c r="EK239" i="37" s="1"/>
  <c r="EG237" i="37"/>
  <c r="EI237" i="37" s="1"/>
  <c r="EK237" i="37" s="1"/>
  <c r="EG235" i="37"/>
  <c r="EI235" i="37" s="1"/>
  <c r="EK235" i="37" s="1"/>
  <c r="EG233" i="37"/>
  <c r="EI233" i="37" s="1"/>
  <c r="EK233" i="37" s="1"/>
  <c r="EG231" i="37"/>
  <c r="EI231" i="37" s="1"/>
  <c r="EK231" i="37" s="1"/>
  <c r="EG229" i="37"/>
  <c r="EI229" i="37" s="1"/>
  <c r="EK229" i="37" s="1"/>
  <c r="EG227" i="37"/>
  <c r="EI227" i="37" s="1"/>
  <c r="EK227" i="37" s="1"/>
  <c r="EG225" i="37"/>
  <c r="EI225" i="37" s="1"/>
  <c r="EK225" i="37" s="1"/>
  <c r="EG223" i="37"/>
  <c r="EI223" i="37" s="1"/>
  <c r="EK223" i="37" s="1"/>
  <c r="EG221" i="37"/>
  <c r="EI221" i="37" s="1"/>
  <c r="EK221" i="37" s="1"/>
  <c r="EG219" i="37"/>
  <c r="EI219" i="37" s="1"/>
  <c r="EK219" i="37" s="1"/>
  <c r="EG217" i="37"/>
  <c r="EI217" i="37" s="1"/>
  <c r="EK217" i="37" s="1"/>
  <c r="EG215" i="37"/>
  <c r="EI215" i="37" s="1"/>
  <c r="EK215" i="37" s="1"/>
  <c r="EG213" i="37"/>
  <c r="EI213" i="37" s="1"/>
  <c r="EK213" i="37" s="1"/>
  <c r="EG211" i="37"/>
  <c r="EI211" i="37" s="1"/>
  <c r="EK211" i="37" s="1"/>
  <c r="EG209" i="37"/>
  <c r="EI209" i="37" s="1"/>
  <c r="EK209" i="37" s="1"/>
  <c r="EG207" i="37"/>
  <c r="EI207" i="37" s="1"/>
  <c r="EK207" i="37" s="1"/>
  <c r="EG205" i="37"/>
  <c r="EI205" i="37" s="1"/>
  <c r="EK205" i="37" s="1"/>
  <c r="EG203" i="37"/>
  <c r="EI203" i="37" s="1"/>
  <c r="EK203" i="37" s="1"/>
  <c r="EG201" i="37"/>
  <c r="EI201" i="37" s="1"/>
  <c r="EK201" i="37" s="1"/>
  <c r="EG199" i="37"/>
  <c r="EI199" i="37" s="1"/>
  <c r="EK199" i="37" s="1"/>
  <c r="EG197" i="37"/>
  <c r="EI197" i="37" s="1"/>
  <c r="EK197" i="37" s="1"/>
  <c r="EG195" i="37"/>
  <c r="EI195" i="37" s="1"/>
  <c r="EK195" i="37" s="1"/>
  <c r="EG193" i="37"/>
  <c r="EI193" i="37" s="1"/>
  <c r="EK193" i="37" s="1"/>
  <c r="EG191" i="37"/>
  <c r="EI191" i="37" s="1"/>
  <c r="EK191" i="37" s="1"/>
  <c r="EG189" i="37"/>
  <c r="EI189" i="37" s="1"/>
  <c r="EK189" i="37" s="1"/>
  <c r="EG187" i="37"/>
  <c r="EI187" i="37" s="1"/>
  <c r="EK187" i="37" s="1"/>
  <c r="EG185" i="37"/>
  <c r="EI185" i="37" s="1"/>
  <c r="EK185" i="37" s="1"/>
  <c r="EG183" i="37"/>
  <c r="EI183" i="37" s="1"/>
  <c r="EK183" i="37" s="1"/>
  <c r="EG181" i="37"/>
  <c r="EI181" i="37" s="1"/>
  <c r="EK181" i="37" s="1"/>
  <c r="EG179" i="37"/>
  <c r="EI179" i="37" s="1"/>
  <c r="EK179" i="37" s="1"/>
  <c r="EG177" i="37"/>
  <c r="EI177" i="37" s="1"/>
  <c r="EK177" i="37" s="1"/>
  <c r="EG175" i="37"/>
  <c r="EI175" i="37" s="1"/>
  <c r="EK175" i="37" s="1"/>
  <c r="EG173" i="37"/>
  <c r="EI173" i="37" s="1"/>
  <c r="EK173" i="37" s="1"/>
  <c r="EG171" i="37"/>
  <c r="EI171" i="37" s="1"/>
  <c r="EK171" i="37" s="1"/>
  <c r="EG169" i="37"/>
  <c r="EI169" i="37" s="1"/>
  <c r="EK169" i="37" s="1"/>
  <c r="EG167" i="37"/>
  <c r="EI167" i="37" s="1"/>
  <c r="EK167" i="37" s="1"/>
  <c r="EG165" i="37"/>
  <c r="EI165" i="37" s="1"/>
  <c r="EK165" i="37" s="1"/>
  <c r="EG163" i="37"/>
  <c r="EI163" i="37" s="1"/>
  <c r="EK163" i="37" s="1"/>
  <c r="EG161" i="37"/>
  <c r="EI161" i="37" s="1"/>
  <c r="EK161" i="37" s="1"/>
  <c r="EG159" i="37"/>
  <c r="EI159" i="37" s="1"/>
  <c r="EK159" i="37" s="1"/>
  <c r="EG157" i="37"/>
  <c r="EI157" i="37" s="1"/>
  <c r="EK157" i="37" s="1"/>
  <c r="EG155" i="37"/>
  <c r="EI155" i="37" s="1"/>
  <c r="EK155" i="37" s="1"/>
  <c r="EG153" i="37"/>
  <c r="EI153" i="37" s="1"/>
  <c r="EK153" i="37" s="1"/>
  <c r="EG151" i="37"/>
  <c r="EI151" i="37" s="1"/>
  <c r="EK151" i="37" s="1"/>
  <c r="EG149" i="37"/>
  <c r="EI149" i="37" s="1"/>
  <c r="EK149" i="37" s="1"/>
  <c r="EG147" i="37"/>
  <c r="EI147" i="37" s="1"/>
  <c r="EK147" i="37" s="1"/>
  <c r="EG145" i="37"/>
  <c r="EI145" i="37" s="1"/>
  <c r="EK145" i="37" s="1"/>
  <c r="EG143" i="37"/>
  <c r="EI143" i="37" s="1"/>
  <c r="EK143" i="37" s="1"/>
  <c r="EG141" i="37"/>
  <c r="EI141" i="37" s="1"/>
  <c r="EK141" i="37" s="1"/>
  <c r="EG139" i="37"/>
  <c r="EI139" i="37" s="1"/>
  <c r="EK139" i="37" s="1"/>
  <c r="EG137" i="37"/>
  <c r="EI137" i="37" s="1"/>
  <c r="EK137" i="37" s="1"/>
  <c r="EG135" i="37"/>
  <c r="EI135" i="37" s="1"/>
  <c r="EK135" i="37" s="1"/>
  <c r="EG133" i="37"/>
  <c r="EI133" i="37" s="1"/>
  <c r="EK133" i="37" s="1"/>
  <c r="EG131" i="37"/>
  <c r="EI131" i="37" s="1"/>
  <c r="EK131" i="37" s="1"/>
  <c r="EG129" i="37"/>
  <c r="EI129" i="37" s="1"/>
  <c r="EK129" i="37" s="1"/>
  <c r="EG127" i="37"/>
  <c r="EI127" i="37" s="1"/>
  <c r="EK127" i="37" s="1"/>
  <c r="EG125" i="37"/>
  <c r="EI125" i="37" s="1"/>
  <c r="EK125" i="37" s="1"/>
  <c r="EG123" i="37"/>
  <c r="EI123" i="37" s="1"/>
  <c r="EK123" i="37" s="1"/>
  <c r="EG121" i="37"/>
  <c r="EI121" i="37" s="1"/>
  <c r="EK121" i="37" s="1"/>
  <c r="EG119" i="37"/>
  <c r="EI119" i="37" s="1"/>
  <c r="EK119" i="37" s="1"/>
  <c r="EG117" i="37"/>
  <c r="EI117" i="37" s="1"/>
  <c r="EK117" i="37" s="1"/>
  <c r="EG115" i="37"/>
  <c r="EI115" i="37" s="1"/>
  <c r="EK115" i="37" s="1"/>
  <c r="EG113" i="37"/>
  <c r="EI113" i="37" s="1"/>
  <c r="EK113" i="37" s="1"/>
  <c r="EG111" i="37"/>
  <c r="EI111" i="37" s="1"/>
  <c r="EK111" i="37" s="1"/>
  <c r="EG109" i="37"/>
  <c r="EI109" i="37" s="1"/>
  <c r="EK109" i="37" s="1"/>
  <c r="EG107" i="37"/>
  <c r="EI107" i="37" s="1"/>
  <c r="EK107" i="37" s="1"/>
  <c r="EG105" i="37"/>
  <c r="EI105" i="37" s="1"/>
  <c r="EK105" i="37" s="1"/>
  <c r="EG103" i="37"/>
  <c r="EI103" i="37" s="1"/>
  <c r="EK103" i="37" s="1"/>
  <c r="EG101" i="37"/>
  <c r="EI101" i="37" s="1"/>
  <c r="EK101" i="37" s="1"/>
  <c r="EG99" i="37"/>
  <c r="EI99" i="37" s="1"/>
  <c r="EK99" i="37" s="1"/>
  <c r="EG97" i="37"/>
  <c r="EI97" i="37" s="1"/>
  <c r="EK97" i="37" s="1"/>
  <c r="EG95" i="37"/>
  <c r="EI95" i="37" s="1"/>
  <c r="EK95" i="37" s="1"/>
  <c r="EG93" i="37"/>
  <c r="EI93" i="37" s="1"/>
  <c r="EK93" i="37" s="1"/>
  <c r="EG91" i="37"/>
  <c r="EI91" i="37" s="1"/>
  <c r="EK91" i="37" s="1"/>
  <c r="EG89" i="37"/>
  <c r="EI89" i="37" s="1"/>
  <c r="EK89" i="37" s="1"/>
  <c r="EG87" i="37"/>
  <c r="EI87" i="37" s="1"/>
  <c r="EK87" i="37" s="1"/>
  <c r="EG85" i="37"/>
  <c r="EI85" i="37" s="1"/>
  <c r="EK85" i="37" s="1"/>
  <c r="EG83" i="37"/>
  <c r="EI83" i="37" s="1"/>
  <c r="EK83" i="37" s="1"/>
  <c r="EG81" i="37"/>
  <c r="EI81" i="37" s="1"/>
  <c r="EK81" i="37" s="1"/>
  <c r="EG79" i="37"/>
  <c r="EI79" i="37" s="1"/>
  <c r="EK79" i="37" s="1"/>
  <c r="EG77" i="37"/>
  <c r="EI77" i="37" s="1"/>
  <c r="EK77" i="37" s="1"/>
  <c r="EG75" i="37"/>
  <c r="EI75" i="37" s="1"/>
  <c r="EK75" i="37" s="1"/>
  <c r="EG73" i="37"/>
  <c r="EI73" i="37" s="1"/>
  <c r="EK73" i="37" s="1"/>
  <c r="EG71" i="37"/>
  <c r="EI71" i="37" s="1"/>
  <c r="EK71" i="37" s="1"/>
  <c r="EG69" i="37"/>
  <c r="EI69" i="37" s="1"/>
  <c r="EK69" i="37" s="1"/>
  <c r="EG67" i="37"/>
  <c r="EI67" i="37" s="1"/>
  <c r="EK67" i="37" s="1"/>
  <c r="EG65" i="37"/>
  <c r="EI65" i="37" s="1"/>
  <c r="EK65" i="37" s="1"/>
  <c r="EG63" i="37"/>
  <c r="EI63" i="37" s="1"/>
  <c r="EK63" i="37" s="1"/>
  <c r="EG61" i="37"/>
  <c r="EI61" i="37" s="1"/>
  <c r="EK61" i="37" s="1"/>
  <c r="EG59" i="37"/>
  <c r="EI59" i="37" s="1"/>
  <c r="EK59" i="37" s="1"/>
  <c r="EG57" i="37"/>
  <c r="EI57" i="37" s="1"/>
  <c r="EK57" i="37" s="1"/>
  <c r="EG55" i="37"/>
  <c r="EI55" i="37" s="1"/>
  <c r="EK55" i="37" s="1"/>
  <c r="EG53" i="37"/>
  <c r="EI53" i="37" s="1"/>
  <c r="EK53" i="37" s="1"/>
  <c r="EG51" i="37"/>
  <c r="EI51" i="37" s="1"/>
  <c r="EK51" i="37" s="1"/>
  <c r="EG49" i="37"/>
  <c r="EI49" i="37" s="1"/>
  <c r="EK49" i="37" s="1"/>
  <c r="EG47" i="37"/>
  <c r="EI47" i="37" s="1"/>
  <c r="EK47" i="37" s="1"/>
  <c r="EG45" i="37"/>
  <c r="EI45" i="37" s="1"/>
  <c r="EK45" i="37" s="1"/>
  <c r="EG43" i="37"/>
  <c r="EI43" i="37" s="1"/>
  <c r="EK43" i="37" s="1"/>
  <c r="EG41" i="37"/>
  <c r="EI41" i="37" s="1"/>
  <c r="EK41" i="37" s="1"/>
  <c r="EG39" i="37"/>
  <c r="EI39" i="37" s="1"/>
  <c r="EK39" i="37" s="1"/>
  <c r="EG37" i="37"/>
  <c r="EI37" i="37" s="1"/>
  <c r="EK37" i="37" s="1"/>
  <c r="EG35" i="37"/>
  <c r="EI35" i="37" s="1"/>
  <c r="EK35" i="37" s="1"/>
  <c r="EG33" i="37"/>
  <c r="EI33" i="37" s="1"/>
  <c r="EK33" i="37" s="1"/>
  <c r="EG31" i="37"/>
  <c r="EI31" i="37" s="1"/>
  <c r="EK31" i="37" s="1"/>
  <c r="EG29" i="37"/>
  <c r="EI29" i="37" s="1"/>
  <c r="EK29" i="37" s="1"/>
  <c r="EG27" i="37"/>
  <c r="EI27" i="37" s="1"/>
  <c r="EK27" i="37" s="1"/>
  <c r="EG25" i="37"/>
  <c r="EI25" i="37" s="1"/>
  <c r="EK25" i="37" s="1"/>
  <c r="EG23" i="37"/>
  <c r="EI23" i="37" s="1"/>
  <c r="EK23" i="37" s="1"/>
  <c r="EG21" i="37"/>
  <c r="EI21" i="37" s="1"/>
  <c r="EK21" i="37" s="1"/>
  <c r="EG19" i="37"/>
  <c r="EI19" i="37" s="1"/>
  <c r="EK19" i="37" s="1"/>
  <c r="EG17" i="37"/>
  <c r="EI17" i="37" s="1"/>
  <c r="EK17" i="37" s="1"/>
  <c r="EG15" i="37"/>
  <c r="EI15" i="37" s="1"/>
  <c r="EK15" i="37" s="1"/>
  <c r="EG13" i="37"/>
  <c r="EI13" i="37" s="1"/>
  <c r="EK13" i="37" s="1"/>
  <c r="EG11" i="37"/>
  <c r="EI11" i="37" s="1"/>
  <c r="EK11" i="37" s="1"/>
  <c r="EG250" i="37"/>
  <c r="EI250" i="37" s="1"/>
  <c r="EK250" i="37" s="1"/>
  <c r="EG248" i="37"/>
  <c r="EI248" i="37" s="1"/>
  <c r="EK248" i="37" s="1"/>
  <c r="EG246" i="37"/>
  <c r="EI246" i="37" s="1"/>
  <c r="EK246" i="37" s="1"/>
  <c r="EG244" i="37"/>
  <c r="EI244" i="37" s="1"/>
  <c r="EK244" i="37" s="1"/>
  <c r="EG242" i="37"/>
  <c r="EI242" i="37" s="1"/>
  <c r="EK242" i="37" s="1"/>
  <c r="EG240" i="37"/>
  <c r="EI240" i="37" s="1"/>
  <c r="EK240" i="37" s="1"/>
  <c r="EG238" i="37"/>
  <c r="EI238" i="37" s="1"/>
  <c r="EK238" i="37" s="1"/>
  <c r="EG236" i="37"/>
  <c r="EI236" i="37" s="1"/>
  <c r="EK236" i="37" s="1"/>
  <c r="EG234" i="37"/>
  <c r="EI234" i="37" s="1"/>
  <c r="EK234" i="37" s="1"/>
  <c r="EG232" i="37"/>
  <c r="EI232" i="37" s="1"/>
  <c r="EK232" i="37" s="1"/>
  <c r="EG230" i="37"/>
  <c r="EI230" i="37" s="1"/>
  <c r="EK230" i="37" s="1"/>
  <c r="EG228" i="37"/>
  <c r="EI228" i="37" s="1"/>
  <c r="EK228" i="37" s="1"/>
  <c r="EG226" i="37"/>
  <c r="EI226" i="37" s="1"/>
  <c r="EK226" i="37" s="1"/>
  <c r="EG224" i="37"/>
  <c r="EI224" i="37" s="1"/>
  <c r="EK224" i="37" s="1"/>
  <c r="EG222" i="37"/>
  <c r="EI222" i="37" s="1"/>
  <c r="EK222" i="37" s="1"/>
  <c r="EG220" i="37"/>
  <c r="EI220" i="37" s="1"/>
  <c r="EK220" i="37" s="1"/>
  <c r="EG218" i="37"/>
  <c r="EI218" i="37" s="1"/>
  <c r="EK218" i="37" s="1"/>
  <c r="EG216" i="37"/>
  <c r="EI216" i="37" s="1"/>
  <c r="EK216" i="37" s="1"/>
  <c r="EG214" i="37"/>
  <c r="EI214" i="37" s="1"/>
  <c r="EK214" i="37" s="1"/>
  <c r="EG212" i="37"/>
  <c r="EI212" i="37" s="1"/>
  <c r="EK212" i="37" s="1"/>
  <c r="EG210" i="37"/>
  <c r="EI210" i="37" s="1"/>
  <c r="EK210" i="37" s="1"/>
  <c r="EG208" i="37"/>
  <c r="EI208" i="37" s="1"/>
  <c r="EK208" i="37" s="1"/>
  <c r="EG206" i="37"/>
  <c r="EI206" i="37" s="1"/>
  <c r="EK206" i="37" s="1"/>
  <c r="EG204" i="37"/>
  <c r="EI204" i="37" s="1"/>
  <c r="EK204" i="37" s="1"/>
  <c r="EG202" i="37"/>
  <c r="EI202" i="37" s="1"/>
  <c r="EK202" i="37" s="1"/>
  <c r="EG200" i="37"/>
  <c r="EI200" i="37" s="1"/>
  <c r="EK200" i="37" s="1"/>
  <c r="EG198" i="37"/>
  <c r="EI198" i="37" s="1"/>
  <c r="EK198" i="37" s="1"/>
  <c r="EG196" i="37"/>
  <c r="EI196" i="37" s="1"/>
  <c r="EK196" i="37" s="1"/>
  <c r="EG194" i="37"/>
  <c r="EI194" i="37" s="1"/>
  <c r="EK194" i="37" s="1"/>
  <c r="EG192" i="37"/>
  <c r="EI192" i="37" s="1"/>
  <c r="EK192" i="37" s="1"/>
  <c r="EG190" i="37"/>
  <c r="EI190" i="37" s="1"/>
  <c r="EK190" i="37" s="1"/>
  <c r="EG188" i="37"/>
  <c r="EI188" i="37" s="1"/>
  <c r="EK188" i="37" s="1"/>
  <c r="EG186" i="37"/>
  <c r="EI186" i="37" s="1"/>
  <c r="EK186" i="37" s="1"/>
  <c r="EG184" i="37"/>
  <c r="EI184" i="37" s="1"/>
  <c r="EK184" i="37" s="1"/>
  <c r="EG182" i="37"/>
  <c r="EI182" i="37" s="1"/>
  <c r="EK182" i="37" s="1"/>
  <c r="EG180" i="37"/>
  <c r="EI180" i="37" s="1"/>
  <c r="EK180" i="37" s="1"/>
  <c r="EG178" i="37"/>
  <c r="EI178" i="37" s="1"/>
  <c r="EK178" i="37" s="1"/>
  <c r="EG176" i="37"/>
  <c r="EI176" i="37" s="1"/>
  <c r="EK176" i="37" s="1"/>
  <c r="EG174" i="37"/>
  <c r="EI174" i="37" s="1"/>
  <c r="EK174" i="37" s="1"/>
  <c r="EG172" i="37"/>
  <c r="EI172" i="37" s="1"/>
  <c r="EK172" i="37" s="1"/>
  <c r="EG170" i="37"/>
  <c r="EI170" i="37" s="1"/>
  <c r="EK170" i="37" s="1"/>
  <c r="EG168" i="37"/>
  <c r="EI168" i="37" s="1"/>
  <c r="EK168" i="37" s="1"/>
  <c r="EG166" i="37"/>
  <c r="EI166" i="37" s="1"/>
  <c r="EK166" i="37" s="1"/>
  <c r="EG164" i="37"/>
  <c r="EI164" i="37" s="1"/>
  <c r="EK164" i="37" s="1"/>
  <c r="EG162" i="37"/>
  <c r="EI162" i="37" s="1"/>
  <c r="EK162" i="37" s="1"/>
  <c r="EG160" i="37"/>
  <c r="EI160" i="37" s="1"/>
  <c r="EK160" i="37" s="1"/>
  <c r="EG158" i="37"/>
  <c r="EI158" i="37" s="1"/>
  <c r="EK158" i="37" s="1"/>
  <c r="EG156" i="37"/>
  <c r="EI156" i="37" s="1"/>
  <c r="EK156" i="37" s="1"/>
  <c r="EG154" i="37"/>
  <c r="EI154" i="37" s="1"/>
  <c r="EK154" i="37" s="1"/>
  <c r="EG152" i="37"/>
  <c r="EI152" i="37" s="1"/>
  <c r="EK152" i="37" s="1"/>
  <c r="EG150" i="37"/>
  <c r="EI150" i="37" s="1"/>
  <c r="EK150" i="37" s="1"/>
  <c r="EG148" i="37"/>
  <c r="EI148" i="37" s="1"/>
  <c r="EK148" i="37" s="1"/>
  <c r="EG146" i="37"/>
  <c r="EI146" i="37" s="1"/>
  <c r="EK146" i="37" s="1"/>
  <c r="EG144" i="37"/>
  <c r="EI144" i="37" s="1"/>
  <c r="EK144" i="37" s="1"/>
  <c r="EG142" i="37"/>
  <c r="EI142" i="37" s="1"/>
  <c r="EK142" i="37" s="1"/>
  <c r="EG140" i="37"/>
  <c r="EI140" i="37" s="1"/>
  <c r="EK140" i="37" s="1"/>
  <c r="EG138" i="37"/>
  <c r="EI138" i="37" s="1"/>
  <c r="EK138" i="37" s="1"/>
  <c r="EG136" i="37"/>
  <c r="EI136" i="37" s="1"/>
  <c r="EK136" i="37" s="1"/>
  <c r="EG134" i="37"/>
  <c r="EI134" i="37" s="1"/>
  <c r="EK134" i="37" s="1"/>
  <c r="EG132" i="37"/>
  <c r="EI132" i="37" s="1"/>
  <c r="EK132" i="37" s="1"/>
  <c r="EG130" i="37"/>
  <c r="EI130" i="37" s="1"/>
  <c r="EK130" i="37" s="1"/>
  <c r="EG128" i="37"/>
  <c r="EI128" i="37" s="1"/>
  <c r="EK128" i="37" s="1"/>
  <c r="EG126" i="37"/>
  <c r="EI126" i="37" s="1"/>
  <c r="EK126" i="37" s="1"/>
  <c r="EG124" i="37"/>
  <c r="EI124" i="37" s="1"/>
  <c r="EK124" i="37" s="1"/>
  <c r="EG122" i="37"/>
  <c r="EI122" i="37" s="1"/>
  <c r="EK122" i="37" s="1"/>
  <c r="EG120" i="37"/>
  <c r="EI120" i="37" s="1"/>
  <c r="EK120" i="37" s="1"/>
  <c r="EG118" i="37"/>
  <c r="EI118" i="37" s="1"/>
  <c r="EK118" i="37" s="1"/>
  <c r="EG116" i="37"/>
  <c r="EI116" i="37" s="1"/>
  <c r="EK116" i="37" s="1"/>
  <c r="EG114" i="37"/>
  <c r="EI114" i="37" s="1"/>
  <c r="EK114" i="37" s="1"/>
  <c r="EG112" i="37"/>
  <c r="EI112" i="37" s="1"/>
  <c r="EK112" i="37" s="1"/>
  <c r="EG110" i="37"/>
  <c r="EI110" i="37" s="1"/>
  <c r="EK110" i="37" s="1"/>
  <c r="EG108" i="37"/>
  <c r="EI108" i="37" s="1"/>
  <c r="EK108" i="37" s="1"/>
  <c r="EG106" i="37"/>
  <c r="EI106" i="37" s="1"/>
  <c r="EK106" i="37" s="1"/>
  <c r="EG104" i="37"/>
  <c r="EI104" i="37" s="1"/>
  <c r="EK104" i="37" s="1"/>
  <c r="EG102" i="37"/>
  <c r="EI102" i="37" s="1"/>
  <c r="EK102" i="37" s="1"/>
  <c r="EG100" i="37"/>
  <c r="EI100" i="37" s="1"/>
  <c r="EK100" i="37" s="1"/>
  <c r="EG98" i="37"/>
  <c r="EI98" i="37" s="1"/>
  <c r="EK98" i="37" s="1"/>
  <c r="EG96" i="37"/>
  <c r="EI96" i="37" s="1"/>
  <c r="EK96" i="37" s="1"/>
  <c r="EG94" i="37"/>
  <c r="EI94" i="37" s="1"/>
  <c r="EK94" i="37" s="1"/>
  <c r="EG92" i="37"/>
  <c r="EI92" i="37" s="1"/>
  <c r="EK92" i="37" s="1"/>
  <c r="EG90" i="37"/>
  <c r="EI90" i="37" s="1"/>
  <c r="EK90" i="37" s="1"/>
  <c r="EG88" i="37"/>
  <c r="EI88" i="37" s="1"/>
  <c r="EK88" i="37" s="1"/>
  <c r="EG86" i="37"/>
  <c r="EI86" i="37" s="1"/>
  <c r="EK86" i="37" s="1"/>
  <c r="EG84" i="37"/>
  <c r="EI84" i="37" s="1"/>
  <c r="EK84" i="37" s="1"/>
  <c r="EG82" i="37"/>
  <c r="EI82" i="37" s="1"/>
  <c r="EK82" i="37" s="1"/>
  <c r="EG80" i="37"/>
  <c r="EI80" i="37" s="1"/>
  <c r="EK80" i="37" s="1"/>
  <c r="EG78" i="37"/>
  <c r="EI78" i="37" s="1"/>
  <c r="EK78" i="37" s="1"/>
  <c r="EG76" i="37"/>
  <c r="EI76" i="37" s="1"/>
  <c r="EK76" i="37" s="1"/>
  <c r="EG74" i="37"/>
  <c r="EI74" i="37" s="1"/>
  <c r="EK74" i="37" s="1"/>
  <c r="EG72" i="37"/>
  <c r="EI72" i="37" s="1"/>
  <c r="EK72" i="37" s="1"/>
  <c r="EG70" i="37"/>
  <c r="EI70" i="37" s="1"/>
  <c r="EK70" i="37" s="1"/>
  <c r="EG68" i="37"/>
  <c r="EI68" i="37" s="1"/>
  <c r="EK68" i="37" s="1"/>
  <c r="EG66" i="37"/>
  <c r="EI66" i="37" s="1"/>
  <c r="EK66" i="37" s="1"/>
  <c r="EG64" i="37"/>
  <c r="EI64" i="37" s="1"/>
  <c r="EK64" i="37" s="1"/>
  <c r="EG62" i="37"/>
  <c r="EI62" i="37" s="1"/>
  <c r="EK62" i="37" s="1"/>
  <c r="EG60" i="37"/>
  <c r="EI60" i="37" s="1"/>
  <c r="EK60" i="37" s="1"/>
  <c r="EG58" i="37"/>
  <c r="EI58" i="37" s="1"/>
  <c r="EK58" i="37" s="1"/>
  <c r="EG56" i="37"/>
  <c r="EI56" i="37" s="1"/>
  <c r="EK56" i="37" s="1"/>
  <c r="EG54" i="37"/>
  <c r="EI54" i="37" s="1"/>
  <c r="EK54" i="37" s="1"/>
  <c r="EG52" i="37"/>
  <c r="EI52" i="37" s="1"/>
  <c r="EK52" i="37" s="1"/>
  <c r="EG50" i="37"/>
  <c r="EI50" i="37" s="1"/>
  <c r="EK50" i="37" s="1"/>
  <c r="EG48" i="37"/>
  <c r="EI48" i="37" s="1"/>
  <c r="EK48" i="37" s="1"/>
  <c r="EG46" i="37"/>
  <c r="EI46" i="37" s="1"/>
  <c r="EK46" i="37" s="1"/>
  <c r="EG44" i="37"/>
  <c r="EI44" i="37" s="1"/>
  <c r="EK44" i="37" s="1"/>
  <c r="EG42" i="37"/>
  <c r="EI42" i="37" s="1"/>
  <c r="EK42" i="37" s="1"/>
  <c r="EG40" i="37"/>
  <c r="EI40" i="37" s="1"/>
  <c r="EK40" i="37" s="1"/>
  <c r="EG38" i="37"/>
  <c r="EI38" i="37" s="1"/>
  <c r="EK38" i="37" s="1"/>
  <c r="EG36" i="37"/>
  <c r="EI36" i="37" s="1"/>
  <c r="EK36" i="37" s="1"/>
  <c r="EG34" i="37"/>
  <c r="EI34" i="37" s="1"/>
  <c r="EK34" i="37" s="1"/>
  <c r="EG32" i="37"/>
  <c r="EI32" i="37" s="1"/>
  <c r="EK32" i="37" s="1"/>
  <c r="EG30" i="37"/>
  <c r="EI30" i="37" s="1"/>
  <c r="EK30" i="37" s="1"/>
  <c r="EG28" i="37"/>
  <c r="EI28" i="37" s="1"/>
  <c r="EK28" i="37" s="1"/>
  <c r="EG26" i="37"/>
  <c r="EI26" i="37" s="1"/>
  <c r="EK26" i="37" s="1"/>
  <c r="EG24" i="37"/>
  <c r="EI24" i="37" s="1"/>
  <c r="EK24" i="37" s="1"/>
  <c r="EG22" i="37"/>
  <c r="EI22" i="37" s="1"/>
  <c r="EK22" i="37" s="1"/>
  <c r="EG20" i="37"/>
  <c r="EI20" i="37" s="1"/>
  <c r="EK20" i="37" s="1"/>
  <c r="EG18" i="37"/>
  <c r="EI18" i="37" s="1"/>
  <c r="EK18" i="37" s="1"/>
  <c r="EG16" i="37"/>
  <c r="EI16" i="37" s="1"/>
  <c r="EK16" i="37" s="1"/>
  <c r="EG14" i="37"/>
  <c r="EI14" i="37" s="1"/>
  <c r="EK14" i="37" s="1"/>
  <c r="EG12" i="37"/>
  <c r="EI12" i="37" s="1"/>
  <c r="EK12" i="37" s="1"/>
  <c r="EK7" i="37"/>
  <c r="EK10" i="37"/>
  <c r="U7" i="37" l="1"/>
  <c r="T7" i="37"/>
  <c r="V60" i="37" a="1"/>
  <c r="V60" i="37" s="1"/>
  <c r="U60" i="37" a="1"/>
  <c r="U60" i="37" s="1"/>
  <c r="T60" i="37" a="1"/>
  <c r="T60" i="37" s="1"/>
  <c r="R60" i="37" a="1"/>
  <c r="R60" i="37" s="1"/>
  <c r="Q60" i="37" a="1"/>
  <c r="Q60" i="37" s="1"/>
  <c r="V59" i="37" a="1"/>
  <c r="V59" i="37" s="1"/>
  <c r="U59" i="37" a="1"/>
  <c r="U59" i="37" s="1"/>
  <c r="T59" i="37" a="1"/>
  <c r="T59" i="37" s="1"/>
  <c r="R59" i="37" a="1"/>
  <c r="R59" i="37" s="1"/>
  <c r="Q59" i="37" a="1"/>
  <c r="Q59" i="37" s="1"/>
  <c r="V58" i="37" a="1"/>
  <c r="V58" i="37" s="1"/>
  <c r="U58" i="37" a="1"/>
  <c r="U58" i="37" s="1"/>
  <c r="T58" i="37" a="1"/>
  <c r="T58" i="37" s="1"/>
  <c r="R58" i="37" a="1"/>
  <c r="R58" i="37" s="1"/>
  <c r="Q58" i="37" a="1"/>
  <c r="Q58" i="37" s="1"/>
  <c r="V57" i="37" a="1"/>
  <c r="V57" i="37" s="1"/>
  <c r="U57" i="37" a="1"/>
  <c r="U57" i="37" s="1"/>
  <c r="T57" i="37" a="1"/>
  <c r="T57" i="37" s="1"/>
  <c r="R57" i="37" a="1"/>
  <c r="R57" i="37" s="1"/>
  <c r="Q57" i="37" a="1"/>
  <c r="Q57" i="37" s="1"/>
  <c r="V56" i="37" a="1"/>
  <c r="V56" i="37" s="1"/>
  <c r="U56" i="37" a="1"/>
  <c r="U56" i="37" s="1"/>
  <c r="T56" i="37" a="1"/>
  <c r="T56" i="37" s="1"/>
  <c r="R56" i="37" a="1"/>
  <c r="R56" i="37" s="1"/>
  <c r="Q56" i="37" a="1"/>
  <c r="Q56" i="37" s="1"/>
  <c r="V55" i="37" a="1"/>
  <c r="V55" i="37" s="1"/>
  <c r="U55" i="37" a="1"/>
  <c r="U55" i="37" s="1"/>
  <c r="T55" i="37" a="1"/>
  <c r="T55" i="37" s="1"/>
  <c r="R55" i="37" a="1"/>
  <c r="R55" i="37" s="1"/>
  <c r="Q55" i="37" a="1"/>
  <c r="Q55" i="37" s="1"/>
  <c r="V54" i="37" a="1"/>
  <c r="V54" i="37" s="1"/>
  <c r="U54" i="37" a="1"/>
  <c r="U54" i="37" s="1"/>
  <c r="T54" i="37" a="1"/>
  <c r="T54" i="37" s="1"/>
  <c r="R54" i="37" a="1"/>
  <c r="R54" i="37" s="1"/>
  <c r="Q54" i="37" a="1"/>
  <c r="Q54" i="37" s="1"/>
  <c r="V53" i="37" a="1"/>
  <c r="V53" i="37" s="1"/>
  <c r="U53" i="37" a="1"/>
  <c r="U53" i="37" s="1"/>
  <c r="T53" i="37" a="1"/>
  <c r="T53" i="37" s="1"/>
  <c r="R53" i="37" a="1"/>
  <c r="R53" i="37" s="1"/>
  <c r="Q53" i="37" a="1"/>
  <c r="Q53" i="37" s="1"/>
  <c r="V52" i="37" a="1"/>
  <c r="V52" i="37" s="1"/>
  <c r="U52" i="37" a="1"/>
  <c r="U52" i="37" s="1"/>
  <c r="T52" i="37" a="1"/>
  <c r="T52" i="37" s="1"/>
  <c r="R52" i="37" a="1"/>
  <c r="R52" i="37" s="1"/>
  <c r="Q52" i="37" a="1"/>
  <c r="Q52" i="37" s="1"/>
  <c r="V51" i="37" a="1"/>
  <c r="V51" i="37" s="1"/>
  <c r="U51" i="37" a="1"/>
  <c r="U51" i="37" s="1"/>
  <c r="T51" i="37" a="1"/>
  <c r="T51" i="37" s="1"/>
  <c r="R51" i="37" a="1"/>
  <c r="R51" i="37" s="1"/>
  <c r="Q51" i="37" a="1"/>
  <c r="Q51" i="37" s="1"/>
  <c r="V50" i="37" a="1"/>
  <c r="V50" i="37" s="1"/>
  <c r="U50" i="37" a="1"/>
  <c r="U50" i="37" s="1"/>
  <c r="T50" i="37" a="1"/>
  <c r="T50" i="37" s="1"/>
  <c r="R50" i="37" a="1"/>
  <c r="R50" i="37" s="1"/>
  <c r="Q50" i="37" a="1"/>
  <c r="Q50" i="37" s="1"/>
  <c r="V49" i="37" a="1"/>
  <c r="V49" i="37" s="1"/>
  <c r="U49" i="37" a="1"/>
  <c r="U49" i="37" s="1"/>
  <c r="T49" i="37" a="1"/>
  <c r="T49" i="37" s="1"/>
  <c r="R49" i="37" a="1"/>
  <c r="R49" i="37" s="1"/>
  <c r="Q49" i="37" a="1"/>
  <c r="Q49" i="37" s="1"/>
  <c r="V48" i="37" a="1"/>
  <c r="V48" i="37" s="1"/>
  <c r="U48" i="37" a="1"/>
  <c r="U48" i="37" s="1"/>
  <c r="T48" i="37" a="1"/>
  <c r="T48" i="37" s="1"/>
  <c r="R48" i="37" a="1"/>
  <c r="R48" i="37" s="1"/>
  <c r="Q48" i="37" a="1"/>
  <c r="Q48" i="37" s="1"/>
  <c r="V47" i="37" a="1"/>
  <c r="V47" i="37" s="1"/>
  <c r="U47" i="37" a="1"/>
  <c r="U47" i="37" s="1"/>
  <c r="T47" i="37" a="1"/>
  <c r="T47" i="37" s="1"/>
  <c r="R47" i="37" a="1"/>
  <c r="R47" i="37" s="1"/>
  <c r="Q47" i="37" a="1"/>
  <c r="Q47" i="37" s="1"/>
  <c r="V46" i="37" a="1"/>
  <c r="V46" i="37" s="1"/>
  <c r="U46" i="37" a="1"/>
  <c r="U46" i="37" s="1"/>
  <c r="T46" i="37" a="1"/>
  <c r="T46" i="37" s="1"/>
  <c r="R46" i="37" a="1"/>
  <c r="R46" i="37" s="1"/>
  <c r="Q46" i="37" a="1"/>
  <c r="Q46" i="37" s="1"/>
  <c r="V45" i="37" a="1"/>
  <c r="V45" i="37" s="1"/>
  <c r="U45" i="37" a="1"/>
  <c r="U45" i="37" s="1"/>
  <c r="T45" i="37" a="1"/>
  <c r="T45" i="37" s="1"/>
  <c r="R45" i="37" a="1"/>
  <c r="R45" i="37" s="1"/>
  <c r="Q45" i="37" a="1"/>
  <c r="Q45" i="37" s="1"/>
  <c r="V44" i="37" a="1"/>
  <c r="V44" i="37" s="1"/>
  <c r="U44" i="37" a="1"/>
  <c r="U44" i="37" s="1"/>
  <c r="T44" i="37" a="1"/>
  <c r="T44" i="37" s="1"/>
  <c r="R44" i="37" a="1"/>
  <c r="R44" i="37" s="1"/>
  <c r="Q44" i="37" a="1"/>
  <c r="Q44" i="37" s="1"/>
  <c r="V43" i="37" a="1"/>
  <c r="V43" i="37" s="1"/>
  <c r="U43" i="37" a="1"/>
  <c r="U43" i="37" s="1"/>
  <c r="T43" i="37" a="1"/>
  <c r="T43" i="37" s="1"/>
  <c r="R43" i="37" a="1"/>
  <c r="R43" i="37" s="1"/>
  <c r="Q43" i="37" a="1"/>
  <c r="Q43" i="37" s="1"/>
  <c r="V42" i="37" a="1"/>
  <c r="V42" i="37" s="1"/>
  <c r="U42" i="37" a="1"/>
  <c r="U42" i="37" s="1"/>
  <c r="T42" i="37" a="1"/>
  <c r="T42" i="37" s="1"/>
  <c r="R42" i="37" a="1"/>
  <c r="R42" i="37" s="1"/>
  <c r="Q42" i="37" a="1"/>
  <c r="Q42" i="37" s="1"/>
  <c r="V41" i="37" a="1"/>
  <c r="V41" i="37" s="1"/>
  <c r="U41" i="37" a="1"/>
  <c r="U41" i="37" s="1"/>
  <c r="T41" i="37" a="1"/>
  <c r="T41" i="37" s="1"/>
  <c r="R41" i="37" a="1"/>
  <c r="R41" i="37" s="1"/>
  <c r="Q41" i="37" a="1"/>
  <c r="Q41" i="37" s="1"/>
  <c r="V40" i="37" a="1"/>
  <c r="V40" i="37" s="1"/>
  <c r="U40" i="37" a="1"/>
  <c r="U40" i="37" s="1"/>
  <c r="T40" i="37" a="1"/>
  <c r="T40" i="37" s="1"/>
  <c r="R40" i="37" a="1"/>
  <c r="R40" i="37" s="1"/>
  <c r="Q40" i="37" a="1"/>
  <c r="Q40" i="37" s="1"/>
  <c r="V39" i="37" a="1"/>
  <c r="V39" i="37" s="1"/>
  <c r="U39" i="37" a="1"/>
  <c r="U39" i="37" s="1"/>
  <c r="T39" i="37" a="1"/>
  <c r="T39" i="37" s="1"/>
  <c r="R39" i="37" a="1"/>
  <c r="R39" i="37" s="1"/>
  <c r="Q39" i="37" a="1"/>
  <c r="Q39" i="37" s="1"/>
  <c r="V38" i="37" a="1"/>
  <c r="V38" i="37" s="1"/>
  <c r="U38" i="37" a="1"/>
  <c r="U38" i="37" s="1"/>
  <c r="T38" i="37" a="1"/>
  <c r="T38" i="37" s="1"/>
  <c r="R38" i="37" a="1"/>
  <c r="R38" i="37" s="1"/>
  <c r="Q38" i="37" a="1"/>
  <c r="Q38" i="37" s="1"/>
  <c r="V37" i="37" a="1"/>
  <c r="V37" i="37" s="1"/>
  <c r="U37" i="37" a="1"/>
  <c r="U37" i="37" s="1"/>
  <c r="T37" i="37" a="1"/>
  <c r="T37" i="37" s="1"/>
  <c r="R37" i="37" a="1"/>
  <c r="R37" i="37" s="1"/>
  <c r="Q37" i="37" a="1"/>
  <c r="Q37" i="37" s="1"/>
  <c r="V36" i="37" a="1"/>
  <c r="V36" i="37" s="1"/>
  <c r="U36" i="37" a="1"/>
  <c r="U36" i="37" s="1"/>
  <c r="T36" i="37" a="1"/>
  <c r="T36" i="37" s="1"/>
  <c r="R36" i="37" a="1"/>
  <c r="R36" i="37" s="1"/>
  <c r="Q36" i="37" a="1"/>
  <c r="Q36" i="37" s="1"/>
  <c r="V35" i="37" a="1"/>
  <c r="V35" i="37" s="1"/>
  <c r="U35" i="37" a="1"/>
  <c r="U35" i="37" s="1"/>
  <c r="T35" i="37" a="1"/>
  <c r="T35" i="37" s="1"/>
  <c r="R35" i="37" a="1"/>
  <c r="R35" i="37" s="1"/>
  <c r="Q35" i="37" a="1"/>
  <c r="Q35" i="37" s="1"/>
  <c r="V34" i="37" a="1"/>
  <c r="V34" i="37" s="1"/>
  <c r="U34" i="37" a="1"/>
  <c r="U34" i="37" s="1"/>
  <c r="T34" i="37" a="1"/>
  <c r="T34" i="37" s="1"/>
  <c r="R34" i="37" a="1"/>
  <c r="R34" i="37" s="1"/>
  <c r="Q34" i="37" a="1"/>
  <c r="Q34" i="37" s="1"/>
  <c r="V33" i="37" a="1"/>
  <c r="V33" i="37" s="1"/>
  <c r="U33" i="37" a="1"/>
  <c r="U33" i="37" s="1"/>
  <c r="T33" i="37" a="1"/>
  <c r="T33" i="37" s="1"/>
  <c r="R33" i="37" a="1"/>
  <c r="R33" i="37" s="1"/>
  <c r="Q33" i="37" a="1"/>
  <c r="Q33" i="37" s="1"/>
  <c r="V32" i="37" a="1"/>
  <c r="V32" i="37" s="1"/>
  <c r="U32" i="37" a="1"/>
  <c r="U32" i="37" s="1"/>
  <c r="T32" i="37" a="1"/>
  <c r="T32" i="37" s="1"/>
  <c r="R32" i="37" a="1"/>
  <c r="R32" i="37" s="1"/>
  <c r="Q32" i="37" a="1"/>
  <c r="Q32" i="37" s="1"/>
  <c r="V31" i="37" a="1"/>
  <c r="V31" i="37" s="1"/>
  <c r="U31" i="37" a="1"/>
  <c r="U31" i="37" s="1"/>
  <c r="T31" i="37" a="1"/>
  <c r="T31" i="37" s="1"/>
  <c r="R31" i="37" a="1"/>
  <c r="R31" i="37" s="1"/>
  <c r="Q31" i="37" a="1"/>
  <c r="Q31" i="37" s="1"/>
  <c r="V30" i="37" a="1"/>
  <c r="V30" i="37" s="1"/>
  <c r="U30" i="37" a="1"/>
  <c r="U30" i="37" s="1"/>
  <c r="T30" i="37" a="1"/>
  <c r="T30" i="37" s="1"/>
  <c r="R30" i="37" a="1"/>
  <c r="R30" i="37" s="1"/>
  <c r="Q30" i="37" a="1"/>
  <c r="Q30" i="37" s="1"/>
  <c r="V29" i="37" a="1"/>
  <c r="V29" i="37" s="1"/>
  <c r="U29" i="37" a="1"/>
  <c r="U29" i="37" s="1"/>
  <c r="T29" i="37" a="1"/>
  <c r="T29" i="37" s="1"/>
  <c r="R29" i="37" a="1"/>
  <c r="R29" i="37" s="1"/>
  <c r="Q29" i="37" a="1"/>
  <c r="Q29" i="37" s="1"/>
  <c r="V28" i="37" a="1"/>
  <c r="V28" i="37" s="1"/>
  <c r="U28" i="37" a="1"/>
  <c r="U28" i="37" s="1"/>
  <c r="T28" i="37" a="1"/>
  <c r="T28" i="37" s="1"/>
  <c r="R28" i="37" a="1"/>
  <c r="R28" i="37" s="1"/>
  <c r="Q28" i="37" a="1"/>
  <c r="Q28" i="37" s="1"/>
  <c r="V27" i="37" a="1"/>
  <c r="V27" i="37" s="1"/>
  <c r="U27" i="37" a="1"/>
  <c r="U27" i="37" s="1"/>
  <c r="T27" i="37" a="1"/>
  <c r="T27" i="37" s="1"/>
  <c r="R27" i="37" a="1"/>
  <c r="R27" i="37" s="1"/>
  <c r="Q27" i="37" a="1"/>
  <c r="Q27" i="37" s="1"/>
  <c r="V26" i="37" a="1"/>
  <c r="V26" i="37" s="1"/>
  <c r="U26" i="37" a="1"/>
  <c r="U26" i="37" s="1"/>
  <c r="T26" i="37" a="1"/>
  <c r="T26" i="37" s="1"/>
  <c r="R26" i="37" a="1"/>
  <c r="R26" i="37" s="1"/>
  <c r="Q26" i="37" a="1"/>
  <c r="Q26" i="37" s="1"/>
  <c r="V25" i="37" a="1"/>
  <c r="V25" i="37" s="1"/>
  <c r="U25" i="37" a="1"/>
  <c r="U25" i="37" s="1"/>
  <c r="T25" i="37" a="1"/>
  <c r="T25" i="37" s="1"/>
  <c r="R25" i="37" a="1"/>
  <c r="R25" i="37" s="1"/>
  <c r="Q25" i="37" a="1"/>
  <c r="Q25" i="37" s="1"/>
  <c r="V24" i="37" a="1"/>
  <c r="V24" i="37" s="1"/>
  <c r="U24" i="37" a="1"/>
  <c r="U24" i="37" s="1"/>
  <c r="T24" i="37" a="1"/>
  <c r="T24" i="37" s="1"/>
  <c r="R24" i="37" a="1"/>
  <c r="R24" i="37" s="1"/>
  <c r="Q24" i="37" a="1"/>
  <c r="Q24" i="37" s="1"/>
  <c r="V23" i="37" a="1"/>
  <c r="V23" i="37" s="1"/>
  <c r="U23" i="37" a="1"/>
  <c r="U23" i="37" s="1"/>
  <c r="T23" i="37" a="1"/>
  <c r="T23" i="37" s="1"/>
  <c r="R23" i="37" a="1"/>
  <c r="R23" i="37" s="1"/>
  <c r="Q23" i="37" a="1"/>
  <c r="Q23" i="37" s="1"/>
  <c r="V22" i="37" a="1"/>
  <c r="V22" i="37" s="1"/>
  <c r="U22" i="37" a="1"/>
  <c r="U22" i="37" s="1"/>
  <c r="T22" i="37" a="1"/>
  <c r="T22" i="37" s="1"/>
  <c r="R22" i="37" a="1"/>
  <c r="R22" i="37" s="1"/>
  <c r="Q22" i="37" a="1"/>
  <c r="Q22" i="37" s="1"/>
  <c r="V21" i="37" a="1"/>
  <c r="V21" i="37" s="1"/>
  <c r="U21" i="37" a="1"/>
  <c r="U21" i="37" s="1"/>
  <c r="T21" i="37" a="1"/>
  <c r="T21" i="37" s="1"/>
  <c r="R21" i="37" a="1"/>
  <c r="R21" i="37" s="1"/>
  <c r="Q21" i="37" a="1"/>
  <c r="Q21" i="37" s="1"/>
  <c r="V20" i="37" a="1"/>
  <c r="V20" i="37" s="1"/>
  <c r="U20" i="37" a="1"/>
  <c r="U20" i="37" s="1"/>
  <c r="T20" i="37" a="1"/>
  <c r="T20" i="37" s="1"/>
  <c r="R20" i="37" a="1"/>
  <c r="R20" i="37" s="1"/>
  <c r="Q20" i="37" a="1"/>
  <c r="Q20" i="37" s="1"/>
  <c r="V19" i="37" a="1"/>
  <c r="V19" i="37" s="1"/>
  <c r="U19" i="37" a="1"/>
  <c r="U19" i="37" s="1"/>
  <c r="T19" i="37" a="1"/>
  <c r="T19" i="37" s="1"/>
  <c r="R19" i="37" a="1"/>
  <c r="R19" i="37" s="1"/>
  <c r="Q19" i="37" a="1"/>
  <c r="Q19" i="37" s="1"/>
  <c r="V18" i="37" a="1"/>
  <c r="V18" i="37" s="1"/>
  <c r="U18" i="37" a="1"/>
  <c r="U18" i="37" s="1"/>
  <c r="T18" i="37" a="1"/>
  <c r="T18" i="37" s="1"/>
  <c r="R18" i="37" a="1"/>
  <c r="R18" i="37" s="1"/>
  <c r="Q18" i="37" a="1"/>
  <c r="Q18" i="37" s="1"/>
  <c r="V17" i="37" a="1"/>
  <c r="V17" i="37" s="1"/>
  <c r="U17" i="37" a="1"/>
  <c r="U17" i="37" s="1"/>
  <c r="T17" i="37" a="1"/>
  <c r="T17" i="37" s="1"/>
  <c r="R17" i="37" a="1"/>
  <c r="R17" i="37" s="1"/>
  <c r="Q17" i="37" a="1"/>
  <c r="Q17" i="37" s="1"/>
  <c r="V16" i="37" a="1"/>
  <c r="V16" i="37" s="1"/>
  <c r="U16" i="37" a="1"/>
  <c r="U16" i="37" s="1"/>
  <c r="T16" i="37" a="1"/>
  <c r="T16" i="37" s="1"/>
  <c r="R16" i="37" a="1"/>
  <c r="R16" i="37" s="1"/>
  <c r="Q16" i="37" a="1"/>
  <c r="Q16" i="37" s="1"/>
  <c r="V15" i="37" a="1"/>
  <c r="V15" i="37" s="1"/>
  <c r="U15" i="37" a="1"/>
  <c r="U15" i="37" s="1"/>
  <c r="T15" i="37" a="1"/>
  <c r="T15" i="37" s="1"/>
  <c r="R15" i="37" a="1"/>
  <c r="R15" i="37" s="1"/>
  <c r="Q15" i="37" a="1"/>
  <c r="Q15" i="37" s="1"/>
  <c r="V14" i="37" a="1"/>
  <c r="V14" i="37" s="1"/>
  <c r="U14" i="37" a="1"/>
  <c r="U14" i="37" s="1"/>
  <c r="T14" i="37" a="1"/>
  <c r="T14" i="37" s="1"/>
  <c r="R14" i="37" a="1"/>
  <c r="R14" i="37" s="1"/>
  <c r="Q14" i="37" a="1"/>
  <c r="Q14" i="37" s="1"/>
  <c r="V13" i="37" a="1"/>
  <c r="V13" i="37" s="1"/>
  <c r="U13" i="37" a="1"/>
  <c r="U13" i="37" s="1"/>
  <c r="T13" i="37" a="1"/>
  <c r="T13" i="37" s="1"/>
  <c r="R13" i="37" a="1"/>
  <c r="R13" i="37" s="1"/>
  <c r="Q13" i="37" a="1"/>
  <c r="Q13" i="37" s="1"/>
  <c r="V12" i="37" a="1"/>
  <c r="V12" i="37" s="1"/>
  <c r="U12" i="37" a="1"/>
  <c r="U12" i="37" s="1"/>
  <c r="T12" i="37" a="1"/>
  <c r="T12" i="37" s="1"/>
  <c r="R12" i="37" a="1"/>
  <c r="R12" i="37" s="1"/>
  <c r="Q12" i="37" a="1"/>
  <c r="Q12" i="37" s="1"/>
  <c r="V11" i="37" a="1"/>
  <c r="V11" i="37" s="1"/>
  <c r="U11" i="37" a="1"/>
  <c r="U11" i="37" s="1"/>
  <c r="T11" i="37" a="1"/>
  <c r="T11" i="37" s="1"/>
  <c r="R11" i="37" a="1"/>
  <c r="R11" i="37" s="1"/>
  <c r="Q11" i="37" a="1"/>
  <c r="Q11" i="37" s="1"/>
  <c r="P11" i="37" a="1"/>
  <c r="P11" i="37" s="1"/>
  <c r="O60" i="37" a="1"/>
  <c r="O60" i="37" s="1"/>
  <c r="N60" i="37" a="1"/>
  <c r="N60" i="37" s="1"/>
  <c r="M60" i="37" a="1"/>
  <c r="M60" i="37" s="1"/>
  <c r="L60" i="37" a="1"/>
  <c r="L60" i="37" s="1"/>
  <c r="O59" i="37" a="1"/>
  <c r="O59" i="37" s="1"/>
  <c r="N59" i="37" a="1"/>
  <c r="N59" i="37" s="1"/>
  <c r="M59" i="37" a="1"/>
  <c r="M59" i="37" s="1"/>
  <c r="L59" i="37" a="1"/>
  <c r="L59" i="37" s="1"/>
  <c r="O58" i="37" a="1"/>
  <c r="O58" i="37" s="1"/>
  <c r="N58" i="37" a="1"/>
  <c r="N58" i="37" s="1"/>
  <c r="M58" i="37" a="1"/>
  <c r="M58" i="37" s="1"/>
  <c r="L58" i="37" a="1"/>
  <c r="L58" i="37" s="1"/>
  <c r="O57" i="37" a="1"/>
  <c r="O57" i="37" s="1"/>
  <c r="N57" i="37" a="1"/>
  <c r="N57" i="37" s="1"/>
  <c r="M57" i="37" a="1"/>
  <c r="M57" i="37" s="1"/>
  <c r="L57" i="37" a="1"/>
  <c r="L57" i="37" s="1"/>
  <c r="O56" i="37" a="1"/>
  <c r="O56" i="37" s="1"/>
  <c r="N56" i="37" a="1"/>
  <c r="N56" i="37" s="1"/>
  <c r="M56" i="37" a="1"/>
  <c r="M56" i="37" s="1"/>
  <c r="L56" i="37" a="1"/>
  <c r="L56" i="37" s="1"/>
  <c r="O55" i="37" a="1"/>
  <c r="O55" i="37" s="1"/>
  <c r="N55" i="37" a="1"/>
  <c r="N55" i="37" s="1"/>
  <c r="M55" i="37" a="1"/>
  <c r="M55" i="37" s="1"/>
  <c r="L55" i="37" a="1"/>
  <c r="L55" i="37" s="1"/>
  <c r="O54" i="37" a="1"/>
  <c r="O54" i="37" s="1"/>
  <c r="N54" i="37" a="1"/>
  <c r="N54" i="37" s="1"/>
  <c r="M54" i="37" a="1"/>
  <c r="M54" i="37" s="1"/>
  <c r="L54" i="37" a="1"/>
  <c r="L54" i="37" s="1"/>
  <c r="O53" i="37" a="1"/>
  <c r="O53" i="37" s="1"/>
  <c r="N53" i="37" a="1"/>
  <c r="N53" i="37" s="1"/>
  <c r="M53" i="37" a="1"/>
  <c r="M53" i="37" s="1"/>
  <c r="L53" i="37" a="1"/>
  <c r="L53" i="37" s="1"/>
  <c r="O52" i="37" a="1"/>
  <c r="O52" i="37" s="1"/>
  <c r="N52" i="37" a="1"/>
  <c r="N52" i="37" s="1"/>
  <c r="M52" i="37" a="1"/>
  <c r="M52" i="37" s="1"/>
  <c r="L52" i="37" a="1"/>
  <c r="L52" i="37" s="1"/>
  <c r="O51" i="37" a="1"/>
  <c r="O51" i="37" s="1"/>
  <c r="N51" i="37" a="1"/>
  <c r="N51" i="37" s="1"/>
  <c r="M51" i="37" a="1"/>
  <c r="M51" i="37" s="1"/>
  <c r="L51" i="37" a="1"/>
  <c r="L51" i="37" s="1"/>
  <c r="O50" i="37" a="1"/>
  <c r="O50" i="37" s="1"/>
  <c r="N50" i="37" a="1"/>
  <c r="N50" i="37" s="1"/>
  <c r="M50" i="37" a="1"/>
  <c r="M50" i="37" s="1"/>
  <c r="L50" i="37" a="1"/>
  <c r="L50" i="37" s="1"/>
  <c r="O49" i="37" a="1"/>
  <c r="O49" i="37" s="1"/>
  <c r="N49" i="37" a="1"/>
  <c r="N49" i="37" s="1"/>
  <c r="M49" i="37" a="1"/>
  <c r="M49" i="37" s="1"/>
  <c r="L49" i="37" a="1"/>
  <c r="L49" i="37" s="1"/>
  <c r="O48" i="37" a="1"/>
  <c r="O48" i="37" s="1"/>
  <c r="N48" i="37" a="1"/>
  <c r="N48" i="37" s="1"/>
  <c r="M48" i="37" a="1"/>
  <c r="M48" i="37" s="1"/>
  <c r="L48" i="37" a="1"/>
  <c r="L48" i="37" s="1"/>
  <c r="O47" i="37" a="1"/>
  <c r="O47" i="37" s="1"/>
  <c r="N47" i="37" a="1"/>
  <c r="N47" i="37" s="1"/>
  <c r="M47" i="37" a="1"/>
  <c r="M47" i="37" s="1"/>
  <c r="L47" i="37" a="1"/>
  <c r="L47" i="37" s="1"/>
  <c r="O46" i="37" a="1"/>
  <c r="O46" i="37" s="1"/>
  <c r="N46" i="37" a="1"/>
  <c r="N46" i="37" s="1"/>
  <c r="M46" i="37" a="1"/>
  <c r="M46" i="37" s="1"/>
  <c r="L46" i="37" a="1"/>
  <c r="L46" i="37" s="1"/>
  <c r="O45" i="37" a="1"/>
  <c r="O45" i="37" s="1"/>
  <c r="N45" i="37" a="1"/>
  <c r="N45" i="37" s="1"/>
  <c r="M45" i="37" a="1"/>
  <c r="M45" i="37" s="1"/>
  <c r="L45" i="37" a="1"/>
  <c r="L45" i="37" s="1"/>
  <c r="O44" i="37" a="1"/>
  <c r="O44" i="37" s="1"/>
  <c r="N44" i="37" a="1"/>
  <c r="N44" i="37" s="1"/>
  <c r="M44" i="37" a="1"/>
  <c r="M44" i="37" s="1"/>
  <c r="L44" i="37" a="1"/>
  <c r="L44" i="37" s="1"/>
  <c r="O43" i="37" a="1"/>
  <c r="O43" i="37" s="1"/>
  <c r="N43" i="37" a="1"/>
  <c r="N43" i="37" s="1"/>
  <c r="M43" i="37" a="1"/>
  <c r="M43" i="37" s="1"/>
  <c r="L43" i="37" a="1"/>
  <c r="L43" i="37" s="1"/>
  <c r="O42" i="37" a="1"/>
  <c r="O42" i="37" s="1"/>
  <c r="N42" i="37" a="1"/>
  <c r="N42" i="37" s="1"/>
  <c r="M42" i="37" a="1"/>
  <c r="M42" i="37" s="1"/>
  <c r="L42" i="37" a="1"/>
  <c r="L42" i="37" s="1"/>
  <c r="O41" i="37" a="1"/>
  <c r="O41" i="37" s="1"/>
  <c r="N41" i="37" a="1"/>
  <c r="N41" i="37" s="1"/>
  <c r="M41" i="37" a="1"/>
  <c r="M41" i="37" s="1"/>
  <c r="L41" i="37" a="1"/>
  <c r="L41" i="37" s="1"/>
  <c r="O40" i="37" a="1"/>
  <c r="O40" i="37" s="1"/>
  <c r="N40" i="37" a="1"/>
  <c r="N40" i="37" s="1"/>
  <c r="M40" i="37" a="1"/>
  <c r="M40" i="37" s="1"/>
  <c r="L40" i="37" a="1"/>
  <c r="L40" i="37" s="1"/>
  <c r="O39" i="37" a="1"/>
  <c r="O39" i="37" s="1"/>
  <c r="N39" i="37" a="1"/>
  <c r="N39" i="37" s="1"/>
  <c r="M39" i="37" a="1"/>
  <c r="M39" i="37" s="1"/>
  <c r="L39" i="37" a="1"/>
  <c r="L39" i="37" s="1"/>
  <c r="O38" i="37" a="1"/>
  <c r="O38" i="37" s="1"/>
  <c r="N38" i="37" a="1"/>
  <c r="N38" i="37" s="1"/>
  <c r="M38" i="37" a="1"/>
  <c r="M38" i="37" s="1"/>
  <c r="B4" i="37" s="1"/>
  <c r="L38" i="37" a="1"/>
  <c r="L38" i="37" s="1"/>
  <c r="B6" i="37" s="1"/>
  <c r="O37" i="37" a="1"/>
  <c r="O37" i="37" s="1"/>
  <c r="N37" i="37" a="1"/>
  <c r="N37" i="37" s="1"/>
  <c r="M37" i="37" a="1"/>
  <c r="M37" i="37" s="1"/>
  <c r="L37" i="37" a="1"/>
  <c r="L37" i="37" s="1"/>
  <c r="O36" i="37" a="1"/>
  <c r="O36" i="37" s="1"/>
  <c r="N36" i="37" a="1"/>
  <c r="N36" i="37" s="1"/>
  <c r="M36" i="37" a="1"/>
  <c r="M36" i="37" s="1"/>
  <c r="L36" i="37" a="1"/>
  <c r="L36" i="37" s="1"/>
  <c r="O35" i="37" a="1"/>
  <c r="O35" i="37" s="1"/>
  <c r="N35" i="37" a="1"/>
  <c r="N35" i="37" s="1"/>
  <c r="M35" i="37" a="1"/>
  <c r="M35" i="37" s="1"/>
  <c r="L35" i="37" a="1"/>
  <c r="L35" i="37" s="1"/>
  <c r="O34" i="37" a="1"/>
  <c r="O34" i="37" s="1"/>
  <c r="N34" i="37" a="1"/>
  <c r="N34" i="37" s="1"/>
  <c r="M34" i="37" a="1"/>
  <c r="M34" i="37" s="1"/>
  <c r="L34" i="37" a="1"/>
  <c r="L34" i="37" s="1"/>
  <c r="O33" i="37" a="1"/>
  <c r="O33" i="37" s="1"/>
  <c r="N33" i="37" a="1"/>
  <c r="N33" i="37" s="1"/>
  <c r="M33" i="37" a="1"/>
  <c r="M33" i="37" s="1"/>
  <c r="L33" i="37" a="1"/>
  <c r="L33" i="37" s="1"/>
  <c r="O32" i="37" a="1"/>
  <c r="O32" i="37" s="1"/>
  <c r="N32" i="37" a="1"/>
  <c r="N32" i="37" s="1"/>
  <c r="M32" i="37" a="1"/>
  <c r="M32" i="37" s="1"/>
  <c r="L32" i="37" a="1"/>
  <c r="L32" i="37" s="1"/>
  <c r="O31" i="37" a="1"/>
  <c r="O31" i="37" s="1"/>
  <c r="N31" i="37" a="1"/>
  <c r="N31" i="37" s="1"/>
  <c r="M31" i="37" a="1"/>
  <c r="M31" i="37" s="1"/>
  <c r="L31" i="37" a="1"/>
  <c r="L31" i="37" s="1"/>
  <c r="O30" i="37" a="1"/>
  <c r="O30" i="37" s="1"/>
  <c r="N30" i="37" a="1"/>
  <c r="N30" i="37" s="1"/>
  <c r="M30" i="37" a="1"/>
  <c r="M30" i="37" s="1"/>
  <c r="L30" i="37" a="1"/>
  <c r="L30" i="37" s="1"/>
  <c r="O29" i="37" a="1"/>
  <c r="O29" i="37" s="1"/>
  <c r="N29" i="37" a="1"/>
  <c r="N29" i="37" s="1"/>
  <c r="M29" i="37" a="1"/>
  <c r="M29" i="37" s="1"/>
  <c r="L29" i="37" a="1"/>
  <c r="L29" i="37" s="1"/>
  <c r="O28" i="37" a="1"/>
  <c r="O28" i="37" s="1"/>
  <c r="N28" i="37" a="1"/>
  <c r="N28" i="37" s="1"/>
  <c r="M28" i="37" a="1"/>
  <c r="M28" i="37" s="1"/>
  <c r="L28" i="37" a="1"/>
  <c r="L28" i="37" s="1"/>
  <c r="O27" i="37" a="1"/>
  <c r="O27" i="37" s="1"/>
  <c r="N27" i="37" a="1"/>
  <c r="N27" i="37" s="1"/>
  <c r="M27" i="37" a="1"/>
  <c r="M27" i="37" s="1"/>
  <c r="L27" i="37" a="1"/>
  <c r="L27" i="37" s="1"/>
  <c r="O26" i="37" a="1"/>
  <c r="O26" i="37" s="1"/>
  <c r="N26" i="37" a="1"/>
  <c r="N26" i="37" s="1"/>
  <c r="M26" i="37" a="1"/>
  <c r="M26" i="37" s="1"/>
  <c r="L26" i="37" a="1"/>
  <c r="L26" i="37" s="1"/>
  <c r="O25" i="37" a="1"/>
  <c r="O25" i="37" s="1"/>
  <c r="N25" i="37" a="1"/>
  <c r="N25" i="37" s="1"/>
  <c r="M25" i="37" a="1"/>
  <c r="M25" i="37" s="1"/>
  <c r="L25" i="37" a="1"/>
  <c r="L25" i="37" s="1"/>
  <c r="O24" i="37" a="1"/>
  <c r="O24" i="37" s="1"/>
  <c r="N24" i="37" a="1"/>
  <c r="N24" i="37" s="1"/>
  <c r="M24" i="37" a="1"/>
  <c r="M24" i="37" s="1"/>
  <c r="L24" i="37" a="1"/>
  <c r="L24" i="37" s="1"/>
  <c r="O23" i="37" a="1"/>
  <c r="O23" i="37" s="1"/>
  <c r="N23" i="37" a="1"/>
  <c r="N23" i="37" s="1"/>
  <c r="M23" i="37" a="1"/>
  <c r="M23" i="37" s="1"/>
  <c r="L23" i="37" a="1"/>
  <c r="L23" i="37" s="1"/>
  <c r="O22" i="37" a="1"/>
  <c r="O22" i="37" s="1"/>
  <c r="N22" i="37" a="1"/>
  <c r="N22" i="37" s="1"/>
  <c r="M22" i="37" a="1"/>
  <c r="M22" i="37" s="1"/>
  <c r="L22" i="37" a="1"/>
  <c r="L22" i="37" s="1"/>
  <c r="O21" i="37" a="1"/>
  <c r="O21" i="37" s="1"/>
  <c r="N21" i="37" a="1"/>
  <c r="N21" i="37" s="1"/>
  <c r="M21" i="37" a="1"/>
  <c r="M21" i="37" s="1"/>
  <c r="L21" i="37" a="1"/>
  <c r="L21" i="37" s="1"/>
  <c r="O20" i="37" a="1"/>
  <c r="O20" i="37" s="1"/>
  <c r="N20" i="37" a="1"/>
  <c r="N20" i="37" s="1"/>
  <c r="M20" i="37" a="1"/>
  <c r="M20" i="37" s="1"/>
  <c r="L20" i="37" a="1"/>
  <c r="L20" i="37" s="1"/>
  <c r="O19" i="37" a="1"/>
  <c r="O19" i="37" s="1"/>
  <c r="N19" i="37" a="1"/>
  <c r="N19" i="37" s="1"/>
  <c r="M19" i="37" a="1"/>
  <c r="M19" i="37" s="1"/>
  <c r="L19" i="37" a="1"/>
  <c r="L19" i="37" s="1"/>
  <c r="O18" i="37" a="1"/>
  <c r="O18" i="37" s="1"/>
  <c r="N18" i="37" a="1"/>
  <c r="N18" i="37" s="1"/>
  <c r="M18" i="37" a="1"/>
  <c r="M18" i="37" s="1"/>
  <c r="L18" i="37" a="1"/>
  <c r="L18" i="37" s="1"/>
  <c r="O17" i="37" a="1"/>
  <c r="O17" i="37" s="1"/>
  <c r="N17" i="37" a="1"/>
  <c r="N17" i="37" s="1"/>
  <c r="M17" i="37" a="1"/>
  <c r="M17" i="37" s="1"/>
  <c r="L17" i="37" a="1"/>
  <c r="L17" i="37" s="1"/>
  <c r="O16" i="37" a="1"/>
  <c r="O16" i="37" s="1"/>
  <c r="N16" i="37" a="1"/>
  <c r="N16" i="37" s="1"/>
  <c r="M16" i="37" a="1"/>
  <c r="M16" i="37" s="1"/>
  <c r="L16" i="37" a="1"/>
  <c r="L16" i="37" s="1"/>
  <c r="O15" i="37" a="1"/>
  <c r="O15" i="37" s="1"/>
  <c r="N15" i="37" a="1"/>
  <c r="N15" i="37" s="1"/>
  <c r="M15" i="37" a="1"/>
  <c r="M15" i="37" s="1"/>
  <c r="O14" i="37" a="1"/>
  <c r="O14" i="37" s="1"/>
  <c r="N14" i="37" a="1"/>
  <c r="N14" i="37" s="1"/>
  <c r="M14" i="37" a="1"/>
  <c r="M14" i="37" s="1"/>
  <c r="L14" i="37" a="1"/>
  <c r="L14" i="37" s="1"/>
  <c r="O13" i="37" a="1"/>
  <c r="O13" i="37" s="1"/>
  <c r="N13" i="37" a="1"/>
  <c r="N13" i="37" s="1"/>
  <c r="M13" i="37" a="1"/>
  <c r="M13" i="37" s="1"/>
  <c r="L13" i="37" a="1"/>
  <c r="L13" i="37" s="1"/>
  <c r="O12" i="37" a="1"/>
  <c r="O12" i="37" s="1"/>
  <c r="N12" i="37" a="1"/>
  <c r="N12" i="37" s="1"/>
  <c r="M12" i="37" a="1"/>
  <c r="M12" i="37" s="1"/>
  <c r="L12" i="37" a="1"/>
  <c r="L12" i="37" s="1"/>
  <c r="O11" i="37" a="1"/>
  <c r="O11" i="37" s="1"/>
  <c r="N11" i="37" a="1"/>
  <c r="N11" i="37" s="1"/>
  <c r="M11" i="37" a="1"/>
  <c r="M11" i="37" s="1"/>
  <c r="L11" i="37" a="1"/>
  <c r="L11" i="37" s="1"/>
  <c r="V10" i="37" a="1"/>
  <c r="V10" i="37" s="1"/>
  <c r="U10" i="37" a="1"/>
  <c r="U10" i="37" s="1"/>
  <c r="T10" i="37" a="1"/>
  <c r="T10" i="37" s="1"/>
  <c r="R10" i="37" a="1"/>
  <c r="R10" i="37" s="1"/>
  <c r="Q10" i="37" a="1"/>
  <c r="Q10" i="37" s="1"/>
  <c r="P10" i="37" a="1"/>
  <c r="P10" i="37" s="1"/>
  <c r="O10" i="37" a="1"/>
  <c r="O10" i="37" s="1"/>
  <c r="N10" i="37" a="1"/>
  <c r="N10" i="37" s="1"/>
  <c r="M10" i="37" a="1"/>
  <c r="M10" i="37" s="1"/>
  <c r="G32" i="37" l="1"/>
  <c r="G22" i="37"/>
  <c r="B2" i="37"/>
  <c r="CT110" i="37" l="1"/>
  <c r="CT109" i="37"/>
  <c r="CT108" i="37"/>
  <c r="CT107" i="37"/>
  <c r="CT106" i="37"/>
  <c r="CT105" i="37"/>
  <c r="CT104" i="37"/>
  <c r="CT103" i="37"/>
  <c r="CT102" i="37"/>
  <c r="CT101" i="37"/>
  <c r="CT100" i="37"/>
  <c r="CT99" i="37"/>
  <c r="CT98" i="37"/>
  <c r="CT97" i="37"/>
  <c r="CT96" i="37"/>
  <c r="CT95" i="37"/>
  <c r="CT94" i="37"/>
  <c r="CT93" i="37"/>
  <c r="CT92" i="37"/>
  <c r="CT91" i="37"/>
  <c r="CT90" i="37"/>
  <c r="CT89" i="37"/>
  <c r="CT88" i="37"/>
  <c r="CT87" i="37"/>
  <c r="CT86" i="37"/>
  <c r="CT85" i="37"/>
  <c r="CT84" i="37"/>
  <c r="CT83" i="37"/>
  <c r="CT82" i="37"/>
  <c r="CT81" i="37"/>
  <c r="CT80" i="37"/>
  <c r="CT79" i="37"/>
  <c r="CT78" i="37"/>
  <c r="CT77" i="37"/>
  <c r="CT76" i="37"/>
  <c r="CT75" i="37"/>
  <c r="CT74" i="37"/>
  <c r="CT73" i="37"/>
  <c r="CT72" i="37"/>
  <c r="CT71" i="37"/>
  <c r="CT70" i="37"/>
  <c r="CT69" i="37"/>
  <c r="CT68" i="37"/>
  <c r="CT67" i="37"/>
  <c r="CT66" i="37"/>
  <c r="CT65" i="37"/>
  <c r="CT64" i="37"/>
  <c r="CT19" i="37"/>
  <c r="CT20" i="37"/>
  <c r="CT63" i="37"/>
  <c r="CT62" i="37"/>
  <c r="CT61" i="37"/>
  <c r="CT57" i="37"/>
  <c r="CT56" i="37"/>
  <c r="CT55" i="37"/>
  <c r="CT54" i="37"/>
  <c r="CT60" i="37"/>
  <c r="CT47" i="37"/>
  <c r="CT46" i="37"/>
  <c r="CT29" i="37"/>
  <c r="CT28" i="37"/>
  <c r="CT27" i="37"/>
  <c r="CT26" i="37"/>
  <c r="CT25" i="37"/>
  <c r="CT24" i="37"/>
  <c r="CT23" i="37"/>
  <c r="CT22" i="37"/>
  <c r="CT45" i="37"/>
  <c r="CT44" i="37"/>
  <c r="CT43" i="37"/>
  <c r="CT42" i="37"/>
  <c r="CT41" i="37"/>
  <c r="CT40" i="37"/>
  <c r="CT39" i="37"/>
  <c r="CT38" i="37"/>
  <c r="CT53" i="37"/>
  <c r="CT59" i="37"/>
  <c r="CT15" i="37"/>
  <c r="CT14" i="37"/>
  <c r="CT13" i="37"/>
  <c r="CT12" i="37"/>
  <c r="CT10" i="37"/>
  <c r="CT32" i="37"/>
  <c r="CT11" i="37"/>
  <c r="CT30" i="37"/>
  <c r="CT50" i="37"/>
  <c r="CT49" i="37"/>
  <c r="CT35" i="37"/>
  <c r="CT34" i="37"/>
  <c r="CT31" i="37"/>
  <c r="CT37" i="37"/>
  <c r="CT36" i="37"/>
  <c r="CT17" i="37"/>
  <c r="CT16" i="37"/>
  <c r="CT33" i="37"/>
  <c r="CT21" i="37"/>
  <c r="CT18" i="37"/>
  <c r="CT48" i="37"/>
  <c r="DB110" i="37" l="1"/>
  <c r="DB109" i="37"/>
  <c r="DB108" i="37"/>
  <c r="DB107" i="37"/>
  <c r="DB106" i="37"/>
  <c r="DB105" i="37"/>
  <c r="DB104" i="37"/>
  <c r="DB103" i="37"/>
  <c r="DB102" i="37"/>
  <c r="DB101" i="37"/>
  <c r="DB100" i="37"/>
  <c r="DB99" i="37"/>
  <c r="DB98" i="37"/>
  <c r="DB97" i="37"/>
  <c r="DB96" i="37"/>
  <c r="DB95" i="37"/>
  <c r="DB94" i="37"/>
  <c r="DB93" i="37"/>
  <c r="DB92" i="37"/>
  <c r="DB91" i="37"/>
  <c r="DB90" i="37"/>
  <c r="DB89" i="37"/>
  <c r="DB88" i="37"/>
  <c r="DB87" i="37"/>
  <c r="DB86" i="37"/>
  <c r="DB85" i="37"/>
  <c r="DB84" i="37"/>
  <c r="DB83" i="37"/>
  <c r="DB82" i="37"/>
  <c r="DB81" i="37"/>
  <c r="DB80" i="37"/>
  <c r="DB79" i="37"/>
  <c r="DB78" i="37"/>
  <c r="DB77" i="37"/>
  <c r="DB76" i="37"/>
  <c r="DB75" i="37"/>
  <c r="DB74" i="37"/>
  <c r="DB73" i="37"/>
  <c r="DB72" i="37"/>
  <c r="DB71" i="37"/>
  <c r="DB70" i="37"/>
  <c r="DB69" i="37"/>
  <c r="DB68" i="37"/>
  <c r="DB67" i="37"/>
  <c r="DB66" i="37"/>
  <c r="DB65" i="37"/>
  <c r="DB64" i="37"/>
  <c r="DB63" i="37"/>
  <c r="DB62" i="37"/>
  <c r="DB61" i="37"/>
  <c r="DB60" i="37"/>
  <c r="DB59" i="37"/>
  <c r="DB58" i="37"/>
  <c r="DB57" i="37"/>
  <c r="DB56" i="37"/>
  <c r="DB55" i="37"/>
  <c r="DB54" i="37"/>
  <c r="DB53" i="37"/>
  <c r="DB52" i="37"/>
  <c r="DB51" i="37"/>
  <c r="DB50" i="37"/>
  <c r="DB49" i="37"/>
  <c r="DB48" i="37"/>
  <c r="DB47" i="37"/>
  <c r="DB46" i="37"/>
  <c r="DB45" i="37"/>
  <c r="DB44" i="37"/>
  <c r="DB43" i="37"/>
  <c r="DB42" i="37"/>
  <c r="DB40" i="37"/>
  <c r="DB39" i="37"/>
  <c r="DB38" i="37"/>
  <c r="CY16" i="37" l="1"/>
  <c r="CY13" i="37" l="1"/>
  <c r="CY12" i="37"/>
  <c r="CY11" i="37"/>
  <c r="CY10" i="37"/>
  <c r="G20" i="37" l="1"/>
  <c r="G26" i="37"/>
  <c r="G30" i="37"/>
  <c r="G12" i="37"/>
  <c r="G24" i="37"/>
  <c r="G28" i="37"/>
  <c r="G18" i="37"/>
  <c r="G14" i="37"/>
  <c r="G25" i="37"/>
  <c r="G29" i="37"/>
  <c r="B7" i="37"/>
  <c r="G10" i="37" l="1"/>
  <c r="AV1" i="35" l="1"/>
  <c r="CY15" i="37" l="1"/>
  <c r="CY14" i="37"/>
  <c r="CY17" i="37"/>
  <c r="CY25" i="37" l="1"/>
  <c r="BX9" i="37" l="1"/>
  <c r="BX11" i="37"/>
  <c r="CY32" i="37" s="1"/>
  <c r="CY29" i="37" l="1"/>
  <c r="CY31" i="37"/>
  <c r="CY30" i="37"/>
  <c r="BX13" i="37"/>
  <c r="BX15" i="37"/>
  <c r="AA32" i="37" a="1"/>
  <c r="AA32" i="37" s="1"/>
  <c r="X32" i="37" a="1"/>
  <c r="X32" i="37" s="1"/>
  <c r="Z32" i="37" a="1"/>
  <c r="Z32" i="37" s="1"/>
  <c r="CR86" i="37" l="1"/>
  <c r="CS86" i="37" s="1"/>
  <c r="CR87" i="37"/>
  <c r="CS87" i="37" s="1"/>
  <c r="CU87" i="37"/>
  <c r="CU86" i="37"/>
  <c r="CU85" i="37"/>
  <c r="CU83" i="37"/>
  <c r="CU81" i="37"/>
  <c r="CU79" i="37"/>
  <c r="CU77" i="37"/>
  <c r="CU75" i="37"/>
  <c r="CU73" i="37"/>
  <c r="CU71" i="37"/>
  <c r="CU69" i="37"/>
  <c r="CU84" i="37"/>
  <c r="CU82" i="37"/>
  <c r="CU80" i="37"/>
  <c r="CU78" i="37"/>
  <c r="CU76" i="37"/>
  <c r="CU74" i="37"/>
  <c r="CU72" i="37"/>
  <c r="CU70" i="37"/>
  <c r="CR84" i="37"/>
  <c r="CS84" i="37" s="1"/>
  <c r="CR82" i="37"/>
  <c r="CS82" i="37" s="1"/>
  <c r="CR85" i="37"/>
  <c r="CS85" i="37" s="1"/>
  <c r="CR83" i="37"/>
  <c r="CS83" i="37" s="1"/>
  <c r="CR81" i="37"/>
  <c r="CS81" i="37" s="1"/>
  <c r="CU62" i="37"/>
  <c r="CU67" i="37"/>
  <c r="CU64" i="37"/>
  <c r="CU65" i="37"/>
  <c r="CU56" i="37"/>
  <c r="CU58" i="37"/>
  <c r="CU60" i="37"/>
  <c r="CU59" i="37"/>
  <c r="CU61" i="37"/>
  <c r="CU63" i="37"/>
  <c r="CU68" i="37"/>
  <c r="CU66" i="37"/>
  <c r="CU57" i="37"/>
  <c r="CU55" i="37"/>
  <c r="CU53" i="37"/>
  <c r="CU51" i="37"/>
  <c r="CU49" i="37"/>
  <c r="CU47" i="37"/>
  <c r="CU45" i="37"/>
  <c r="CU43" i="37"/>
  <c r="CU41" i="37"/>
  <c r="CU39" i="37"/>
  <c r="CU37" i="37"/>
  <c r="CU35" i="37"/>
  <c r="CU33" i="37"/>
  <c r="CU31" i="37"/>
  <c r="CU29" i="37"/>
  <c r="CU27" i="37"/>
  <c r="CU25" i="37"/>
  <c r="CU23" i="37"/>
  <c r="CU54" i="37"/>
  <c r="CU52" i="37"/>
  <c r="CU50" i="37"/>
  <c r="CU48" i="37"/>
  <c r="CU46" i="37"/>
  <c r="CU44" i="37"/>
  <c r="CU42" i="37"/>
  <c r="CU40" i="37"/>
  <c r="CU38" i="37"/>
  <c r="CU36" i="37"/>
  <c r="CU34" i="37"/>
  <c r="CU32" i="37"/>
  <c r="CU30" i="37"/>
  <c r="CU28" i="37"/>
  <c r="CU26" i="37"/>
  <c r="CU24" i="37"/>
  <c r="CU22" i="37"/>
  <c r="CU21" i="37"/>
  <c r="CU19" i="37"/>
  <c r="CU17" i="37"/>
  <c r="CU20" i="37"/>
  <c r="CU18" i="37"/>
  <c r="CU14" i="37"/>
  <c r="CU13" i="37"/>
  <c r="CU11" i="37"/>
  <c r="CU16" i="37"/>
  <c r="CU12" i="37"/>
  <c r="CU15" i="37"/>
  <c r="CU10" i="37"/>
  <c r="CR78" i="37"/>
  <c r="CS78" i="37" s="1"/>
  <c r="CR79" i="37"/>
  <c r="CS79" i="37" s="1"/>
  <c r="CR80" i="37"/>
  <c r="CS80" i="37" s="1"/>
  <c r="CR14" i="37"/>
  <c r="CS14" i="37" s="1"/>
  <c r="CR68" i="37"/>
  <c r="CS68" i="37" s="1"/>
  <c r="CR55" i="37"/>
  <c r="CS55" i="37" s="1"/>
  <c r="CR22" i="37"/>
  <c r="CS22" i="37" s="1"/>
  <c r="CR67" i="37"/>
  <c r="CS67" i="37" s="1"/>
  <c r="CR54" i="37"/>
  <c r="CS54" i="37" s="1"/>
  <c r="CR45" i="37"/>
  <c r="CS45" i="37" s="1"/>
  <c r="CR66" i="37"/>
  <c r="CS66" i="37" s="1"/>
  <c r="CR60" i="37"/>
  <c r="CS60" i="37" s="1"/>
  <c r="CR44" i="37"/>
  <c r="CS44" i="37" s="1"/>
  <c r="CR77" i="37"/>
  <c r="CS77" i="37" s="1"/>
  <c r="CR65" i="37"/>
  <c r="CS65" i="37" s="1"/>
  <c r="CR47" i="37"/>
  <c r="CS47" i="37" s="1"/>
  <c r="CR43" i="37"/>
  <c r="CS43" i="37" s="1"/>
  <c r="CR71" i="37"/>
  <c r="CS71" i="37" s="1"/>
  <c r="CR25" i="37"/>
  <c r="CS25" i="37" s="1"/>
  <c r="CR76" i="37"/>
  <c r="CS76" i="37" s="1"/>
  <c r="CR64" i="37"/>
  <c r="CS64" i="37" s="1"/>
  <c r="CR46" i="37"/>
  <c r="CS46" i="37" s="1"/>
  <c r="CR42" i="37"/>
  <c r="CS42" i="37" s="1"/>
  <c r="CR61" i="37"/>
  <c r="CS61" i="37" s="1"/>
  <c r="CR75" i="37"/>
  <c r="CS75" i="37" s="1"/>
  <c r="CR19" i="37"/>
  <c r="CS19" i="37" s="1"/>
  <c r="CR29" i="37"/>
  <c r="CS29" i="37" s="1"/>
  <c r="CR41" i="37"/>
  <c r="CS41" i="37" s="1"/>
  <c r="CR74" i="37"/>
  <c r="CS74" i="37" s="1"/>
  <c r="CR20" i="37"/>
  <c r="CS20" i="37" s="1"/>
  <c r="CR28" i="37"/>
  <c r="CS28" i="37" s="1"/>
  <c r="CR40" i="37"/>
  <c r="CS40" i="37" s="1"/>
  <c r="CR73" i="37"/>
  <c r="CS73" i="37" s="1"/>
  <c r="CR63" i="37"/>
  <c r="CS63" i="37" s="1"/>
  <c r="CR27" i="37"/>
  <c r="CS27" i="37" s="1"/>
  <c r="CR72" i="37"/>
  <c r="CS72" i="37" s="1"/>
  <c r="CR62" i="37"/>
  <c r="CS62" i="37" s="1"/>
  <c r="CR26" i="37"/>
  <c r="CS26" i="37" s="1"/>
  <c r="CR70" i="37"/>
  <c r="CS70" i="37" s="1"/>
  <c r="CR57" i="37"/>
  <c r="CS57" i="37" s="1"/>
  <c r="CR24" i="37"/>
  <c r="CS24" i="37" s="1"/>
  <c r="CR69" i="37"/>
  <c r="CS69" i="37" s="1"/>
  <c r="CR56" i="37"/>
  <c r="CS56" i="37" s="1"/>
  <c r="CR23" i="37"/>
  <c r="CS23" i="37" s="1"/>
  <c r="CR39" i="37"/>
  <c r="CS39" i="37" s="1"/>
  <c r="CR53" i="37"/>
  <c r="CS53" i="37" s="1"/>
  <c r="CR59" i="37"/>
  <c r="CS59" i="37" s="1"/>
  <c r="CR58" i="37"/>
  <c r="CS58" i="37" s="1"/>
  <c r="CR38" i="37"/>
  <c r="CS38" i="37" s="1"/>
  <c r="CR17" i="37"/>
  <c r="CR21" i="37"/>
  <c r="CR51" i="37"/>
  <c r="CS51" i="37" s="1"/>
  <c r="CR18" i="37"/>
  <c r="CR11" i="37"/>
  <c r="CR33" i="37"/>
  <c r="CR52" i="37"/>
  <c r="CS52" i="37" s="1"/>
  <c r="CR36" i="37"/>
  <c r="CR35" i="37"/>
  <c r="CS35" i="37" s="1"/>
  <c r="CR49" i="37"/>
  <c r="CS49" i="37" s="1"/>
  <c r="CR50" i="37"/>
  <c r="CS50" i="37" s="1"/>
  <c r="CR37" i="37"/>
  <c r="CS37" i="37" s="1"/>
  <c r="CR32" i="37"/>
  <c r="CR15" i="37"/>
  <c r="CR10" i="37"/>
  <c r="CR16" i="37"/>
  <c r="CR13" i="37"/>
  <c r="CR12" i="37"/>
  <c r="CR48" i="37"/>
  <c r="CR30" i="37"/>
  <c r="CR31" i="37"/>
  <c r="CS31" i="37" s="1"/>
  <c r="CR34" i="37"/>
  <c r="CS34" i="37" s="1"/>
  <c r="DA11" i="37"/>
  <c r="CS11" i="37" l="1"/>
  <c r="CS16" i="37"/>
  <c r="CS18" i="37"/>
  <c r="CS13" i="37"/>
  <c r="CS15" i="37"/>
  <c r="CS10" i="37"/>
  <c r="CS17" i="37"/>
  <c r="CS30" i="37"/>
  <c r="CS21" i="37"/>
  <c r="CS48" i="37"/>
  <c r="CS32" i="37"/>
  <c r="CS36" i="37"/>
  <c r="CS12" i="37"/>
  <c r="CS33" i="37"/>
  <c r="DA15" i="37"/>
  <c r="CY18" i="37"/>
  <c r="DA12" i="37" l="1"/>
  <c r="DA14" i="37" l="1"/>
  <c r="AA1" i="33"/>
  <c r="CY24" i="37" l="1"/>
  <c r="CY22" i="3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Roger Kagan</author>
  </authors>
  <commentList>
    <comment ref="B3" authorId="0" shapeId="0" xr:uid="{00000000-0006-0000-0A00-000001000000}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 shapeId="0" xr:uid="{00000000-0006-0000-0A00-000002000000}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 shapeId="0" xr:uid="{00000000-0006-0000-0A00-000003000000}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 shapeId="0" xr:uid="{00000000-0006-0000-0A00-000004000000}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 shapeId="0" xr:uid="{00000000-0006-0000-0A00-000005000000}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 shapeId="0" xr:uid="{00000000-0006-0000-0A00-000006000000}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 shapeId="0" xr:uid="{00000000-0006-0000-0A00-000007000000}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 shapeId="0" xr:uid="{00000000-0006-0000-0A00-000008000000}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 shapeId="0" xr:uid="{00000000-0006-0000-0A00-000009000000}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 shapeId="0" xr:uid="{00000000-0006-0000-0A00-00000A000000}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 shapeId="0" xr:uid="{00000000-0006-0000-0A00-00000B000000}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 shapeId="0" xr:uid="{00000000-0006-0000-0A00-00000C000000}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 shapeId="0" xr:uid="{00000000-0006-0000-0A00-00000D000000}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 shapeId="0" xr:uid="{00000000-0006-0000-0A00-00000E000000}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 shapeId="0" xr:uid="{00000000-0006-0000-0A00-00000F000000}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 shapeId="0" xr:uid="{00000000-0006-0000-0A00-000010000000}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 shapeId="0" xr:uid="{00000000-0006-0000-0A00-000011000000}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 shapeId="0" xr:uid="{00000000-0006-0000-0A00-000012000000}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 shapeId="0" xr:uid="{00000000-0006-0000-0A00-000013000000}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 shapeId="0" xr:uid="{00000000-0006-0000-0A00-000014000000}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 shapeId="0" xr:uid="{00000000-0006-0000-0A00-000015000000}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 shapeId="0" xr:uid="{00000000-0006-0000-0A00-000016000000}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 shapeId="0" xr:uid="{00000000-0006-0000-0A00-000017000000}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 shapeId="0" xr:uid="{00000000-0006-0000-0A00-000018000000}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 shapeId="0" xr:uid="{00000000-0006-0000-0A00-000019000000}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G54" authorId="0" shapeId="0" xr:uid="{00000000-0006-0000-0A00-00001A000000}">
      <text>
        <r>
          <rPr>
            <b/>
            <sz val="10"/>
            <color indexed="81"/>
            <rFont val="Tahoma"/>
            <family val="2"/>
          </rPr>
          <t>Total net weight of consignment including Dangerous Goods, Non Dangerous Goods and packaging rounded up to whole number</t>
        </r>
      </text>
    </comment>
    <comment ref="H54" authorId="0" shapeId="0" xr:uid="{00000000-0006-0000-0A00-00001B000000}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 shapeId="0" xr:uid="{00000000-0006-0000-0A00-00001C000000}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 shapeId="0" xr:uid="{00000000-0006-0000-0A00-00001D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 shapeId="0" xr:uid="{00000000-0006-0000-0A00-00001E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 shapeId="0" xr:uid="{00000000-0006-0000-0A00-00001F000000}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 shapeId="0" xr:uid="{00000000-0006-0000-0A00-000020000000}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 shapeId="0" xr:uid="{00000000-0006-0000-0A00-000021000000}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 shapeId="0" xr:uid="{00000000-0006-0000-0A00-000022000000}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 shapeId="0" xr:uid="{00000000-0006-0000-0A00-000023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 shapeId="0" xr:uid="{00000000-0006-0000-0A00-000024000000}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 shapeId="0" xr:uid="{00000000-0006-0000-0A00-000025000000}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 shapeId="0" xr:uid="{00000000-0006-0000-0A00-000026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 shapeId="0" xr:uid="{00000000-0006-0000-0A00-000027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 shapeId="0" xr:uid="{00000000-0006-0000-0A00-000028000000}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 shapeId="0" xr:uid="{00000000-0006-0000-0A00-000029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 shapeId="0" xr:uid="{00000000-0006-0000-0A00-00002A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 shapeId="0" xr:uid="{00000000-0006-0000-0A00-00002B000000}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 shapeId="0" xr:uid="{00000000-0006-0000-0A00-00002C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 shapeId="0" xr:uid="{00000000-0006-0000-0A00-00002D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 shapeId="0" xr:uid="{00000000-0006-0000-0A00-00002E000000}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Stephane</author>
    <author>Stephane Ducci</author>
  </authors>
  <commentList>
    <comment ref="EH8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THESE ARE TRANSACTIONS THAT HAVE ALREADY TAKEN PLACE</t>
        </r>
      </text>
    </comment>
    <comment ref="EJ8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THESE ARE TRANSACTIONS NOT TAKEN PLACE YET, BUT GOODS HAVE BEEN ALREADY PREPARED AND RESERVED FOR THE CUSTOMER.</t>
        </r>
      </text>
    </comment>
    <comment ref="O9" authorId="0" shapeId="0" xr:uid="{00000000-0006-0000-0B00-000003000000}">
      <text>
        <r>
          <rPr>
            <b/>
            <sz val="9"/>
            <color indexed="81"/>
            <rFont val="Tahoma"/>
            <family val="2"/>
          </rPr>
          <t xml:space="preserve">
Per le </t>
        </r>
        <r>
          <rPr>
            <b/>
            <sz val="9"/>
            <color indexed="10"/>
            <rFont val="Tahoma"/>
            <family val="2"/>
          </rPr>
          <t>SALES</t>
        </r>
        <r>
          <rPr>
            <b/>
            <sz val="9"/>
            <color indexed="81"/>
            <rFont val="Tahoma"/>
            <family val="2"/>
          </rPr>
          <t xml:space="preserve"> indica la data di creazione.
Per le </t>
        </r>
        <r>
          <rPr>
            <b/>
            <sz val="9"/>
            <color indexed="10"/>
            <rFont val="Tahoma"/>
            <family val="2"/>
          </rPr>
          <t>SUPPLIES</t>
        </r>
        <r>
          <rPr>
            <b/>
            <sz val="9"/>
            <color indexed="81"/>
            <rFont val="Tahoma"/>
            <family val="2"/>
          </rPr>
          <t xml:space="preserve"> indica il giorno di consegna della merce.</t>
        </r>
      </text>
    </comment>
    <comment ref="Q9" authorId="1" shapeId="0" xr:uid="{00000000-0006-0000-0B00-000004000000}">
      <text>
        <r>
          <rPr>
            <b/>
            <sz val="9"/>
            <color indexed="81"/>
            <rFont val="Tahoma"/>
            <family val="2"/>
          </rPr>
          <t>PER LA MERCE SPEDITA SENZA FATTURA L'INVOICE_DATE INDICA LA DATA DI SPEDIZIONE.</t>
        </r>
      </text>
    </comment>
    <comment ref="S9" authorId="1" shapeId="0" xr:uid="{00000000-0006-0000-0B00-000005000000}">
      <text>
        <r>
          <rPr>
            <b/>
            <sz val="9"/>
            <color indexed="17"/>
            <rFont val="Tahoma"/>
            <family val="2"/>
          </rPr>
          <t>VERO</t>
        </r>
        <r>
          <rPr>
            <b/>
            <sz val="9"/>
            <color indexed="81"/>
            <rFont val="Tahoma"/>
            <family val="2"/>
          </rPr>
          <t xml:space="preserve"> = La  merce per questa spedizione è già stata preparata e quindi seppur risulta in stock in realtà è indisponibile.
</t>
        </r>
        <r>
          <rPr>
            <b/>
            <sz val="9"/>
            <color indexed="10"/>
            <rFont val="Tahoma"/>
            <family val="2"/>
          </rPr>
          <t>FALSO</t>
        </r>
        <r>
          <rPr>
            <b/>
            <sz val="9"/>
            <color indexed="81"/>
            <rFont val="Tahoma"/>
            <family val="2"/>
          </rPr>
          <t xml:space="preserve"> = La merce per questa spedizione non è ancora stata preparata. Andrà verificato se c'è merce sufficiente disponibile in magazzino.
</t>
        </r>
        <r>
          <rPr>
            <b/>
            <sz val="9"/>
            <color indexed="57"/>
            <rFont val="Tahoma"/>
            <family val="2"/>
          </rPr>
          <t>GOODS SENT</t>
        </r>
        <r>
          <rPr>
            <b/>
            <sz val="9"/>
            <color indexed="81"/>
            <rFont val="Tahoma"/>
            <family val="2"/>
          </rPr>
          <t xml:space="preserve"> = La merce è stata spedita quindi risulta non più pèresente in magazzino.</t>
        </r>
      </text>
    </comment>
    <comment ref="CU9" authorId="1" shapeId="0" xr:uid="{00000000-0006-0000-0B00-000006000000}">
      <text>
        <r>
          <rPr>
            <b/>
            <sz val="9"/>
            <color indexed="81"/>
            <rFont val="Tahoma"/>
            <family val="2"/>
          </rPr>
          <t>STOCK LEFT AFTER THE ORDER.</t>
        </r>
      </text>
    </comment>
    <comment ref="CX22" authorId="0" shapeId="0" xr:uid="{00000000-0006-0000-0B00-000007000000}">
      <text>
        <r>
          <rPr>
            <b/>
            <sz val="9"/>
            <color indexed="81"/>
            <rFont val="Tahoma"/>
            <family val="2"/>
          </rPr>
          <t>Stephane:</t>
        </r>
        <r>
          <rPr>
            <sz val="9"/>
            <color indexed="81"/>
            <rFont val="Tahoma"/>
            <family val="2"/>
          </rPr>
          <t xml:space="preserve">
Il calcolo automatico dei cartoni funziona se si rispetta la regola seguente:
- Non si mischiano referenze né per prodotti normali né per i testers
Quindi se si avrà una spedizione con 3 testers di una referenza e 4 testers di un'altra li si metteranno in due cartoni differenti.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<sst xmlns="http://schemas.openxmlformats.org/spreadsheetml/2006/main" count="16891" uniqueCount="1732">
  <si>
    <t>sku</t>
  </si>
  <si>
    <t>category</t>
  </si>
  <si>
    <t>sex</t>
  </si>
  <si>
    <t>ean</t>
  </si>
  <si>
    <t>hs_code</t>
  </si>
  <si>
    <t>description</t>
  </si>
  <si>
    <t>unit</t>
  </si>
  <si>
    <t>units_per_carton</t>
  </si>
  <si>
    <t>box_per_pallet</t>
  </si>
  <si>
    <t>box_per_layer</t>
  </si>
  <si>
    <t>layers_per_pallet</t>
  </si>
  <si>
    <t>width</t>
  </si>
  <si>
    <t>height</t>
  </si>
  <si>
    <t>net_weight</t>
  </si>
  <si>
    <t>gross_weight</t>
  </si>
  <si>
    <t>country_of_origin</t>
  </si>
  <si>
    <t>cbm</t>
  </si>
  <si>
    <t>GS5008</t>
  </si>
  <si>
    <t>GIFTSET</t>
  </si>
  <si>
    <t>MAN</t>
  </si>
  <si>
    <t>BHPC GIFT SET SPORT MEN 1 EDT 50ML + DEO 175ML</t>
  </si>
  <si>
    <t>GIFT</t>
  </si>
  <si>
    <t>SPAIN</t>
  </si>
  <si>
    <t>GS5009</t>
  </si>
  <si>
    <t>BHPC GIFT SET SPORT MEN 9 EDT 50ML + DEO 175ML</t>
  </si>
  <si>
    <t>GS5010</t>
  </si>
  <si>
    <t>BHPC GIFT SET SPORT MEN 8 EDT 50ML + DEO 175ML</t>
  </si>
  <si>
    <t>GS5011</t>
  </si>
  <si>
    <t>BHPC GIFT SET SPORT MEN 2 EDT 50ML + DEO 175ML</t>
  </si>
  <si>
    <t>GS5028</t>
  </si>
  <si>
    <t>WOMAN</t>
  </si>
  <si>
    <t>BHPC GIFT SET WOMEN 1 EDP 50ML + DEO 150ML</t>
  </si>
  <si>
    <t>GS5029</t>
  </si>
  <si>
    <t>BHPC GIFT SET WOMEN 9 EDP 50ML + DEO 150ML</t>
  </si>
  <si>
    <t>GS5030</t>
  </si>
  <si>
    <t>BHPC GIFT SET WOMEN 8 EDP 50ML + DEO 150ML</t>
  </si>
  <si>
    <t>GS5031</t>
  </si>
  <si>
    <t>BHPC GIFT SET WOMEN 2 EDP 50ML + DEO 150ML</t>
  </si>
  <si>
    <t>GS7020</t>
  </si>
  <si>
    <t>BHPC GIFT SET MEN #1 EDT50ML+DEO175ML+ROLLON50ML</t>
  </si>
  <si>
    <t>GS7021</t>
  </si>
  <si>
    <t>BHPC GIFT SET MEN #9 EDT50ML+DEO175ML+ROLLON50ML</t>
  </si>
  <si>
    <t>GS7022</t>
  </si>
  <si>
    <t>BHPC GIFT SET MEN #8 EDT50ML+DEO175ML+ROLLON50ML</t>
  </si>
  <si>
    <t>GS7023</t>
  </si>
  <si>
    <t>BHPC GIFT SET MEN #2 EDT50ML+DEO175ML+ROLLON50ML</t>
  </si>
  <si>
    <t>GS7024</t>
  </si>
  <si>
    <t>BHPC GIFT SET WOMEN #1 EDP50ML+DEO150ML+ROLLON50ML</t>
  </si>
  <si>
    <t>GS7025</t>
  </si>
  <si>
    <t>BHPC GIFT SET WOMEN #9 EDP50ML+DEO150ML+ROLLON50ML</t>
  </si>
  <si>
    <t>GS7026</t>
  </si>
  <si>
    <t>BHPC GIFT SET WOMEN #8 EDP50ML+DEO150ML+ROLLON50ML</t>
  </si>
  <si>
    <t>GS7027</t>
  </si>
  <si>
    <t>BHPC GIFT SET WOMEN #2 EDP50ML+DEO150ML+ROLLON50ML</t>
  </si>
  <si>
    <t>P05008</t>
  </si>
  <si>
    <t>33030010</t>
  </si>
  <si>
    <t>BHPC SPORT MEN 1 EDT 50ML</t>
  </si>
  <si>
    <t>BOTTLE</t>
  </si>
  <si>
    <t>P05009</t>
  </si>
  <si>
    <t>BHPC SPORT MEN 9 EDT 50ML</t>
  </si>
  <si>
    <t>P05010</t>
  </si>
  <si>
    <t>BHPC SPORT MEN 8 EDT 50ML</t>
  </si>
  <si>
    <t>P05011</t>
  </si>
  <si>
    <t>BHPC SPORT MEN 2 EDT 50ML</t>
  </si>
  <si>
    <t>P05028</t>
  </si>
  <si>
    <t>BHPC WOMEN 1 EDP 50ML</t>
  </si>
  <si>
    <t>P05029</t>
  </si>
  <si>
    <t>BHPC WOMEN 9 EDP 50ML</t>
  </si>
  <si>
    <t>P05030</t>
  </si>
  <si>
    <t>BHPC WOMEN 8 EDP 50ML</t>
  </si>
  <si>
    <t>P05031</t>
  </si>
  <si>
    <t>BHPC WOMEN 2 EDP 50ML</t>
  </si>
  <si>
    <t>GS5004</t>
  </si>
  <si>
    <t>BHPC GIFT SET SPORT MEN 1 EDT 100ML + DEO 175ML</t>
  </si>
  <si>
    <t>GS5005</t>
  </si>
  <si>
    <t>BHPC GIFT SET SPORT MEN 9 EDT 100ML + DEO 175ML</t>
  </si>
  <si>
    <t>GS5006</t>
  </si>
  <si>
    <t>BHPC GIFT SET SPORT MEN 8 EDT 100ML + DEO 175ML</t>
  </si>
  <si>
    <t>GS5007</t>
  </si>
  <si>
    <t>BHPC GIFT SET SPORT MEN 2 EDT 100ML + DEO 175ML</t>
  </si>
  <si>
    <t>GS5050</t>
  </si>
  <si>
    <t>BHPC GIFT SET WOMEN 1 EDP 100ML + DEO 150ML</t>
  </si>
  <si>
    <t>GS5051</t>
  </si>
  <si>
    <t>BHPC GIFT SET WOMEN 9 EDP 100ML + DEO 150ML</t>
  </si>
  <si>
    <t>GS5052</t>
  </si>
  <si>
    <t>BHPC GIFT SET WOMEN 8 EDP 100ML + DEO 150ML</t>
  </si>
  <si>
    <t>GS5053</t>
  </si>
  <si>
    <t>BHPC GIFT SET WOMEN 2 EDP 100ML + DEO 150ML</t>
  </si>
  <si>
    <t>GSTRO3</t>
  </si>
  <si>
    <t xml:space="preserve">BHPC GIFTSET PRESTIGE TROPHY EDP100ML + DEO 300ML </t>
  </si>
  <si>
    <t xml:space="preserve">BHPC GIFTSET PRESTIGE ELEGANCE EDP100ML + DEO 250ML </t>
  </si>
  <si>
    <t>P05004</t>
  </si>
  <si>
    <t>BHPC SPORT MEN 1 EDT 100ML</t>
  </si>
  <si>
    <t>P05005</t>
  </si>
  <si>
    <t>BHPC SPORT MEN 9 EDT 100ML</t>
  </si>
  <si>
    <t>P05006</t>
  </si>
  <si>
    <t>BHPC SPORT MEN 8 EDT 100ML</t>
  </si>
  <si>
    <t>P05007</t>
  </si>
  <si>
    <t>BHPC SPORT MEN 2 EDT 100ML</t>
  </si>
  <si>
    <t>P05050</t>
  </si>
  <si>
    <t>BHPC WOMEN 1 EDP 100ML</t>
  </si>
  <si>
    <t>P05051</t>
  </si>
  <si>
    <t>BHPC WOMEN 9 EDP 100ML</t>
  </si>
  <si>
    <t>P05052</t>
  </si>
  <si>
    <t>BHPC WOMEN 8 EDP 100ML</t>
  </si>
  <si>
    <t>P05053</t>
  </si>
  <si>
    <t>BHPC WOMEN 2 EDP 100ML</t>
  </si>
  <si>
    <t>P06000</t>
  </si>
  <si>
    <t>PRESTIGE</t>
  </si>
  <si>
    <t>BHPC PRESTIGE TROPHY 100ML EDP MEN</t>
  </si>
  <si>
    <t>P06001</t>
  </si>
  <si>
    <t>BHPC PRESTIGE HERITAGE OUD 100ML EDP MEN</t>
  </si>
  <si>
    <t>P06002</t>
  </si>
  <si>
    <t>BHPC PRESTIGE TOUR 100ML EDP MEN</t>
  </si>
  <si>
    <t>P06003</t>
  </si>
  <si>
    <t>BHPC PRESTIGE TITAN 100ML EDP MEN</t>
  </si>
  <si>
    <t>P06004</t>
  </si>
  <si>
    <t>BHPC PRESTIGE ELEGANCE 100ML EDP WOMEN</t>
  </si>
  <si>
    <t>P06005</t>
  </si>
  <si>
    <t>BHPC PRESTIGE CHALLENGE 100ML EDP WOMEN</t>
  </si>
  <si>
    <t>P06006</t>
  </si>
  <si>
    <t>BHPC PRESTIGE MYSTIQUE 100ML EDP WOMEN</t>
  </si>
  <si>
    <t>P06007</t>
  </si>
  <si>
    <t>BHPC PRESTIGE PASSION 100ML EDP WOMEN</t>
  </si>
  <si>
    <t>PT6000</t>
  </si>
  <si>
    <t>TESTER</t>
  </si>
  <si>
    <t>BHPC TESTERS TROPHY 100ML EDP MEN</t>
  </si>
  <si>
    <t>PT6001</t>
  </si>
  <si>
    <t>BHPC TESTERS HERITAGE OUD 100ML EDP MEN</t>
  </si>
  <si>
    <t>PT6002</t>
  </si>
  <si>
    <t>BHPC TESTERS TOUR 100ML EDP MEN</t>
  </si>
  <si>
    <t>PT6003</t>
  </si>
  <si>
    <t>BHPC TESTERS TITAN 100ML EDP MEN</t>
  </si>
  <si>
    <t>PT6004</t>
  </si>
  <si>
    <t>BHPC TESTERS ELEGANCE 100ML EDP WOMEN</t>
  </si>
  <si>
    <t>PT6005</t>
  </si>
  <si>
    <t>BHPC TESTERS CHALLENGE 100ML EDP WOMEN</t>
  </si>
  <si>
    <t>PT6006</t>
  </si>
  <si>
    <t>BHPC TESTERS MYSTIQUE 100ML EDP WOMEN</t>
  </si>
  <si>
    <t>PT6007</t>
  </si>
  <si>
    <t>BHPC TESTERS PASSION 100ML EDP WOMEN</t>
  </si>
  <si>
    <t>P06020</t>
  </si>
  <si>
    <t>BHPC PRESTIGE KNIGHT 100ML EDP MEN</t>
  </si>
  <si>
    <t>P06021</t>
  </si>
  <si>
    <t>BHPC PRESTIGE ROYALE 100ML EDP MEN</t>
  </si>
  <si>
    <t>PT6020</t>
  </si>
  <si>
    <t>BHPC TESTERS KNIGHT 100ML EDP MEN</t>
  </si>
  <si>
    <t>PT6021</t>
  </si>
  <si>
    <t>BHPC TESTERS ROYALE 100ML EDP MEN</t>
  </si>
  <si>
    <t>P05024</t>
  </si>
  <si>
    <t>DEODORANT</t>
  </si>
  <si>
    <t>33072000</t>
  </si>
  <si>
    <t>BHPC WOMEN 1 DEO 150ML</t>
  </si>
  <si>
    <t>CAN</t>
  </si>
  <si>
    <t>P05025</t>
  </si>
  <si>
    <t>BHPC WOMEN 9 DEO 150ML</t>
  </si>
  <si>
    <t>P05026</t>
  </si>
  <si>
    <t>BHPC WOMEN 8 DEO 150ML</t>
  </si>
  <si>
    <t>P05027</t>
  </si>
  <si>
    <t>BHPC WOMEN 2 DEO 150ML</t>
  </si>
  <si>
    <t>P05000</t>
  </si>
  <si>
    <t>BHPC SPORT MEN 1 DEO 175ML</t>
  </si>
  <si>
    <t>P05001</t>
  </si>
  <si>
    <t>BHPC SPORT MEN 9 DEO 175ML</t>
  </si>
  <si>
    <t>P05002</t>
  </si>
  <si>
    <t>BHPC SPORT MEN 8 DEO 175ML</t>
  </si>
  <si>
    <t>P05003</t>
  </si>
  <si>
    <t>BHPC SPORT MEN 2 DEO 175ML</t>
  </si>
  <si>
    <t>PBM001</t>
  </si>
  <si>
    <t>BODYMIST</t>
  </si>
  <si>
    <t>33030090</t>
  </si>
  <si>
    <t>BHPC WOMEN BODY MIST #1 EVOKING GARDENIA 200ML</t>
  </si>
  <si>
    <t>INDIA</t>
  </si>
  <si>
    <t>PBM002</t>
  </si>
  <si>
    <t>BHPC WOMEN BODY MIST #2 CLASSIC FOUGERE 200ML</t>
  </si>
  <si>
    <t>PBM008</t>
  </si>
  <si>
    <t>BHPC WOMEN BODY MIST #8 EXOTIC FRAGRANCE 200ML</t>
  </si>
  <si>
    <t>PBM009</t>
  </si>
  <si>
    <t>BHPC WOMEN BODY MIST #9 SPARKING FLORAL 200ML</t>
  </si>
  <si>
    <t>P07000</t>
  </si>
  <si>
    <t>ROLL-ON</t>
  </si>
  <si>
    <t>BHPC MEN ROLL-ON 1 50ML</t>
  </si>
  <si>
    <t>P07001</t>
  </si>
  <si>
    <t>BHPC MEN ROLL-ON 9 50ML</t>
  </si>
  <si>
    <t>P07002</t>
  </si>
  <si>
    <t>BHPC MEN ROLL-ON 8 50ML</t>
  </si>
  <si>
    <t>P07003</t>
  </si>
  <si>
    <t>BHPC MEN ROLL-ON 2 50ML</t>
  </si>
  <si>
    <t>GSTM12</t>
  </si>
  <si>
    <t>BHPC TWINPACK SPORTS MEN DEO #1 #2 175ML</t>
  </si>
  <si>
    <t>GSTM18</t>
  </si>
  <si>
    <t>BHPC TWINPACK SPORTS MEN DEO #1 #8 175ML</t>
  </si>
  <si>
    <t>GSTM19</t>
  </si>
  <si>
    <t>BHPC TWINPACK SPORTS MEN DEO #1 #9 175ML</t>
  </si>
  <si>
    <t>GSTM28</t>
  </si>
  <si>
    <t>BHPC TWINPACK SPORTS MEN DEO #2 #8 175ML</t>
  </si>
  <si>
    <t>GSTM29</t>
  </si>
  <si>
    <t>BHPC TWINPACK SPORTS MEN DEO #2 #9 175ML</t>
  </si>
  <si>
    <t>GSTM89</t>
  </si>
  <si>
    <t>BHPC TWINPACK SPORTS MEN DEO #8 #9 175ML</t>
  </si>
  <si>
    <t>GSTW18</t>
  </si>
  <si>
    <t>BHPC TWINPACK DEO WOMEN #1 #8 150ML</t>
  </si>
  <si>
    <t>GSTW19</t>
  </si>
  <si>
    <t>BHPC TWINPACK DEO WOMEN #1 #9 150ML</t>
  </si>
  <si>
    <t>GSTW89</t>
  </si>
  <si>
    <t>BHPC TWINPACK DEO WOMEN #8 #9 150ML</t>
  </si>
  <si>
    <t>cod_cliente</t>
  </si>
  <si>
    <t>country</t>
  </si>
  <si>
    <t>payment_account</t>
  </si>
  <si>
    <t>company_name1</t>
  </si>
  <si>
    <t>company_name2</t>
  </si>
  <si>
    <t>logistic_address1</t>
  </si>
  <si>
    <t>logistic_address2</t>
  </si>
  <si>
    <t>logistic_address3</t>
  </si>
  <si>
    <t>logistic_address4</t>
  </si>
  <si>
    <t>hq_address1</t>
  </si>
  <si>
    <t>hq_address2</t>
  </si>
  <si>
    <t>hq_address3</t>
  </si>
  <si>
    <t>vat_no</t>
  </si>
  <si>
    <t>payment_method</t>
  </si>
  <si>
    <t>incoterms</t>
  </si>
  <si>
    <t>currency</t>
  </si>
  <si>
    <t>vat_code</t>
  </si>
  <si>
    <t>legal_references</t>
  </si>
  <si>
    <t>notes</t>
  </si>
  <si>
    <t>4BEAUTY4YOU</t>
  </si>
  <si>
    <t>POLAND</t>
  </si>
  <si>
    <t>4BEAUTY 4YOU SP. Z O. O. SP. K.</t>
  </si>
  <si>
    <t>UL. WIOSNY LUDÓW 21</t>
  </si>
  <si>
    <t>44-321 MARKLOWICE</t>
  </si>
  <si>
    <t>POLSKA / POLAND</t>
  </si>
  <si>
    <t>UL. KOLEJOWA 2/1</t>
  </si>
  <si>
    <t>44-230 CZERWIONKA - LESZCZYNY</t>
  </si>
  <si>
    <t>024 - IN ADVANCE</t>
  </si>
  <si>
    <t>FOT VENTIMIGLIA - ITALY</t>
  </si>
  <si>
    <t>EUR</t>
  </si>
  <si>
    <t>061</t>
  </si>
  <si>
    <t>CESS. CEE AR. 41 L 427</t>
  </si>
  <si>
    <t>A&amp;A DISTRIBUTION</t>
  </si>
  <si>
    <t>ROMANIA</t>
  </si>
  <si>
    <t>AUTOSTRADA A1 BUCURESTI PITESTI KM13</t>
  </si>
  <si>
    <t>CLADIREA BUCH 6, UNIT F, RAMPA 1, 2, 3</t>
  </si>
  <si>
    <t>CTPARK BUCHAREST 6, SAT DRAGOMIRESTI</t>
  </si>
  <si>
    <t>A&amp;G KLEIMA</t>
  </si>
  <si>
    <t>CYPRUS</t>
  </si>
  <si>
    <t>A &amp; G KLEIMA IMPORT EXPORT LIMITED</t>
  </si>
  <si>
    <t>2 AYIOU ATHANASIOU</t>
  </si>
  <si>
    <t>7102 ARADIPPOU LARNACA</t>
  </si>
  <si>
    <t xml:space="preserve">CYPRUS </t>
  </si>
  <si>
    <t>ABU SHAKRA</t>
  </si>
  <si>
    <t>JORDAN</t>
  </si>
  <si>
    <t>ABU SHAKRA TRADING COMPANY</t>
  </si>
  <si>
    <t>BAYDER WADI AL SEER</t>
  </si>
  <si>
    <t>USD</t>
  </si>
  <si>
    <t>053</t>
  </si>
  <si>
    <t>NON IMPONIBILE ART.8</t>
  </si>
  <si>
    <t>ACADEMY GROUP</t>
  </si>
  <si>
    <t>GEORGIA</t>
  </si>
  <si>
    <t>"BANCO BPM" - IBAN: IT 98 R 05034 10500 000000000813 - (BIC)  SWIFT: BAPPIT22</t>
  </si>
  <si>
    <t xml:space="preserve">ACADEMY GROUP LLC </t>
  </si>
  <si>
    <t>87 E, AKAKI TSERETELI AVE</t>
  </si>
  <si>
    <t>0119 TBILISI, GEORGIA</t>
  </si>
  <si>
    <t>TBILISI 0179, GEORGIA</t>
  </si>
  <si>
    <t>APPAREL FZCO</t>
  </si>
  <si>
    <t>UAE</t>
  </si>
  <si>
    <t>JAFZA - DUBAI</t>
  </si>
  <si>
    <t>UNITED ARAB EMIRATES</t>
  </si>
  <si>
    <t>BACHER &amp; CO</t>
  </si>
  <si>
    <t>SOUTH AFRICA</t>
  </si>
  <si>
    <t>S BACHER AND COMPANY (PTY) LTD</t>
  </si>
  <si>
    <t>PO BOX 29296</t>
  </si>
  <si>
    <t>SANDRINGHAM, GAUTENG, 2131,</t>
  </si>
  <si>
    <t>2131 SANDRINGHAM, SOUTH AFRICA</t>
  </si>
  <si>
    <t>BEAUTIFUL DISTRIBUIDORA</t>
  </si>
  <si>
    <t>BRAZIL</t>
  </si>
  <si>
    <t>BEAUTIFUL DISTRIBUIDORA E VARIACOES LTDA</t>
  </si>
  <si>
    <t>ROD GOVERNADOR MÁRIO COVAS, 1941</t>
  </si>
  <si>
    <t>BEAUTY &amp; LUXURY</t>
  </si>
  <si>
    <t>ITALY</t>
  </si>
  <si>
    <t>BEAUTY AND LUXURY SPA</t>
  </si>
  <si>
    <t>VIA VIENNA, 6</t>
  </si>
  <si>
    <t>43010 FONTEVIVO (PR)</t>
  </si>
  <si>
    <t>VIA ALESSANDRO MANZONI 38</t>
  </si>
  <si>
    <t>20121 MILANO, ITALIA</t>
  </si>
  <si>
    <t>50% AGAINST PROFORMA INVOICE - 50% BEFORE SHIPMENT</t>
  </si>
  <si>
    <t>022</t>
  </si>
  <si>
    <t>ALIQUOTA 22%</t>
  </si>
  <si>
    <t>BHPC BELGIUM</t>
  </si>
  <si>
    <t>BELGIUM</t>
  </si>
  <si>
    <t>BHPC LIFESTYLE FZE</t>
  </si>
  <si>
    <t xml:space="preserve">UL. WIOSNY LUDOW 21 </t>
  </si>
  <si>
    <t>PL, 44-321 MARKLOWICE</t>
  </si>
  <si>
    <t>B-2060 ANTWERP - BELGIUM</t>
  </si>
  <si>
    <t>BHPC DUBAI</t>
  </si>
  <si>
    <t>BEVERLY HILLS POLO CLUB FZCO</t>
  </si>
  <si>
    <t xml:space="preserve">LIU BUILDING 4, OFFICE A7, </t>
  </si>
  <si>
    <t>P.O.BOX. 938558, DUBAI SILICON OASIS</t>
  </si>
  <si>
    <t>DUBAI, UNITED ARAB EMIRATES</t>
  </si>
  <si>
    <t>BHPC ISTANBUL</t>
  </si>
  <si>
    <t>TURKEY</t>
  </si>
  <si>
    <t xml:space="preserve">BHPC ISTANBUL </t>
  </si>
  <si>
    <t>GİYİM SANAYİ ANONİM ŞİRKETİ</t>
  </si>
  <si>
    <t>C&amp;F INSTANBUL - TURKEY</t>
  </si>
  <si>
    <t>GERMANY</t>
  </si>
  <si>
    <t>BRASMARK CORP.</t>
  </si>
  <si>
    <t>BRITISH GUYANA</t>
  </si>
  <si>
    <t>CIELOMED</t>
  </si>
  <si>
    <t>MALTA</t>
  </si>
  <si>
    <t>CIELOMED ENTERPRISES LTD</t>
  </si>
  <si>
    <t>33, PAUL &amp; WATERS</t>
  </si>
  <si>
    <t>TRIQ IL-KARMELITANI</t>
  </si>
  <si>
    <t>FGURA, MALTA</t>
  </si>
  <si>
    <t>DIACOSMO</t>
  </si>
  <si>
    <t>DIACOSMO BELGIUM NV</t>
  </si>
  <si>
    <t>DRUNI</t>
  </si>
  <si>
    <t>"INTESA SANPAOLO SPA" - IBAN: IT15 I030 6949 1101 0000 0009 776 - (BIC)  SWIFT: BCITITMM</t>
  </si>
  <si>
    <t>DRUNI, S.A.</t>
  </si>
  <si>
    <t>CALLE LEVANTE, 24</t>
  </si>
  <si>
    <t>P.I. "CIUTAT DE CARLET"</t>
  </si>
  <si>
    <t>46240 VALENCIA, SPAIN</t>
  </si>
  <si>
    <t>DUNSTAN</t>
  </si>
  <si>
    <t>DENMARK</t>
  </si>
  <si>
    <t>DUNSTAN APS</t>
  </si>
  <si>
    <t>ESSENCE CORP.</t>
  </si>
  <si>
    <t>CARIBBEAN</t>
  </si>
  <si>
    <t>FACES GROUP</t>
  </si>
  <si>
    <t>GLOBAL BEAUTY</t>
  </si>
  <si>
    <t>EXW VENTIMIGLIA - ITALY</t>
  </si>
  <si>
    <t>HEALTH &amp; BEAUTY INT.</t>
  </si>
  <si>
    <t>ILM</t>
  </si>
  <si>
    <t>CHILE</t>
  </si>
  <si>
    <t>INTERNATIONAL CELEBRITY BRANDS</t>
  </si>
  <si>
    <t>GREECE</t>
  </si>
  <si>
    <t>LINDO CHAIN</t>
  </si>
  <si>
    <t>ISRAEL</t>
  </si>
  <si>
    <t>CIP HAMBURG, GERMANY</t>
  </si>
  <si>
    <t>MÖRTH &amp; MÖRTH</t>
  </si>
  <si>
    <t>AUSTRIA</t>
  </si>
  <si>
    <t>NORDIC</t>
  </si>
  <si>
    <t>ORCOS</t>
  </si>
  <si>
    <t>MONTENEGRO</t>
  </si>
  <si>
    <t>PARFUMOOV</t>
  </si>
  <si>
    <t>FRANCE</t>
  </si>
  <si>
    <t>PER SCENT</t>
  </si>
  <si>
    <t>PRESTIGE BRANDS</t>
  </si>
  <si>
    <t>RENALKO KAUBANDUS</t>
  </si>
  <si>
    <t>ESTONIA</t>
  </si>
  <si>
    <t>HUNGARY</t>
  </si>
  <si>
    <t>SIGMA</t>
  </si>
  <si>
    <t>size</t>
  </si>
  <si>
    <t>order_no</t>
  </si>
  <si>
    <t>qty</t>
  </si>
  <si>
    <t>disc_qty</t>
  </si>
  <si>
    <t>disc_price</t>
  </si>
  <si>
    <t>foc_qty</t>
  </si>
  <si>
    <t>cost_price</t>
  </si>
  <si>
    <t>order_date</t>
  </si>
  <si>
    <t>customer</t>
  </si>
  <si>
    <t>exchange_rate</t>
  </si>
  <si>
    <t>carton_no</t>
  </si>
  <si>
    <t>pallet_type</t>
  </si>
  <si>
    <t>pallet_no</t>
  </si>
  <si>
    <t>carrier_name</t>
  </si>
  <si>
    <t>carrier_cost</t>
  </si>
  <si>
    <t>status</t>
  </si>
  <si>
    <t>invoice_no</t>
  </si>
  <si>
    <t>invoice_date</t>
  </si>
  <si>
    <t>payment_type</t>
  </si>
  <si>
    <t>payment_date</t>
  </si>
  <si>
    <t>payed</t>
  </si>
  <si>
    <t>cost_of_goods</t>
  </si>
  <si>
    <t>profit</t>
  </si>
  <si>
    <t>order_notes</t>
  </si>
  <si>
    <t>shipping_method</t>
  </si>
  <si>
    <t>accountable</t>
  </si>
  <si>
    <t>Documents Ready</t>
  </si>
  <si>
    <t>Pallets Ready</t>
  </si>
  <si>
    <t>Order Confirmed</t>
  </si>
  <si>
    <t>Closed</t>
  </si>
  <si>
    <t>DESCRIZIONE</t>
  </si>
  <si>
    <t>U.M.</t>
  </si>
  <si>
    <t>ESISTENZA</t>
  </si>
  <si>
    <t>COSTO UNITARIO</t>
  </si>
  <si>
    <t>PZ</t>
  </si>
  <si>
    <t>GS5068</t>
  </si>
  <si>
    <t>BHPC GIFT SET SPORT MEN 1 EDT 50ML + ROLL-ON 50ML</t>
  </si>
  <si>
    <t>GS5072</t>
  </si>
  <si>
    <t>BHPC GIFT SET WOMEN 1 EDP 50ML + ROLL-ON 50ML</t>
  </si>
  <si>
    <t>BHPC 3PCS GIFT SET MEN #1 EDT50ML+DEO175ML+ROLLON50ML</t>
  </si>
  <si>
    <t>BHPC 3PCS GIFT SET MEN #9 EDT50ML+DEO175ML+ROLLON50ML</t>
  </si>
  <si>
    <t>BHPC 3PCS GIFT SET MEN #8 EDT50ML+DEO175ML+ROLLON50ML</t>
  </si>
  <si>
    <t>BHPC 3PCS GIFT SET MEN #2 EDT50ML+DEO175ML+ROLLON50ML</t>
  </si>
  <si>
    <t>BHPC 3PCS GIFT SET WOMEN #9 EDP50ML+DEO150ML+ROLLON50ML</t>
  </si>
  <si>
    <t>BHPC 3PCS GIFT SET WOMEN #8 EDP50ML+DEO150ML+ROLLON50ML</t>
  </si>
  <si>
    <t>BHPC 3PCS GIFT SET WOMEN #2 EDP50ML+DEO150ML+ROLLON50ML</t>
  </si>
  <si>
    <t>GSSP4M</t>
  </si>
  <si>
    <t>BHPC GIFT SET SERIES 4 DEO MEN</t>
  </si>
  <si>
    <t>GSSP4W</t>
  </si>
  <si>
    <t>BHPC GIFTSET SERIES 4DEO WOMEN</t>
  </si>
  <si>
    <t>BHPC TWINPACK DEO MEN 1-2</t>
  </si>
  <si>
    <t>BHPC TWINPACK DEO MEN 1-8</t>
  </si>
  <si>
    <t>BHPC TWINPACK DEO MEN 1-9</t>
  </si>
  <si>
    <t>BHPC TWINPACK DEO MEN 2-8</t>
  </si>
  <si>
    <t>BHPC TWINPACK DEO MEN 2-9</t>
  </si>
  <si>
    <t>BHPC TWINPACK DEO MEN 8-9</t>
  </si>
  <si>
    <t>BHPC GIFT SET PRESTIGE TROPHY EDP 100ML + DEO 300ML</t>
  </si>
  <si>
    <t>GSTW12</t>
  </si>
  <si>
    <t>BHPC TWINPACK DEO WOMEN 1-2</t>
  </si>
  <si>
    <t>BHPC TWINPACK DEO WOMEN 1-8</t>
  </si>
  <si>
    <t>BHPC TWINPACK DEO WOMEN 1-9</t>
  </si>
  <si>
    <t>GSTW28</t>
  </si>
  <si>
    <t>BHPC TWINPACK DEO WOMEN 2-8</t>
  </si>
  <si>
    <t>GSTW29</t>
  </si>
  <si>
    <t>BHPC TWINPACK DEO WOMEN 2-9</t>
  </si>
  <si>
    <t>BHPC TWINPACK DEO WOMEN 8-9</t>
  </si>
  <si>
    <t>P00001</t>
  </si>
  <si>
    <t>BHPC T-SHIRTS</t>
  </si>
  <si>
    <t>P00002</t>
  </si>
  <si>
    <t>BHPC POUCHES</t>
  </si>
  <si>
    <t>P07004</t>
  </si>
  <si>
    <t>BHPC WOMEN ROLL-ON 1 50ML</t>
  </si>
  <si>
    <t>P07005</t>
  </si>
  <si>
    <t>BHPC WOMEN ROLL-ON 9 50ML</t>
  </si>
  <si>
    <t>P07006</t>
  </si>
  <si>
    <t>BHPC WOMEN ROLL-ON 8 50ML</t>
  </si>
  <si>
    <t>P07007</t>
  </si>
  <si>
    <t>BHPC WOMEN ROLL-ON 2 50ML</t>
  </si>
  <si>
    <t>X00TPM</t>
  </si>
  <si>
    <t>BHPC BOX TWIN PACK DEO MEN</t>
  </si>
  <si>
    <t>X00TPW</t>
  </si>
  <si>
    <t>BHPC BOX TWIN PACK DEO WOMEN</t>
  </si>
  <si>
    <t>X0SP4M</t>
  </si>
  <si>
    <t>BHPC BOX SERIES 4 DEO MEN</t>
  </si>
  <si>
    <t>X0SP4W</t>
  </si>
  <si>
    <t>BHPC BOX SERIES 4 DEO WOMEN</t>
  </si>
  <si>
    <t>DOCUMENT</t>
  </si>
  <si>
    <t>DATE</t>
  </si>
  <si>
    <t>NUMBER</t>
  </si>
  <si>
    <t>PAYMENT</t>
  </si>
  <si>
    <t>CURRENCY</t>
  </si>
  <si>
    <t>PROFORMA INVOICE</t>
  </si>
  <si>
    <t>BANK DETAILS</t>
  </si>
  <si>
    <t>SKU CODE</t>
  </si>
  <si>
    <t>PRODUCT DESCRIPTION</t>
  </si>
  <si>
    <t>UM</t>
  </si>
  <si>
    <t>QUANTITY</t>
  </si>
  <si>
    <t>UNIT PRICE</t>
  </si>
  <si>
    <t>CARTONS</t>
  </si>
  <si>
    <t>AMOUNT</t>
  </si>
  <si>
    <t>VAT
CODE</t>
  </si>
  <si>
    <t>SUBTOTAL</t>
  </si>
  <si>
    <t>LAW ART.</t>
  </si>
  <si>
    <t>VAT CODE</t>
  </si>
  <si>
    <t>SUBJECT TO TAX</t>
  </si>
  <si>
    <t>% VAT</t>
  </si>
  <si>
    <t>TOTAL SUBJECT TO TAX</t>
  </si>
  <si>
    <t>TOTAL VAT</t>
  </si>
  <si>
    <t>TOTAL INVOICE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</si>
  <si>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</si>
  <si>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</si>
  <si>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 :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</si>
  <si>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</si>
  <si>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</si>
  <si>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</si>
  <si>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</si>
  <si>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COUNTRY OF DESTINATION</t>
  </si>
  <si>
    <t>PACKING LIST</t>
  </si>
  <si>
    <t>MADE IN</t>
  </si>
  <si>
    <t>CONTAINER NO.</t>
  </si>
  <si>
    <t>TOTAL NUMBER OF UNITS</t>
  </si>
  <si>
    <t>TOTAL NUMBER OF CARTONS</t>
  </si>
  <si>
    <t>TOTAL NUMBER OF PALLETS</t>
  </si>
  <si>
    <t>SIZE OF PALLETS</t>
  </si>
  <si>
    <t>SEAL</t>
  </si>
  <si>
    <t>TOTAL NET WEIGHT</t>
  </si>
  <si>
    <t>TOTAL GROSS WEIGHT</t>
  </si>
  <si>
    <t>TOTAL GROSS WEIGHT + PALLETS</t>
  </si>
  <si>
    <t>SIGNATURE</t>
  </si>
  <si>
    <t>OTHER PACKING INFORMATION</t>
  </si>
  <si>
    <t>MULTIMODAL DANGEROUS GOODS FORM</t>
  </si>
  <si>
    <t>This form maybe used as a dangerous good declaration as it meets the requirements of SOLAS 74, chapter VII, regulation 4; MARPOL 73/78, Annex III, regulation 4.</t>
  </si>
  <si>
    <t>1. Shipper / Consignor / Sender</t>
  </si>
  <si>
    <t>2. Transport document number / Customs status</t>
  </si>
  <si>
    <t>Adapted by Dangerous Goods Safety Advisers Ltd based on the format recommended by United Nations. Tel +44 (0) 1675 433909 - DGSA CONSULTANTS AND TRAINERS TO INDUSTRY AND FREIGHT FORWARDERS</t>
  </si>
  <si>
    <t>COPPO 1896 S.p.A.</t>
  </si>
  <si>
    <t>VIA GALLARDI, 204</t>
  </si>
  <si>
    <t>3.</t>
  </si>
  <si>
    <t>4. Shipper's reference</t>
  </si>
  <si>
    <t>18039 VENTIMIGLIA</t>
  </si>
  <si>
    <t>Page 1 of</t>
  </si>
  <si>
    <t>Pages</t>
  </si>
  <si>
    <t>3a. Booking Number</t>
  </si>
  <si>
    <t>5. Freight forwarder's reference</t>
  </si>
  <si>
    <t>6. Consignee</t>
  </si>
  <si>
    <t>7. Carrier (to be completed by the carrier)</t>
  </si>
  <si>
    <t xml:space="preserve">       Load not exceeding the exemption limits prescribed in 1.1.3.6.</t>
  </si>
  <si>
    <t>Forwarding Agent</t>
  </si>
  <si>
    <t>SHIPPER'S DECLARATION</t>
  </si>
  <si>
    <t>I hereby declare that the contents of this consignment are fully and accurately described below by the proper shipping name, and are classified, packaged, marked and labeled/placarded and are in all respects in proper condition for transport according to the applicable international and national governmental regulations.</t>
  </si>
  <si>
    <t>* FOR DANGEROUS GOODS: You must state in sequence: UN No., Proper Shipping Name, Class, Packing Group (where assigned) and any other element of information under applicable national and international regulations (eg Flashpoint / Marine Pollutant / Special Provisions)</t>
  </si>
  <si>
    <t>8. Additional transport details</t>
  </si>
  <si>
    <t>9. Additional handling information</t>
  </si>
  <si>
    <t>EMERGENCY CONTACT : +39 0184 211000</t>
  </si>
  <si>
    <t>10. Vessel / Carriage mode (if applicable)</t>
  </si>
  <si>
    <t>11. Port / place of loading</t>
  </si>
  <si>
    <t>Carriage in accordance with 1.1.4.2</t>
  </si>
  <si>
    <t>12. Port / place of discharge</t>
  </si>
  <si>
    <t>13. Destination</t>
  </si>
  <si>
    <t>DHSA pre-notification by (UK only)</t>
  </si>
  <si>
    <t>Shipper</t>
  </si>
  <si>
    <t>Cargo Agent</t>
  </si>
  <si>
    <t>Transit Operator</t>
  </si>
  <si>
    <t>Shipping Line</t>
  </si>
  <si>
    <t>14. Shipping marks</t>
  </si>
  <si>
    <t>* Number and kind of packages; description of goods</t>
  </si>
  <si>
    <t>Net Mass (kg/litre)</t>
  </si>
  <si>
    <t>Gross weight (kg)</t>
  </si>
  <si>
    <t>Cube (m3)</t>
  </si>
  <si>
    <t>Total Gross (kg)</t>
  </si>
  <si>
    <t>Total Cube (m3)</t>
  </si>
  <si>
    <t>15. Container identification no./vehicle</t>
  </si>
  <si>
    <t>16. Seal number (s)</t>
  </si>
  <si>
    <t>17. Container / vehicle size &amp; type</t>
  </si>
  <si>
    <t>18. Tare (kg)</t>
  </si>
  <si>
    <t>19. Total gross mass</t>
  </si>
  <si>
    <t xml:space="preserve">      registration No.</t>
  </si>
  <si>
    <t xml:space="preserve">       (including tare) (kg)</t>
  </si>
  <si>
    <t xml:space="preserve">IMDG CONTAINER / VEHICLE PACKING CERTIFICATE </t>
  </si>
  <si>
    <t>21. RECEIVING ORGANISATION RECEIPT</t>
  </si>
  <si>
    <t>To be completed by the person responsible for the inspection, packing, loading, stowage of the Container/Vehicle identified above.</t>
  </si>
  <si>
    <t>Received the above number of packages / containers / trailers in apparent good order and condition unless stated hereon : RECEIVING ORGANISATION REMARKS.</t>
  </si>
  <si>
    <t>IT IS DECLARED THAT THE PACKING OF ALL THE GOODS INTO THE CONTAINER/VEHICLE HAS BEEN CARRIED OUT IN ACCORDANCE WITH APPLICABLE PROVISIONS (see 5.4.2.)</t>
  </si>
  <si>
    <t>20. Name of company responsible for container / vehicle decl.</t>
  </si>
  <si>
    <t>Signature and date</t>
  </si>
  <si>
    <t>22. Name of company (of shipper preparing this note) and telephone no.</t>
  </si>
  <si>
    <t>COPPO 1896 S.p.A. - +39 0184 211000</t>
  </si>
  <si>
    <t>Name / Status of declarant</t>
  </si>
  <si>
    <t>Haulier's name</t>
  </si>
  <si>
    <t>DARIO LAVAGNA - EXPORT MANAGER</t>
  </si>
  <si>
    <t>Place and date</t>
  </si>
  <si>
    <t>Vehicle reg. No.</t>
  </si>
  <si>
    <t>Signature of declarant</t>
  </si>
  <si>
    <t>DRIVER'S SIGNATURE</t>
  </si>
  <si>
    <t>Selected Row</t>
  </si>
  <si>
    <t>Scroll Bar Client Value</t>
  </si>
  <si>
    <t>SelectedOrder</t>
  </si>
  <si>
    <t>Client Row</t>
  </si>
  <si>
    <t>Client Id</t>
  </si>
  <si>
    <t>Scroll Bar Order</t>
  </si>
  <si>
    <t>Selected Client</t>
  </si>
  <si>
    <t>Products Details</t>
  </si>
  <si>
    <t>Order Sum Up</t>
  </si>
  <si>
    <t>Name:</t>
  </si>
  <si>
    <t>cts</t>
  </si>
  <si>
    <t>cts_foc</t>
  </si>
  <si>
    <t>Filter By Status</t>
  </si>
  <si>
    <t>Selected Order</t>
  </si>
  <si>
    <t># of references</t>
  </si>
  <si>
    <t>Country:</t>
  </si>
  <si>
    <t>Invoice No.</t>
  </si>
  <si>
    <t>Payment 
Account:</t>
  </si>
  <si>
    <t>tot units</t>
  </si>
  <si>
    <t>tot disc units</t>
  </si>
  <si>
    <t>exp profit</t>
  </si>
  <si>
    <t>tot FOC</t>
  </si>
  <si>
    <t>FOC ratio</t>
  </si>
  <si>
    <t>Payment Type:</t>
  </si>
  <si>
    <t>tot FOC cost</t>
  </si>
  <si>
    <t>VAT No:</t>
  </si>
  <si>
    <t>Logistic Sum Up</t>
  </si>
  <si>
    <t>Legal HQ:</t>
  </si>
  <si>
    <t>tot cartons</t>
  </si>
  <si>
    <t>net weight</t>
  </si>
  <si>
    <t>gross weight</t>
  </si>
  <si>
    <t>Logistic HQ:</t>
  </si>
  <si>
    <t>SUBSTATUS</t>
  </si>
  <si>
    <t>Availability Check</t>
  </si>
  <si>
    <t>Transport Organized</t>
  </si>
  <si>
    <t>Ready To Ship</t>
  </si>
  <si>
    <t>Shipped</t>
  </si>
  <si>
    <t>Delivered</t>
  </si>
  <si>
    <t>sales_lastLocaleChange</t>
  </si>
  <si>
    <t>orders_lastLocaleChange</t>
  </si>
  <si>
    <t>client_lastLocaleChange</t>
  </si>
  <si>
    <t>bhpcData_lastLocaleChange</t>
  </si>
  <si>
    <t>URUGUAY</t>
  </si>
  <si>
    <t>GILMUR COMPANY S.A.</t>
  </si>
  <si>
    <t>ITUZAINGO AL SUR S/N</t>
  </si>
  <si>
    <t>ZONA FRANCA FLORID, FLORIDA</t>
  </si>
  <si>
    <t>Customer Details</t>
  </si>
  <si>
    <t>-</t>
  </si>
  <si>
    <t>AL UTHAMAA STREET BLDG NO 40</t>
  </si>
  <si>
    <t>VAKE DISTRICT,1</t>
  </si>
  <si>
    <t>CHAVCHAVADZE AVE N 78</t>
  </si>
  <si>
    <t>PO. BOX 261873,</t>
  </si>
  <si>
    <t>STATO ESPÍRITO SANTO, 29157-275, BRAZIL</t>
  </si>
  <si>
    <t>C/O LOGIP</t>
  </si>
  <si>
    <t>C/O HERFURTH LOGISTICS NV</t>
  </si>
  <si>
    <t>C/O FOJCIK TRANSPORT SP. Z O.O.</t>
  </si>
  <si>
    <t>CASSIERSSTRAAT, 19</t>
  </si>
  <si>
    <t>FISCAL REPRESENTATIVE BE 0746419651</t>
  </si>
  <si>
    <t>MAHMUTBEY MAH DILMENLER CAD. NO 19-/31</t>
  </si>
  <si>
    <t>BAĞCILAR/İSTANBUL</t>
  </si>
  <si>
    <t>BLUE OCEAN STRATEGIES, LLC</t>
  </si>
  <si>
    <t>3RD FLOOR WEST, LANCHESTER</t>
  </si>
  <si>
    <t>TRAFALGAR PLACE, BRIGHTON,</t>
  </si>
  <si>
    <t>EAST SUSSEX, BN1 4FU, UK</t>
  </si>
  <si>
    <t>GBP</t>
  </si>
  <si>
    <t>BRASMARK CORPORATION, S.A.</t>
  </si>
  <si>
    <t xml:space="preserve">EDIF. SAN FRANCISO PARK PISO 9, </t>
  </si>
  <si>
    <t>COCO DEL MAR</t>
  </si>
  <si>
    <t>PANAMA - PANAMA</t>
  </si>
  <si>
    <t>R.U.C. 182503-1-392516 DV 90</t>
  </si>
  <si>
    <t>DE LANGE BEEMDEN 27</t>
  </si>
  <si>
    <t>3550 HEUSDEN ZOLDER</t>
  </si>
  <si>
    <t>CIP CARRETERA CRUZ NEGRA, 15, 46240 CARLET, VALENCIA SPAIN</t>
  </si>
  <si>
    <t>VOLDBJERGVEJ 16A</t>
  </si>
  <si>
    <t>8240 RISSKOV, DENMARK</t>
  </si>
  <si>
    <t>CPT ODENSE SØ - DENMARK</t>
  </si>
  <si>
    <t>GILMUR COMPANY</t>
  </si>
  <si>
    <t>IMMEUBLE ENAKHILL</t>
  </si>
  <si>
    <t>17 RUE DU LAC BIWA</t>
  </si>
  <si>
    <t>1053 LES BERGES DU LAC</t>
  </si>
  <si>
    <t>TUNIS - TUNISIE</t>
  </si>
  <si>
    <t>INVERSIONES LA MUNDIAL LIMITADA</t>
  </si>
  <si>
    <t>LIBERTAD NO 790, LOCAL 1,</t>
  </si>
  <si>
    <t>R.U.T. : 78.146.900-9</t>
  </si>
  <si>
    <t>LINDO CHAIN LTD</t>
  </si>
  <si>
    <t xml:space="preserve">IMBER ST 5 </t>
  </si>
  <si>
    <t>PETAH TIKVA, ISRAEL</t>
  </si>
  <si>
    <t>LUXUM BEAUTY GMBH</t>
  </si>
  <si>
    <t>LANDHAUSSTRAßE 97</t>
  </si>
  <si>
    <t>70190 STUTTGART, GERMANY</t>
  </si>
  <si>
    <t>LILIENPARK 2</t>
  </si>
  <si>
    <t>8072 FERNITZ-MELLACH / AUSTRIA</t>
  </si>
  <si>
    <t>DAP FERNITZ-MELLACH / AUSTRIA</t>
  </si>
  <si>
    <t>PARFUMOOV, SARL</t>
  </si>
  <si>
    <t>N° 8 ZONE ACTIVITÉ ROQUE FORCADE</t>
  </si>
  <si>
    <t>13720 BELCODENE, FRANCE</t>
  </si>
  <si>
    <t>PER-SCENT LTD</t>
  </si>
  <si>
    <t>PRESTIGE BRANDS S.A.</t>
  </si>
  <si>
    <t>305, VOULIAGMENIS AVE.17236</t>
  </si>
  <si>
    <t>AGIOS DIMITRIOS, ATHENS - GREECE</t>
  </si>
  <si>
    <t>RENALKO KAUBANDUS OÜ</t>
  </si>
  <si>
    <t>MÕISA 4</t>
  </si>
  <si>
    <t>13522 TALLINN</t>
  </si>
  <si>
    <t>EESTI - ESTONIA</t>
  </si>
  <si>
    <t>BHPC TESTERS TOUR INTENSE 100ML EDP MEN</t>
  </si>
  <si>
    <t>BHPC PRESTIGE TOUR INTENSE 100ML EDP MEN</t>
  </si>
  <si>
    <t>PANABEL PNM</t>
  </si>
  <si>
    <t>PANAMA</t>
  </si>
  <si>
    <t>PANABEL CO</t>
  </si>
  <si>
    <t>COLOMBIA</t>
  </si>
  <si>
    <t>PANABEL CR</t>
  </si>
  <si>
    <t>COSTA RICA</t>
  </si>
  <si>
    <t>PANABEL DISTRIBUTION S.A.</t>
  </si>
  <si>
    <t>RUC 1835435-1-711027 DV. 80</t>
  </si>
  <si>
    <t>CI. 15 1/2 Y 16 AVE. STA.ISABEL</t>
  </si>
  <si>
    <t>COLINDANTE CON LA MANZANA 6-B-1</t>
  </si>
  <si>
    <t>NOOS</t>
  </si>
  <si>
    <t>SALE</t>
  </si>
  <si>
    <t>MODE OF SHIPMENT</t>
  </si>
  <si>
    <t>Sort Direction:</t>
  </si>
  <si>
    <t>Sort By:</t>
  </si>
  <si>
    <t>place_of_discharge</t>
  </si>
  <si>
    <t>SelectedOrderCreationDate</t>
  </si>
  <si>
    <t>Shipment Details</t>
  </si>
  <si>
    <t>order_type</t>
  </si>
  <si>
    <t>SelectedOrderSubStatus</t>
  </si>
  <si>
    <t>ALMACÉN CENTRAL</t>
  </si>
  <si>
    <t>C/ALEMANYA, 15 - CARLET</t>
  </si>
  <si>
    <t>BY ROAD</t>
  </si>
  <si>
    <t>P06008</t>
  </si>
  <si>
    <t>BHPC ELEGANCE HAIR MIST 250ML PRESTIGE HAIR SPRAY</t>
  </si>
  <si>
    <t>P06009</t>
  </si>
  <si>
    <t>BHPC CHALLENGE BODY MIST 250ML PRESTIGE BODY SPRAY</t>
  </si>
  <si>
    <t>P06010</t>
  </si>
  <si>
    <t>BHPC MYSTIQUE BODY MIST 250ML PRESTIGE BODY SPRAY</t>
  </si>
  <si>
    <t>P06011</t>
  </si>
  <si>
    <t>BHPC PASSION BODY MIST 250ML PRESTIGE BODY SPRAY</t>
  </si>
  <si>
    <t>P06012</t>
  </si>
  <si>
    <t>BHPC TROPHY DEO 300ML PRESTIGE BODY SPRAY</t>
  </si>
  <si>
    <t>P06013</t>
  </si>
  <si>
    <t>BHPC HERITAGE OUD 300ML PRESTIGE BODY SPRAY</t>
  </si>
  <si>
    <t>P06014</t>
  </si>
  <si>
    <t>BHPC TOUR DEO 300ML PRESTIGE BODY SPRAY</t>
  </si>
  <si>
    <t>P06015</t>
  </si>
  <si>
    <t>BHPC TITAN DEO 300ML PRESTIGE BODY SPRAY</t>
  </si>
  <si>
    <t>BHPC TESTERS ROYALE 100ML EDP WOMEN</t>
  </si>
  <si>
    <t>BHPC 3PCS GIFT SET WOMEN #1 EDP50ML+DEO150ML+ROLLON50ML</t>
  </si>
  <si>
    <t>FGURA - MALTA</t>
  </si>
  <si>
    <t>FLORIDA - URUGUAY</t>
  </si>
  <si>
    <t>LUXUM BEAUTY - ULM</t>
  </si>
  <si>
    <t xml:space="preserve">FRANZENHAUSERWEG 5/1 </t>
  </si>
  <si>
    <t>89081 ULM-JUNGINGEN</t>
  </si>
  <si>
    <t>ULM-JUNGINGEN - GERMANY</t>
  </si>
  <si>
    <t>CIP ULM-JUNGINGEN, GERMANY</t>
  </si>
  <si>
    <t>LUXUM BEAUTY - HAMBURG</t>
  </si>
  <si>
    <t>BRANDSTÜCKEN 16</t>
  </si>
  <si>
    <t>22549 HAMBURG</t>
  </si>
  <si>
    <t>HAMBURG - GERMANY</t>
  </si>
  <si>
    <t>CHURCHILL POINT DISTRIBUTION CENTER</t>
  </si>
  <si>
    <t xml:space="preserve">LAKE EDGE GREEN </t>
  </si>
  <si>
    <t>MANCHESTER, M17 1BL - ENGLAND</t>
  </si>
  <si>
    <t>MANCHESTER - ENGLAND</t>
  </si>
  <si>
    <t>ATHENS - GREECE</t>
  </si>
  <si>
    <t>Filter By Order Type</t>
  </si>
  <si>
    <t>AURIA</t>
  </si>
  <si>
    <t>BLUE OCEAN UK</t>
  </si>
  <si>
    <t>BLUE OCEAN DE</t>
  </si>
  <si>
    <t>MARKLOWICE - POLAND</t>
  </si>
  <si>
    <t>MAKEUP</t>
  </si>
  <si>
    <t>JAPAN</t>
  </si>
  <si>
    <t>X05004</t>
  </si>
  <si>
    <t>X05005</t>
  </si>
  <si>
    <t>X05006</t>
  </si>
  <si>
    <t>X05007</t>
  </si>
  <si>
    <t>X05050</t>
  </si>
  <si>
    <t>X05051</t>
  </si>
  <si>
    <t>X05052</t>
  </si>
  <si>
    <t>X05053</t>
  </si>
  <si>
    <t>BHPC GIFT BOX MEN NO.1 100ML</t>
  </si>
  <si>
    <t>BHPC GIFT BOX MEN NO.9 100ML</t>
  </si>
  <si>
    <t>BHPC GIFT BOX MEN NO.8 100ML</t>
  </si>
  <si>
    <t>BHPC GIFT BOX MEN NO.2 100ML</t>
  </si>
  <si>
    <t>X05008</t>
  </si>
  <si>
    <t>BHPC GIFT BOX MEN NO.1 50ML</t>
  </si>
  <si>
    <t>X05009</t>
  </si>
  <si>
    <t>BHPC GIFT BOX MEN NO.9 50ML</t>
  </si>
  <si>
    <t>X05010</t>
  </si>
  <si>
    <t>BHPC GIFT BOX MEN NO.8 50ML</t>
  </si>
  <si>
    <t>X05011</t>
  </si>
  <si>
    <t>BHPC GIFT BOX MEN NO.2 50ML</t>
  </si>
  <si>
    <t>X05028</t>
  </si>
  <si>
    <t>BHPC GIFT BOX WOMEN NO.1 50ML</t>
  </si>
  <si>
    <t>X05029</t>
  </si>
  <si>
    <t>BHPC GIFT BOX WOMEN NO.9 50ML</t>
  </si>
  <si>
    <t>X05030</t>
  </si>
  <si>
    <t>BHPC GIFT BOX WOMEN NO.8 50ML</t>
  </si>
  <si>
    <t>X05031</t>
  </si>
  <si>
    <t>BHPC GIFT BOX WOMEN NO.2 50ML</t>
  </si>
  <si>
    <t>BHPC GIFT BOX WOMEN NO.1 100ML</t>
  </si>
  <si>
    <t>BHPC GIFT BOX WOMEN NO.9 100ML</t>
  </si>
  <si>
    <t>BHPC GIFT BOX WOMEN NO.8 100ML</t>
  </si>
  <si>
    <t>BHPC GIFT BOX WOMEN NO.2 100ML</t>
  </si>
  <si>
    <t>X05068</t>
  </si>
  <si>
    <t>BHPC GS BOX MEN</t>
  </si>
  <si>
    <t>X05072</t>
  </si>
  <si>
    <t>BHPC GS BOX WOMEN</t>
  </si>
  <si>
    <t>X06012</t>
  </si>
  <si>
    <t>BHPC BOX TROPHY+DEO300ML</t>
  </si>
  <si>
    <t>X0TRFM</t>
  </si>
  <si>
    <t>BHPC TRAY GIFT BOX MEN 50ML</t>
  </si>
  <si>
    <t>X0TRFW</t>
  </si>
  <si>
    <t>BHPC TRAY GIFT BOX WOMEN 50ML</t>
  </si>
  <si>
    <t>X1TRFM</t>
  </si>
  <si>
    <t>BHPC TRAY GIFT BOX MEN 100ML</t>
  </si>
  <si>
    <t>X1TRFW</t>
  </si>
  <si>
    <t>BHPC TRAY GIFT BOX WOMEN 100ML</t>
  </si>
  <si>
    <t>vessel_name</t>
  </si>
  <si>
    <t>container_no</t>
  </si>
  <si>
    <t>container_type</t>
  </si>
  <si>
    <t>seal_no</t>
  </si>
  <si>
    <t>Order Type</t>
  </si>
  <si>
    <t>MBE</t>
  </si>
  <si>
    <t>NO PALLET</t>
  </si>
  <si>
    <t>Y00001</t>
  </si>
  <si>
    <t>Y00002</t>
  </si>
  <si>
    <t>Y00003</t>
  </si>
  <si>
    <t>Y00004</t>
  </si>
  <si>
    <t>Y00005</t>
  </si>
  <si>
    <t>Y00006</t>
  </si>
  <si>
    <t>Y00007</t>
  </si>
  <si>
    <t>Y00008</t>
  </si>
  <si>
    <t>Y00009</t>
  </si>
  <si>
    <t>Y00010</t>
  </si>
  <si>
    <t>Y00011</t>
  </si>
  <si>
    <t>Y00012</t>
  </si>
  <si>
    <t>Y00013</t>
  </si>
  <si>
    <t>Y00014</t>
  </si>
  <si>
    <t>Y00015</t>
  </si>
  <si>
    <t>Y00016</t>
  </si>
  <si>
    <t>Y00017</t>
  </si>
  <si>
    <t>Y00018</t>
  </si>
  <si>
    <t>Y00019</t>
  </si>
  <si>
    <t>Y00020</t>
  </si>
  <si>
    <t>Y00021</t>
  </si>
  <si>
    <t>Y00022</t>
  </si>
  <si>
    <t>Y00023</t>
  </si>
  <si>
    <t>Y00024</t>
  </si>
  <si>
    <t>Y00025</t>
  </si>
  <si>
    <t>Y00026</t>
  </si>
  <si>
    <t>Y00027</t>
  </si>
  <si>
    <t>Y00028</t>
  </si>
  <si>
    <t>Y00029</t>
  </si>
  <si>
    <t>Y00030</t>
  </si>
  <si>
    <t>Y00031</t>
  </si>
  <si>
    <t>Y00032</t>
  </si>
  <si>
    <t>Y00033</t>
  </si>
  <si>
    <t>Y00034</t>
  </si>
  <si>
    <t>Y00035</t>
  </si>
  <si>
    <t>Y00036</t>
  </si>
  <si>
    <t>Y00037</t>
  </si>
  <si>
    <t>Y00038</t>
  </si>
  <si>
    <t>YA2302A BHPC SUNGLASSES RUBB. BLACK / SOLID GREY</t>
  </si>
  <si>
    <t>YA2302B BHPC SUNGLASSES RUBB. BLUE/ SOLID SMOKE</t>
  </si>
  <si>
    <t>YA2302C BHPC SUNGLASSES RUBB. BLACK / MIRROR ICY</t>
  </si>
  <si>
    <t>YB2310A BHPC SUNGLASSES MATT BLACK/SILVER /SOLID GREE</t>
  </si>
  <si>
    <t>YB2310B BHPC SUNGLASSES MATT NAVY/SILVER/ SOLID SMOKE</t>
  </si>
  <si>
    <t>YB2310C BHPC SUNGLASSES MATT SMOKE/SILVER / SOLID GREY</t>
  </si>
  <si>
    <t>YB2313A BHPC SUNGLASSES SATIN NAVY / SOLID SMOKE</t>
  </si>
  <si>
    <t>YB2313B BHPC SUNGLASSES MATT BLACK / SOLID GREY</t>
  </si>
  <si>
    <t>YB2313C BHPC SUNGLASSES BLACK/GUN / SOLID GREEN</t>
  </si>
  <si>
    <t>YB2314A BHPC SUNGLASSES MATT BLACK / SOLID GREEN</t>
  </si>
  <si>
    <t>YB2314B BHPC SUNGLASSES MATT BLACK / SOLID GREY</t>
  </si>
  <si>
    <t>YB2314C BHPC SUNGLASSES BLACK / HIGH TRANSMIT YELLOW</t>
  </si>
  <si>
    <t>YB1304A BHPC SUNGLASSES GUN/TRANSP.GREY/GRADIENT GREY</t>
  </si>
  <si>
    <t>YB1304B BHPC SUNGLASSES GOLD/TRANSP.OLIVEGRADIENT CLAY</t>
  </si>
  <si>
    <t>YB1304C BHPC SUNGLASSES GUN/TRANSP. BLUE/GRADIENT BLU</t>
  </si>
  <si>
    <t>YB1308A BHPC SUNGLASSES SATIN GUN/SOLID SMOKE</t>
  </si>
  <si>
    <t>YB1308B BHPC SUNGLASSES GUN/SOLID BROWN</t>
  </si>
  <si>
    <t>YB1308C BHPC SUNGLASSES SATIN GOLD/SOLID GREEN</t>
  </si>
  <si>
    <t>YB1305A BHPC SUNGLASSES GOLD / SOLID GREEN</t>
  </si>
  <si>
    <t>YB1305B BHPC SUNGLASSES GUN/SOLID SMOKE</t>
  </si>
  <si>
    <t>YB1305C BHPC SUNGLASSES MATT BLACK / SOLID GREY</t>
  </si>
  <si>
    <t>YB1307A BHPC SUNGLASSES GOLD / GRADIENT GREY</t>
  </si>
  <si>
    <t>YB1307B BHPC SUNGLASSES BROWN / GRADIENT CLAY</t>
  </si>
  <si>
    <t>YB1307C BHPC SUNGLASSES ROSE GOLD/DOUBLE GRAD. GREYRED</t>
  </si>
  <si>
    <t>YB1306A BHPC SUNGLASSES GOLD/BLACK GRADIENT GREY</t>
  </si>
  <si>
    <t>YB1306B BHPC SUNGLASSES GOLD/BEIGE / GRADIENT CLAY</t>
  </si>
  <si>
    <t>YB1306C BHPC SUNGLASSES BRONZE GOLD / GRADIENT COFFEE</t>
  </si>
  <si>
    <t>YB2311A BHPC SUNGLASSES DEMI / GRADIENT MOCCA</t>
  </si>
  <si>
    <t>YB2311B BHPC SUNGLASSES BLACK / GRADIENT GREY</t>
  </si>
  <si>
    <t>YB2311C BHPC SUNGLASSES TRANSP. OLIVE / GRADIENT CLAY</t>
  </si>
  <si>
    <t>YB2315A BHPC SUNGLASSES BLACK CRYSTAL GRADIENT GREEN</t>
  </si>
  <si>
    <t>YB2315B BHPC SUNGLASSES TRANSP. GREEN / GRADIENT GREY</t>
  </si>
  <si>
    <t>YB2315C BHPC SUNGLASSES TRANSP. VIOLET /GRADIENT SMOKE</t>
  </si>
  <si>
    <t>YB2312A BHPC SUNGLASSES BLACK / SOLID GREY</t>
  </si>
  <si>
    <t>YB2312B BHPC SUNGLASSES RED / SOLID SMOKE</t>
  </si>
  <si>
    <t>YB2312C BHPC SUNGLASSES WHITE / GRADIENT GREY</t>
  </si>
  <si>
    <t>BHPC SUNGLASSES CASE AO49L BROWN FOR MEN</t>
  </si>
  <si>
    <t>BHPC SUNGLASSES CASE AO49L WHITE FOR WOMEN</t>
  </si>
  <si>
    <t>CARLET - SPAIN</t>
  </si>
  <si>
    <t>Filter By Sex</t>
  </si>
  <si>
    <t>Flter By Size</t>
  </si>
  <si>
    <t>Warehouse Stock</t>
  </si>
  <si>
    <t>SKU</t>
  </si>
  <si>
    <t>BHPC TROPHY DEO 300ML</t>
  </si>
  <si>
    <t>BHPC HERITAGE OUD DEO 300ML</t>
  </si>
  <si>
    <t>BHPC TITAN DEO 300ML</t>
  </si>
  <si>
    <t>BHPC TOUR DEO 300ML</t>
  </si>
  <si>
    <t>BHPC ELEGANCE HAIR MIST 250ML</t>
  </si>
  <si>
    <t>BHPC CHALLENGE BODY MIST 250ML</t>
  </si>
  <si>
    <t>BHPC MYSTIQUE BODY MIST 250ML</t>
  </si>
  <si>
    <t>BHPC PASSION BODY MIST 250ML</t>
  </si>
  <si>
    <t>BRANDSHAPERS</t>
  </si>
  <si>
    <t>IRELAND</t>
  </si>
  <si>
    <t>BALLYTRAMON BUSINESS PARK</t>
  </si>
  <si>
    <t>ARDCAVAN, CO. WEXFORD</t>
  </si>
  <si>
    <t>"BANCO DESIO" - IBAN NO.   : IT 59 M 03440 49110 000047251833 - SWIFT CODE   : BDBDIT22</t>
  </si>
  <si>
    <t>MR. BENOIT PFISTER</t>
  </si>
  <si>
    <t/>
  </si>
  <si>
    <t>145 AVENUE DE SUFFREN</t>
  </si>
  <si>
    <t>75015 PARIS </t>
  </si>
  <si>
    <t>MOBILE 06 14 88 9 42</t>
  </si>
  <si>
    <t>SANTIAGO - CHILE</t>
  </si>
  <si>
    <t>60 DAYS DATE OF INVOICE</t>
  </si>
  <si>
    <t>BRIGHTON - UK</t>
  </si>
  <si>
    <t>UNITED KINGDOM</t>
  </si>
  <si>
    <t>cts_disc</t>
  </si>
  <si>
    <t>SUNGLASSES</t>
  </si>
  <si>
    <t>PC</t>
  </si>
  <si>
    <t>TUNISIA</t>
  </si>
  <si>
    <t>box_per_europallet</t>
  </si>
  <si>
    <t>8320000 SANTIAGO, CHILE</t>
  </si>
  <si>
    <t>inv_amount</t>
  </si>
  <si>
    <t>price</t>
  </si>
  <si>
    <t>cost</t>
  </si>
  <si>
    <t>tot_invoice</t>
  </si>
  <si>
    <t># of full price ref</t>
  </si>
  <si>
    <t># of disc price ref</t>
  </si>
  <si>
    <t># of foc ref</t>
  </si>
  <si>
    <t>PREPARING</t>
  </si>
  <si>
    <t>7630775756999</t>
  </si>
  <si>
    <t>7630775757002</t>
  </si>
  <si>
    <t>7630775757019</t>
  </si>
  <si>
    <t>7630775761986</t>
  </si>
  <si>
    <t>7630775761993</t>
  </si>
  <si>
    <t>7630775762006</t>
  </si>
  <si>
    <t>7630775757057</t>
  </si>
  <si>
    <t>7630775757064</t>
  </si>
  <si>
    <t>7630775757071</t>
  </si>
  <si>
    <t>7630775757118</t>
  </si>
  <si>
    <t>7630775757125</t>
  </si>
  <si>
    <t>7630775757132</t>
  </si>
  <si>
    <t>7630775762013</t>
  </si>
  <si>
    <t>7630775762020</t>
  </si>
  <si>
    <t>7630775762037</t>
  </si>
  <si>
    <t>7630775757088</t>
  </si>
  <si>
    <t>7630775757095</t>
  </si>
  <si>
    <t>7630775757101</t>
  </si>
  <si>
    <t>7630775762044</t>
  </si>
  <si>
    <t>7630775762051</t>
  </si>
  <si>
    <t>7630775762068</t>
  </si>
  <si>
    <t>7630775757026</t>
  </si>
  <si>
    <t>7630775757033</t>
  </si>
  <si>
    <t>7630775757040</t>
  </si>
  <si>
    <t>7630775762075</t>
  </si>
  <si>
    <t>7630775762082</t>
  </si>
  <si>
    <t>7630775762099</t>
  </si>
  <si>
    <t>7630775762105</t>
  </si>
  <si>
    <t>7630775762112</t>
  </si>
  <si>
    <t>7630775756982</t>
  </si>
  <si>
    <t>7630775757170</t>
  </si>
  <si>
    <t>7630775757187</t>
  </si>
  <si>
    <t>7630775757194</t>
  </si>
  <si>
    <t>7630775757149</t>
  </si>
  <si>
    <t>7630775757156</t>
  </si>
  <si>
    <t>7630775757163</t>
  </si>
  <si>
    <t>30 DAYS DATE OF INVOICE</t>
  </si>
  <si>
    <t>60 DAYS DATE OF DELIVERY</t>
  </si>
  <si>
    <t>Filter By Invoice Year</t>
  </si>
  <si>
    <t>AGAINST SHIPPING DOCS</t>
  </si>
  <si>
    <t>120 DAYS DATE OF INVOICE</t>
  </si>
  <si>
    <t>DAT LOGISTICS</t>
  </si>
  <si>
    <t>90 DAYS DATE OF INVOICE</t>
  </si>
  <si>
    <t>FERCAM</t>
  </si>
  <si>
    <t>pickup_date</t>
  </si>
  <si>
    <t>DUBAI - UNITED ARAB EMIRATES</t>
  </si>
  <si>
    <t>BARTOLINI</t>
  </si>
  <si>
    <t>DSV</t>
  </si>
  <si>
    <t>ZONA LIBRE - PANAMA</t>
  </si>
  <si>
    <t>ZINGALI</t>
  </si>
  <si>
    <t>Product Category</t>
  </si>
  <si>
    <t>MASSTIGE</t>
  </si>
  <si>
    <t>INCOTERMS</t>
  </si>
  <si>
    <t>SIZE OF PALLETS:</t>
  </si>
  <si>
    <t>TOTAL NET WEIGHT:</t>
  </si>
  <si>
    <t>TOTAL GROSS WEIGHT:</t>
  </si>
  <si>
    <t>TOTAL NUMBER OF CARTONS:</t>
  </si>
  <si>
    <t>TOTAL NUMBER OF PALLETS:</t>
  </si>
  <si>
    <t>max_height</t>
  </si>
  <si>
    <t>labor_hours</t>
  </si>
  <si>
    <t>labor_cost</t>
  </si>
  <si>
    <t>PER CATEGORIA</t>
  </si>
  <si>
    <t>CONSOLIDATO</t>
  </si>
  <si>
    <t>PER SKU</t>
  </si>
  <si>
    <t>ORDINE PRODOTTI NEI DOCS</t>
  </si>
  <si>
    <t>HEALTH &amp; BEAUTY LOGISTICS O/B</t>
  </si>
  <si>
    <t>Polígono Industrial La Torrecilla Chica, 6</t>
  </si>
  <si>
    <t xml:space="preserve">45220 Yeles, Toledo </t>
  </si>
  <si>
    <t>TOLEDO - SPAIN</t>
  </si>
  <si>
    <t>PAYMENT METHOD</t>
  </si>
  <si>
    <t>BANK ACCOUNTS</t>
  </si>
  <si>
    <t>IN ADVANCE</t>
  </si>
  <si>
    <t>30% AGAINST PROFORMA - 70% 60 DAYS FROM INVOICE DATE</t>
  </si>
  <si>
    <t>50% AGAINST PROFORMA - 50% BEFORE SHIPMENT</t>
  </si>
  <si>
    <t>PALLETTIZING METHOD</t>
  </si>
  <si>
    <t>counter</t>
  </si>
  <si>
    <t>DIMITRIE CANTEMIR 1</t>
  </si>
  <si>
    <t>BUCHAREST - ROMANIA</t>
  </si>
  <si>
    <t>DUBAI - GRV</t>
  </si>
  <si>
    <t>GRV INTERNATIONAL FZE</t>
  </si>
  <si>
    <t>LOB 4 UNIT 4G07</t>
  </si>
  <si>
    <t>JEBEL ALI, DUBAI - UAE</t>
  </si>
  <si>
    <t>ESB SERVICE GROUP</t>
  </si>
  <si>
    <t>RL FORS OÜ/CO ESB SERVICE GROUP</t>
  </si>
  <si>
    <t>PÄRNU MNT 142</t>
  </si>
  <si>
    <t xml:space="preserve">TALLINN 11317 </t>
  </si>
  <si>
    <t>MAKE UP INC.</t>
  </si>
  <si>
    <t>THE PLACE 8F</t>
  </si>
  <si>
    <t>1-13-18 NISHI SHINSAIBASHI CHUO-KU</t>
  </si>
  <si>
    <t>OSAKA 542-0086</t>
  </si>
  <si>
    <t>MÖRTH &amp; MÖRTH GmbH</t>
  </si>
  <si>
    <t>box_per_eurolayer</t>
  </si>
  <si>
    <t>layer_per_europallet</t>
  </si>
  <si>
    <t>BOX</t>
  </si>
  <si>
    <t>TRAY</t>
  </si>
  <si>
    <t>DESCRIPTION</t>
  </si>
  <si>
    <t>PERF</t>
  </si>
  <si>
    <t>DEO</t>
  </si>
  <si>
    <t>HS CODE</t>
  </si>
  <si>
    <t>EAN CODE</t>
  </si>
  <si>
    <t>NET 
WEIGHT</t>
  </si>
  <si>
    <t>GROSS 
WEIGHT</t>
  </si>
  <si>
    <t>50% AGAINST PROFORMA - 50% BEFORE COLLECTION</t>
  </si>
  <si>
    <t>CIUDAD DEL ESTE - PARAGUAY</t>
  </si>
  <si>
    <t>AREA COMERCIAL, ZONA LIBRE, PANAMA</t>
  </si>
  <si>
    <t>P.O.BOX 6971, AMMAN 11118 JORDAN</t>
  </si>
  <si>
    <t>1053 LES BERGES DU LAC, TUNIS - TUNISIE</t>
  </si>
  <si>
    <t>place_discharge</t>
  </si>
  <si>
    <t>CHINA</t>
  </si>
  <si>
    <t>90041091</t>
  </si>
  <si>
    <t>42023900</t>
  </si>
  <si>
    <t>30% AGAINST PROFORMA 70% 60 DAYS DATE OF INVOICE</t>
  </si>
  <si>
    <t>Total Net (kg)</t>
  </si>
  <si>
    <t>other_cost</t>
  </si>
  <si>
    <t>Notes:</t>
  </si>
  <si>
    <t>shipping_address1</t>
  </si>
  <si>
    <t>shipping_address2</t>
  </si>
  <si>
    <t>shipping_address3</t>
  </si>
  <si>
    <t>shipping_address4</t>
  </si>
  <si>
    <t>qty_to_produce</t>
  </si>
  <si>
    <t>produced</t>
  </si>
  <si>
    <t>production_no</t>
  </si>
  <si>
    <t>LOADED REF:</t>
  </si>
  <si>
    <t>Order Status</t>
  </si>
  <si>
    <t>lock_goods</t>
  </si>
  <si>
    <t>MOVEMENTS 
YTD</t>
  </si>
  <si>
    <t>ACTUAL 
STOCK</t>
  </si>
  <si>
    <t>LOCKED 
STOCK</t>
  </si>
  <si>
    <t>AVAILABLE 
STOCK</t>
  </si>
  <si>
    <t>NON
LOCKED ORDERS</t>
  </si>
  <si>
    <t>FILTRI</t>
  </si>
  <si>
    <t>availability</t>
  </si>
  <si>
    <t>Warehouse</t>
  </si>
  <si>
    <t>Goods Produced</t>
  </si>
  <si>
    <t>Production No</t>
  </si>
  <si>
    <t>X3TRFM</t>
  </si>
  <si>
    <t>ENVASADO XIOMARA SLU</t>
  </si>
  <si>
    <t>YONTEM KOZMETIK</t>
  </si>
  <si>
    <t>ISTAMBUL - TURKEY</t>
  </si>
  <si>
    <t>SOLVENT</t>
  </si>
  <si>
    <t>CIP ŠESTAJOVICE - CZECH REPUBLIC</t>
  </si>
  <si>
    <t>Goods Locked</t>
  </si>
  <si>
    <t>tot invoice</t>
  </si>
  <si>
    <t>tot cost</t>
  </si>
  <si>
    <t>P.O.BOX 6971</t>
  </si>
  <si>
    <t>AMMAN 11118 JORDAN</t>
  </si>
  <si>
    <t>AMMAN - JORDAN</t>
  </si>
  <si>
    <t>BHPC TRAY 3PCS GIFT BOX MEN 50ML</t>
  </si>
  <si>
    <t>X2TRFM</t>
  </si>
  <si>
    <t>X2TRFW</t>
  </si>
  <si>
    <t>BHPC TRAY 3PCS GIFT BOX WOMEN 50ML</t>
  </si>
  <si>
    <t>3PCS GIFT SET OUTER CARTON</t>
  </si>
  <si>
    <t>2PCS GIFTSET OUTER CARTON</t>
  </si>
  <si>
    <t>X3GSCT</t>
  </si>
  <si>
    <t>X2GSCT</t>
  </si>
  <si>
    <t>CT</t>
  </si>
  <si>
    <t>X07008</t>
  </si>
  <si>
    <t>X07009</t>
  </si>
  <si>
    <t>X07010</t>
  </si>
  <si>
    <t>X07011</t>
  </si>
  <si>
    <t>X07028</t>
  </si>
  <si>
    <t>X07029</t>
  </si>
  <si>
    <t>X07030</t>
  </si>
  <si>
    <t>X07031</t>
  </si>
  <si>
    <t>BHPC 3PCS GIFT BOX MEN NO.1 50ML</t>
  </si>
  <si>
    <t>BHPC 3PCS GIFT BOX MEN NO.9 50ML</t>
  </si>
  <si>
    <t>BHPC 3PCS GIFT BOX MEN NO.8 50ML</t>
  </si>
  <si>
    <t>BHPC 3PCS GIFT BOX MEN NO.2 50ML</t>
  </si>
  <si>
    <t>BHPC 3PCS GIFT BOX WOMEN NO.1 50ML</t>
  </si>
  <si>
    <t>BHPC 3PCS GIFT BOX WOMEN NO.9 50ML</t>
  </si>
  <si>
    <t>BHPC 3PCS GIFT BOX WOMEN NO.8 50ML</t>
  </si>
  <si>
    <t>BHPC 3PCS GIFT BOX WOMEN NO.2 50ML</t>
  </si>
  <si>
    <t>PACKING MATERIAL</t>
  </si>
  <si>
    <t>YB2315C BHPC SUNGLASSES TRANSP. VIOLET / GRADIENT SMOKE</t>
  </si>
  <si>
    <t>GSELE2</t>
  </si>
  <si>
    <t>SKU GEKO</t>
  </si>
  <si>
    <t>sku_geko</t>
  </si>
  <si>
    <t>P05008L</t>
  </si>
  <si>
    <t>P05008FL</t>
  </si>
  <si>
    <t>SANDRINGHAM - SOUTH AFRICA</t>
  </si>
  <si>
    <t>1938/010727/07</t>
  </si>
  <si>
    <t>X00050</t>
  </si>
  <si>
    <t>X00100</t>
  </si>
  <si>
    <t>BHPC 50ML OUTER CARTON</t>
  </si>
  <si>
    <t>BHPC 100ML OUTER CARTON</t>
  </si>
  <si>
    <t>BHPC TRAY GIFT BOX PRESTIGE TROPHY</t>
  </si>
  <si>
    <t>FOC Sent &amp; Received</t>
  </si>
  <si>
    <t>Starting Date</t>
  </si>
  <si>
    <t>Ending Date</t>
  </si>
  <si>
    <t>LEGENDA LETTERE POST SKU</t>
  </si>
  <si>
    <t>F</t>
  </si>
  <si>
    <t>Made in France</t>
  </si>
  <si>
    <t>S</t>
  </si>
  <si>
    <t>L</t>
  </si>
  <si>
    <t>Prodotto sfuso (loose) ossia non inscatolato</t>
  </si>
  <si>
    <t>Pallets Movimantation</t>
  </si>
  <si>
    <t>Invoices by Country</t>
  </si>
  <si>
    <t>SOFOKLI VENIZELOU 101</t>
  </si>
  <si>
    <t>16343 - ILIOUPOLIS - GREECE</t>
  </si>
  <si>
    <t>GOODS SENT</t>
  </si>
  <si>
    <t>DELIVERED</t>
  </si>
  <si>
    <t>SUPPLY</t>
  </si>
  <si>
    <t>1</t>
  </si>
  <si>
    <t>FEDEX</t>
  </si>
  <si>
    <t>123,90</t>
  </si>
  <si>
    <t>072401</t>
  </si>
  <si>
    <t>0,00 €</t>
  </si>
  <si>
    <t>64 EDT sfusi destinati principalmente alla campionatura per la Turchia (che ne richiede 30 #1)_x000D_
_x000D_
Questi profumi sono MADE IN FRANCE._x000D_
_x000D_
30 andranno aggiunti alla campionatura per la Turchia senza però inserirli nella scatole del giftset come si è fatto con le altre referenze, per evitare problemi con la dogana Turca, dato che sulle giftset boxes c'è scritto MADE IN SPAIN e non MADE IN FRANCE._x000D_
_x000D_
AWT: 777225836105</t>
  </si>
  <si>
    <t>BY AIR</t>
  </si>
  <si>
    <t>80x120</t>
  </si>
  <si>
    <t>VERA</t>
  </si>
  <si>
    <t>100x120</t>
  </si>
  <si>
    <t>CTV</t>
  </si>
  <si>
    <t>8,24</t>
  </si>
  <si>
    <t>Merce in arrivo da Dubai per via aerea tramite aeroporto di Malpensa._x000D_
L'importazione è stata gestita da GCTRSL, contatto: chiara.meucci@gctsrl.com_x000D_
_x000D_
I costi dell'importazione sono da addebitare a BHPC._x000D_
_x000D_
Merce in consegna il 09-10/07 con vettore CTV.</t>
  </si>
  <si>
    <t>10/07/24</t>
  </si>
  <si>
    <t>SAMPLING</t>
  </si>
  <si>
    <t>4</t>
  </si>
  <si>
    <t>460</t>
  </si>
  <si>
    <t>SHIPPED</t>
  </si>
  <si>
    <t>213</t>
  </si>
  <si>
    <t>24/06/2024</t>
  </si>
  <si>
    <t>0</t>
  </si>
  <si>
    <t>24/06/24</t>
  </si>
  <si>
    <t>20</t>
  </si>
  <si>
    <t>BY SEA</t>
  </si>
  <si>
    <t>103</t>
  </si>
  <si>
    <t>13</t>
  </si>
  <si>
    <t>12</t>
  </si>
  <si>
    <t>ON WAITING</t>
  </si>
  <si>
    <t>47</t>
  </si>
  <si>
    <t>Homme Tour made in France spediti via aereo a Malpensa e arrivati con Fedex.</t>
  </si>
  <si>
    <t>Carton 45x37x24(h)</t>
  </si>
  <si>
    <t>6</t>
  </si>
  <si>
    <t>019 - NET120</t>
  </si>
  <si>
    <t>5</t>
  </si>
  <si>
    <t>2</t>
  </si>
  <si>
    <t>11</t>
  </si>
  <si>
    <t>10</t>
  </si>
  <si>
    <t>30 DD INVOICE DATE</t>
  </si>
  <si>
    <t>60 DAYS FROM INVOICE</t>
  </si>
  <si>
    <t>14</t>
  </si>
  <si>
    <t>115</t>
  </si>
  <si>
    <t>Fercam</t>
  </si>
  <si>
    <t>Altezza pallet 115cm (Luxum ha accettato i 10cm extra)</t>
  </si>
  <si>
    <t>95cm altezza del pallet.</t>
  </si>
  <si>
    <t>60DD - DELIVERY DATE</t>
  </si>
  <si>
    <t>8</t>
  </si>
  <si>
    <t>Trophy Deos + Packaging Material per i Giftset Prestige da inviare a Luxum.</t>
  </si>
  <si>
    <t>9</t>
  </si>
  <si>
    <t>Merce venduta EXW Spagna e ritirata dal cliente polacco per trasporto fino in Polonia</t>
  </si>
  <si>
    <t>Ordine partito direttamente dai depositi di Auria.</t>
  </si>
  <si>
    <t>https://www.mbe.it/it/tracking?c=641176034</t>
  </si>
  <si>
    <t>12 cappellini bianchi, 12 cappellini rossi, 12 cappellini blu, 14 cappellini blu scuro, 50 sacchetti BHPC.</t>
  </si>
  <si>
    <t>Pallet devono essere fumigati</t>
  </si>
  <si>
    <t>90 DAYS FROM INVOICE</t>
  </si>
  <si>
    <t>Si sono dovuti preparare tutti i GS e incartonarli. Le plastiche risultano di una misura troppo grande rispetto le scatole.
Ritira EURO COMM ITALIA con booking M24EXL10220</t>
  </si>
  <si>
    <t>Knight &amp; Royale per TKMax fermi per problemi tecnici al loro sistema informatico.</t>
  </si>
  <si>
    <t>50 825168
Knight &amp; Royale per TKMax fermi per problemi tecnici al loro sistema informatico.</t>
  </si>
  <si>
    <t>NET30</t>
  </si>
  <si>
    <t>Non segno costi di manodopera in questo ordine perché li ho addebitati tutti alla fattura #41. In realtà parte dei testers preparati durante la preparazione della fattura 41 sono stati utilizzati per questa fattura.</t>
  </si>
  <si>
    <t>151</t>
  </si>
  <si>
    <t>7</t>
  </si>
  <si>
    <t>Merce venduta EXW Spagna e ritirata dal cliente Polacco x trasporto in Polonia</t>
  </si>
  <si>
    <t>MASTIGE</t>
  </si>
  <si>
    <t>PT5008</t>
  </si>
  <si>
    <t>BHPC TESTER SPORT MEN 1 EDT 50ML</t>
  </si>
  <si>
    <t>240</t>
  </si>
  <si>
    <t>241</t>
  </si>
  <si>
    <t>242</t>
  </si>
  <si>
    <t>NA</t>
  </si>
  <si>
    <t>48192010</t>
  </si>
  <si>
    <t>39239000</t>
  </si>
  <si>
    <t>XT6020</t>
  </si>
  <si>
    <t>XT6021</t>
  </si>
  <si>
    <t>BHPC TESTER BOX KNIGHT 100ML</t>
  </si>
  <si>
    <t>BHPC TESTER BOX ROYALE 100ML</t>
  </si>
  <si>
    <t>GRV</t>
  </si>
  <si>
    <t>INSTRUCTION STICKERS</t>
  </si>
  <si>
    <t>X99999</t>
  </si>
  <si>
    <t>INITIAL STOCK DATE</t>
  </si>
  <si>
    <t>11/07/2024</t>
  </si>
  <si>
    <t xml:space="preserve">14pallets di roll-ons per la Polonia in partenza da Valencia_x000D_
</t>
  </si>
  <si>
    <t>11/07/24</t>
  </si>
  <si>
    <t>08/07/2024</t>
  </si>
  <si>
    <t>15</t>
  </si>
  <si>
    <t xml:space="preserve">Terza e ultima fattura dell'ordine per la Polonia._x000D_
</t>
  </si>
  <si>
    <t>17/07/24</t>
  </si>
  <si>
    <t>Fattura 240 e 241 sono state spedite sullo stesso camion per un totale di 26 pallet.</t>
  </si>
  <si>
    <t>156</t>
  </si>
  <si>
    <t>CTV TRASPORTI</t>
  </si>
  <si>
    <t>27062024</t>
  </si>
  <si>
    <t>27/06/2024</t>
  </si>
  <si>
    <t>22/07/24</t>
  </si>
  <si>
    <t>138</t>
  </si>
  <si>
    <t>33</t>
  </si>
  <si>
    <t>UBV - Logistica Ligure</t>
  </si>
  <si>
    <t>247</t>
  </si>
  <si>
    <t xml:space="preserve">GS sia da 2pc che da 3pc prodotti in casa._x000D_
_x000D_
Bancale pronto_x000D_
_x000D_
Documenti Pronti._x000D_
_x000D_
</t>
  </si>
  <si>
    <t>18/07/24</t>
  </si>
  <si>
    <t>26</t>
  </si>
  <si>
    <t>MERCE E DOCUMENTI PRONTI_x000D_
_x000D_
- Per quanto riguarda i bancali bisogna mettere i fogli con scritto cosa contiene il bancale e gli sticker per le merci pericolose. FATTO_x000D_
- Andrà emessa fattura senza includere i RollOn che verranno spediti in un secondo momento._x000D_
- Per quanto riguarda i Roll-On dovremo riceverli dalla Spagna. RICEVUTI_x000D_
_x000D_
Fattura 240 e 241 sono state spedite sullo stesso camion per un totale di 26 pallet.</t>
  </si>
  <si>
    <t>185</t>
  </si>
  <si>
    <t>182,0</t>
  </si>
  <si>
    <t>B&amp;B TRASPORTI</t>
  </si>
  <si>
    <t>194</t>
  </si>
  <si>
    <t>CFG</t>
  </si>
  <si>
    <t>P1 Height: 144cm ; P2 Height: 151cm_x000D_
Ordine pronto, in attesa che COFACE ci confermi la copertura assicurativa del cliente._x000D_
_x000D_
I GS SONO STATI PRODOTTI IN CASA.</t>
  </si>
  <si>
    <t>25</t>
  </si>
  <si>
    <t>BENEFICIARY: "COPPO 1896 S.P.A.", BANK: "BANCO BPM", IBAN: IT 98 R 05034 10500 000000000813 - (BIC)SWIFT: BAPPIT22</t>
  </si>
  <si>
    <t>Currency</t>
  </si>
  <si>
    <t>Merce ricevuta a Luglio 24._x000D_
Risultano alcune mancanze e qualche cartone / merce danneggiata.</t>
  </si>
  <si>
    <t>255</t>
  </si>
  <si>
    <t>BHPC PRESTIGE ELEGANCE INTENSE 100ML EDP WOMEN</t>
  </si>
  <si>
    <t>BHPC PRESTIGE MYSTIQUE INTENSE 100ML EDP WOMEN</t>
  </si>
  <si>
    <t>01/07/2024</t>
  </si>
  <si>
    <t>INITIAL 
STOCK</t>
  </si>
  <si>
    <t>Made in Spain (se omessa il country di origine è quello standard)</t>
  </si>
  <si>
    <t>P05009L</t>
  </si>
  <si>
    <t>P05010L</t>
  </si>
  <si>
    <t>P05011L</t>
  </si>
  <si>
    <t>P05028L</t>
  </si>
  <si>
    <t>P05029L</t>
  </si>
  <si>
    <t>P05030L</t>
  </si>
  <si>
    <t>P05031L</t>
  </si>
  <si>
    <t>BHPC SPORT MEN 1 EDT 50ML (UNBOXED)</t>
  </si>
  <si>
    <t>BHPC SPORT MEN 9 EDT 50ML (UNBOXED)</t>
  </si>
  <si>
    <t>BHPC SPORT MEN 8 EDT 50ML (UNBOXED)</t>
  </si>
  <si>
    <t>BHPC SPORT MEN 2 EDT 50ML (UNBOXED)</t>
  </si>
  <si>
    <t>BHPC WOMEN 1 EDP 50ML (UNBOXED)</t>
  </si>
  <si>
    <t>BHPC WOMEN 9 EDP 50ML (UNBOXED)</t>
  </si>
  <si>
    <t>BHPC WOMEN 8 EDP 50ML (UNBOXED)</t>
  </si>
  <si>
    <t>BHPC WOMEN 2 EDP 50ML (UNBOXED)</t>
  </si>
  <si>
    <t>P06002I</t>
  </si>
  <si>
    <t>P06004I</t>
  </si>
  <si>
    <t>P06006I</t>
  </si>
  <si>
    <t>GSELE3</t>
  </si>
  <si>
    <t>PRESTIGE GIFT SET - TROPHY 100ml + WALLET</t>
  </si>
  <si>
    <t>PRESTIGE GIFT SET - HERITAGE OUD 100ml + WALLET</t>
  </si>
  <si>
    <t>PRESTIGE GIFT SET - TITAN 100ml + WALLET</t>
  </si>
  <si>
    <t>PRESTIGE GIFT SET - WOMEN MYSTIQUE 100ml + SCARF</t>
  </si>
  <si>
    <t>PRESTIGE GIFT SET - WOMEN PASSION 100ml + WALLET</t>
  </si>
  <si>
    <t>TROWL</t>
  </si>
  <si>
    <t>OUDWL</t>
  </si>
  <si>
    <t>TTNWL</t>
  </si>
  <si>
    <t>WMNSCR</t>
  </si>
  <si>
    <t>WMNWL</t>
  </si>
  <si>
    <t>190</t>
  </si>
  <si>
    <t>188</t>
  </si>
  <si>
    <t>187</t>
  </si>
  <si>
    <t>186</t>
  </si>
  <si>
    <t>175</t>
  </si>
  <si>
    <t>174</t>
  </si>
  <si>
    <t>173</t>
  </si>
  <si>
    <t>172</t>
  </si>
  <si>
    <t>141</t>
  </si>
  <si>
    <t>118</t>
  </si>
  <si>
    <t>113</t>
  </si>
  <si>
    <t>111</t>
  </si>
  <si>
    <t>100</t>
  </si>
  <si>
    <t>98</t>
  </si>
  <si>
    <t>90</t>
  </si>
  <si>
    <t>74</t>
  </si>
  <si>
    <t>56</t>
  </si>
  <si>
    <t>50</t>
  </si>
  <si>
    <t>49</t>
  </si>
  <si>
    <t>46</t>
  </si>
  <si>
    <t>41</t>
  </si>
  <si>
    <t>3</t>
  </si>
  <si>
    <t>[P1-135, P2-182, P3-162, P4-146]_x000D_
_x000D_
Ordine in stand-by perchè stiamo aspettando da Dubai le etichette da mettere sulle scatole dei giftsets per dire che la merce è MADE IN SPAIN; dei packing material e i roll on per fare i GS 3 pcs. RISOLTO_x000D_
_x000D_
Sono stati prodotti in casa tutti i GS 2pcs mentre per quanto riguarda i 3pcs sono stati prodotti internamente solo il Man #2 e il Woman #9_x000D_
_x000D_
Merce pronta_x000D_
Documenti Pronti_x000D_
_x000D_
_x000D_
Targa mezzo: EM 617 EP</t>
  </si>
  <si>
    <t>26/07/24</t>
  </si>
  <si>
    <t>MSNU9527380</t>
  </si>
  <si>
    <t>MSC ELODIE V.MC430A</t>
  </si>
  <si>
    <t>40' HIGH CUBE</t>
  </si>
  <si>
    <t>A140344</t>
  </si>
  <si>
    <t>LA SPEZIA - ITALY</t>
  </si>
  <si>
    <t>258</t>
  </si>
  <si>
    <t>259</t>
  </si>
  <si>
    <t>P. LINE SRL &amp; SIFTE BERTI</t>
  </si>
  <si>
    <t>Filter By Customer</t>
  </si>
  <si>
    <t>2.296,80 €</t>
  </si>
  <si>
    <t>399,60 €</t>
  </si>
  <si>
    <t>75,60 €</t>
  </si>
  <si>
    <t>864,00 €</t>
  </si>
  <si>
    <t>3.168,00 €</t>
  </si>
  <si>
    <t>115,20 €</t>
  </si>
  <si>
    <t>900,00 €</t>
  </si>
  <si>
    <t>SAN ANTONIO - CHILE</t>
  </si>
  <si>
    <t>1,0860</t>
  </si>
  <si>
    <t>30 Cartoni di Prestige Titan Mad in France da tornare indietro a Dubai._x000D_
_x000D_
AGENTE DOGANALE: Monava Trasporti Internazionali - Mauro Ferrari</t>
  </si>
  <si>
    <t>92Kg lordi + 20 Kg peso pallet. 8ct porta occhiali, 6ct occhiali_x000D_
_x000D_
AGENTE DOGANALE: 500 Logistics - Chris Hall</t>
  </si>
  <si>
    <t>AGENTE DOGANALE: 500 Logistics - Chris Hall</t>
  </si>
  <si>
    <t>MED TRUCK</t>
  </si>
  <si>
    <t>MSDU738230-6</t>
  </si>
  <si>
    <t>MSC ALANYA</t>
  </si>
  <si>
    <t>H1342327</t>
  </si>
  <si>
    <t>19</t>
  </si>
  <si>
    <t>TCLU7357209</t>
  </si>
  <si>
    <t>20'</t>
  </si>
  <si>
    <t>GENOA - ITALY</t>
  </si>
  <si>
    <t>JEBEL ALI -UAE</t>
  </si>
  <si>
    <t>CAUTIN</t>
  </si>
  <si>
    <t>H3129166</t>
  </si>
  <si>
    <t>OVERLOGISTIC SRL</t>
  </si>
  <si>
    <t>La parte restante delle merci made in France da spedire a Dubai. Abbiamo aggiunto dei pallet di cartoni della misura sbagliata._x000D_
_x000D_
MAREXPORT - Si è occupata del booking della nave e dello sdoganamento.</t>
  </si>
  <si>
    <t>Si sono dovuti preparare tutti i GS e incartonarli. Le plastiche risultano di una misura troppo grande rispetto le scatole._x000D_
_x000D_
SIFTE BERTI Si occupa dello sdoganamento - Claudia Leoncini</t>
  </si>
  <si>
    <t>- I GS sono in preparazione in magazzino. Ogni tanto andare a verificare lo stato dei lavori._x000D_
- I documenti sono stati creati. Và però creata un ulteriore PL con il dettaglio per bancale quando saranno completati. FATTO_x000D_
- Dato che il cliente paga a 60 giorni, non appena la merce è pronta avvisara Dario che si può organizzare la spedizione con il trasportatore._x000D_
_x000D_
Ore di lavoro: _x000D_
01/07 2x8 + 3h Massimo;_x000D_
02/07 1x8 + 8h Massimo + 8h Alessandro;_x000D_
03/07 2x8 + 8h Alessandro + 4h Ste/Vince/Mario;_x000D_
04/07 2x8 + 8h Alessandro + 4h Ste/Vince/Massimo;_x000D_
05/07 4h Ste/Massimo_x000D_
_x000D_
SIFTE BERTI Si occupa dello sdoganamento - Claudia Leoncini</t>
  </si>
  <si>
    <t>63,00 €</t>
  </si>
  <si>
    <t>A&amp;A DISTRIBUTION ANSWER S.R.L.</t>
  </si>
  <si>
    <t>BUILDING 2, 3RD ENTRANCE, 4TH FLOOR</t>
  </si>
  <si>
    <t>PALLET HEIGHTS [150, 166]_x000D_
_x000D_
BANCALE 1 - 100X120X150: 11 CT X 100 CUSTODIE UOMO + 1 CT X 50 CUSTODIE UOMO + 3 CT X 100 CUSTODIE DONNA - 123.25KG_x000D_
BANCALE 2 - 100X120X166: 6 CT X 100 CUSTODIE DONNA + 3 CARTONI CON GLI OCCHIALI - 125KG_x000D_
_x000D_
74Kg peso lordo. Da aggiungere il peso del pallet._x000D_
_x000D_
Merce pronta_x000D_
Documenti Pronti_x000D_
_x000D_
SDOGANAMENTO A CURA DI DG International Giorgia Drera._x000D_
Bolla doganale già scaricata e data ad Angelica.</t>
  </si>
  <si>
    <t>Tra i prodotti inseriti mancano i seguenti perchè non hanno SKU in Geko:_x000D_
_x000D_
3pcs Men Gs #2 unit box x 75_x000D_
3pcs Women Gs #9 unit box x 60_x000D_
3pcs GS Outer Carton x 12_x000D_
3 pcs Men GS tray x 75_x000D_
3 pcs Women GS tray x 60_x000D_
_x000D_
SDOGANAMENTO: GCT SRL Chiara Meucci_x000D_
BOLLA DOGANALE salvata</t>
  </si>
  <si>
    <t>NIT: 900.985.775-0</t>
  </si>
  <si>
    <t>PANABEL COLOMBIA S.A.S.</t>
  </si>
  <si>
    <t>AV. CARRERA 9</t>
  </si>
  <si>
    <t>NO.113-52 OFC. 806</t>
  </si>
  <si>
    <t>BOGOTÁ, COLOMBIA</t>
  </si>
  <si>
    <t>BOGOTÁ - COLOMBIA</t>
  </si>
  <si>
    <t>148</t>
  </si>
  <si>
    <t>opt_hscode</t>
  </si>
  <si>
    <t>opt_focvalue</t>
  </si>
  <si>
    <t>opt_focdiscount</t>
  </si>
  <si>
    <t>opt_eori</t>
  </si>
  <si>
    <t>opt_ean</t>
  </si>
  <si>
    <t>opt_deliveryaddress</t>
  </si>
  <si>
    <t>FONTEVIVO - ITALIA</t>
  </si>
  <si>
    <t>Max height 120cm_x000D_
Nella proforma / invoice va mostrato il numero di pedido.</t>
  </si>
  <si>
    <t>Per ogni referenza FOC aggiungere la dicitura " - TST" in grassetto dopo il nome (vedi vecchie fatture).</t>
  </si>
  <si>
    <t>H. COS GLOBAL BEAUTY</t>
  </si>
  <si>
    <t>Redarre la packing list in maniera dettagliata, specificando il contenuto di ogni pallet (vedi vecchie PL).</t>
  </si>
  <si>
    <t>Al posto di 0€ al prezzo dei foc scrivere FOC.</t>
  </si>
  <si>
    <t>PETAH TIKVA - ISRAEL</t>
  </si>
  <si>
    <t>PI e PL vanno redatte in maniera particolare._x000D_
Copiare dalle fatture precedenti.</t>
  </si>
  <si>
    <t>80</t>
  </si>
  <si>
    <t>Prodotti disponibili._x000D_
_x000D_
Bancale preparato_x000D_
Adesivi TESTER applicati.</t>
  </si>
  <si>
    <t>29</t>
  </si>
  <si>
    <t>GS prodotti in casa._x000D_
_x000D_
Sono state aggiunte nei cartoni 30 flat boxes di GS5008 Giftset Men #1 perchè non abbiamo la merce per preparare i giftset veri e propri._x000D_
_x000D_
Lo sdoganamento è stato affidato a Fercam così come la redazione dell'ATR (speciale documento per l'export dall'EU alla Turchia per evitare il pagamento di Dazi)</t>
  </si>
  <si>
    <t>Aggiungere la dicitura "The exporter of the products covered by this document (Exporter Reference No IT13348030159) declares that these products are of EU preferential origin and production: SPAIN" nella proforma / fattura._x000D_
Indicare anche il loading address nella proforma._x000D_
_x000D_
Utilizzare pallet 100x120</t>
  </si>
  <si>
    <t>80 MOSLEY ROAD</t>
  </si>
  <si>
    <t>FRAGRANCE QUARTERS</t>
  </si>
  <si>
    <t>TRAFFORD PARK, MANCHESTER</t>
  </si>
  <si>
    <t>GREATER MANCHESTER M17 1LE</t>
  </si>
  <si>
    <t>LAKE EDGE GREEN, TRAFFORD PARK ROAD</t>
  </si>
  <si>
    <t>MANCHESTER M17 1BL, GB</t>
  </si>
  <si>
    <t>08/08/24</t>
  </si>
  <si>
    <t>276</t>
  </si>
  <si>
    <t>DAP ATAŞEHIR / İSTANBUL, TURKEY</t>
  </si>
  <si>
    <t>CHURCHILL POINT, LAKE EDGE GREEN</t>
  </si>
  <si>
    <t>131</t>
  </si>
  <si>
    <t>COPPO1896</t>
  </si>
  <si>
    <t>DONE</t>
  </si>
  <si>
    <t>PRODUCTION</t>
  </si>
  <si>
    <t>VERO</t>
  </si>
  <si>
    <t>285</t>
  </si>
  <si>
    <t>140</t>
  </si>
  <si>
    <t>120,0</t>
  </si>
  <si>
    <t>240,00 €</t>
  </si>
  <si>
    <t>58</t>
  </si>
  <si>
    <t>85</t>
  </si>
  <si>
    <t>96</t>
  </si>
  <si>
    <t>122</t>
  </si>
  <si>
    <t>136</t>
  </si>
  <si>
    <t>12/04/2023</t>
  </si>
  <si>
    <t>182</t>
  </si>
  <si>
    <t>183</t>
  </si>
  <si>
    <t>184</t>
  </si>
  <si>
    <t>191</t>
  </si>
  <si>
    <t>192</t>
  </si>
  <si>
    <t>UNITED STATES</t>
  </si>
  <si>
    <t>FOB GENOA ITALY</t>
  </si>
  <si>
    <t>50% IN ADVANCE - 50% AT 90 DAYS</t>
  </si>
  <si>
    <t>1221 BRICKELL AVENUE, SUITE 2100</t>
  </si>
  <si>
    <t>MIAMI, FLORIDA 33131</t>
  </si>
  <si>
    <t>UNITED STATES OF AMERICA</t>
  </si>
  <si>
    <t>C/O BEAUTY &amp; LOGISTICS CORP (B&amp;L)</t>
  </si>
  <si>
    <t>2814 NW 112 AVENUE (2808 TO 2818)</t>
  </si>
  <si>
    <t>MIAMI, FLORIDA 33172</t>
  </si>
  <si>
    <t>Jose Rodriguez - jose@beautyyandlogistics.com_x000D_
Tel: 305-463-9008</t>
  </si>
  <si>
    <t>206</t>
  </si>
  <si>
    <t>BHPC SPORTS DEO 4X175ML FOR MEN SERIES COLLECTION</t>
  </si>
  <si>
    <t>208</t>
  </si>
  <si>
    <t>221</t>
  </si>
  <si>
    <t>97,20 €</t>
  </si>
  <si>
    <t>SANDRINGHAM, GAUTENG 2131</t>
  </si>
  <si>
    <t>opt_origin</t>
  </si>
  <si>
    <t>TO LOAD</t>
  </si>
  <si>
    <t>PALLET HEIGHTS : [120,120]_x000D_
_x000D_
Devo stampare  le etichette con il codice a barre per 16 cartoni per tipo (uomo). FATTO_x000D_
Il 17esimo cartone essendo incompleto non necessita di codice a barre. FATTO_x000D_
_x000D_
15/07/24 - 8h di lavoro e circa 300 giftset preparati_x000D_
16/07/24 - 4h Massimo, 4h Vincenzo. Giftset finiti._x000D_
_x000D_
Stiamo aspettando direttive sulle modalità di spedizione e sul formato dei bancali._x000D_
_x000D_
Trasporto e sdoganamento gestito da: NIINIVIRTA_x000D_
robertob@niinivirta.it</t>
  </si>
  <si>
    <t>BBL CARGO - SITIR</t>
  </si>
  <si>
    <t>PALLET HEIGHTS: [129,131]_x000D_
AGENTE DOGANALE: BBL CARGO - Sarah Ouanounou _x000D_
TRASPORTATORE: SITIR_x000D_
_x000D_
- Va specificato nella packing list e nella proforma quanti sono i bancali non appena lo si saprà e compilato il DGN secondo i loro desiderata._x000D_
- Deve arrivare dalla spagna la versione INTENSE del prestige Elegance. ANNULLATO_x000D_
- Una volta che la merce sarà pronta chiedere il pagamento della seconda metà del dovuto. FATTO_x000D_
- DGN preparato secondo i loro desiderata. FATTO</t>
  </si>
  <si>
    <t>20/08/24</t>
  </si>
  <si>
    <t>421</t>
  </si>
  <si>
    <t>NIINIVIRTA - PHOENIX</t>
  </si>
  <si>
    <t>destination</t>
  </si>
  <si>
    <t>place_of_loading</t>
  </si>
  <si>
    <t>295</t>
  </si>
  <si>
    <t>296</t>
  </si>
  <si>
    <t>ITALTRANSPORT - PREALPINA</t>
  </si>
  <si>
    <t>VENTIMIGLIA - ITALY</t>
  </si>
  <si>
    <t>DURBAN</t>
  </si>
  <si>
    <t>place_loading</t>
  </si>
  <si>
    <t>PALLET HEIGHTS : [151, 156]_x000D_
TRASPORTO E SDOGANAMENTO GESTITO DA: ITALTRANSPORT_x000D_
SUBVETTORE: PREALPINA_x000D_
_x000D_
I ragazzi dovrebbero aver sigillato i due bancali con cellophane nero._x000D_
Dario deve occuparsi degli sticker e dell'indirizzo da attaccare ai due bancali._x000D_
_x000D_
Bancale 1: 64ct_x000D_
Balncale 2: 69ct_x000D_
_x000D_
ALLEGARE ALLA MERCE TUTTI I DOCUMENTI ORIGINALI (FATTURA, PACKING LIST, SHIPPER'S DEC)!!!!!!!!!!!!!!!!!!!!!!!!!!!!!!!!!!!!!!!!!!!!!!!!!!!!!!!!</t>
  </si>
  <si>
    <t>OK</t>
  </si>
  <si>
    <t>WAITING</t>
  </si>
  <si>
    <t>custom_docs</t>
  </si>
  <si>
    <t>297</t>
  </si>
  <si>
    <t>1,091034</t>
  </si>
  <si>
    <t>1,1084</t>
  </si>
  <si>
    <t>AA Distribution ci manda indietro della merce venduta negli anni passati ed ora scaduta._x000D_
Pallet #1: 120x80x120 cm, 180 kg_x000D_
Pallet #2: 120x80x135 cm, 163 kg_x000D_
Pallet #3: 120x80x150 cm, 247 kg_x000D_
Pallet #4: 120x80x140 cm, 163 kg</t>
  </si>
  <si>
    <t>ATS</t>
  </si>
  <si>
    <t>PAUL &amp; WATERS_x000D_
_x000D_
Vuole specificato nella proforma / fattura la dicitura:_x000D_
"Value of POS material is Eur XXX Value is for customs purpose only"</t>
  </si>
  <si>
    <t>opt_loadingaddress</t>
  </si>
  <si>
    <t>12/08/24</t>
  </si>
  <si>
    <t>165</t>
  </si>
  <si>
    <t>Al primo ordine è stato aggiunto un secondo per ridurre l'impatto delle spese di spedizione._x000D_
PO42403 + PO42498</t>
  </si>
  <si>
    <t>Produzione GS per Cielomed - Malta._x000D_
10 box X05030 (Women #8 50ml BOX) sono stati buttati perchè difettati.</t>
  </si>
  <si>
    <t>X3TRFW</t>
  </si>
  <si>
    <t>XB5068</t>
  </si>
  <si>
    <t>XB5072</t>
  </si>
  <si>
    <t>XT5068</t>
  </si>
  <si>
    <t>XT5072</t>
  </si>
  <si>
    <t>BHPC TRAY GIFT BOX PRESTIGE WOMAN</t>
  </si>
  <si>
    <t>BHPC TRAY GIFT BOX PRESTIGE MAN</t>
  </si>
  <si>
    <t>BHPC GS LINER BOTTOM MEN</t>
  </si>
  <si>
    <t>BHPC GS LINER BOTTOM WOMEN</t>
  </si>
  <si>
    <t>BHPC GS LINER TOP MEN</t>
  </si>
  <si>
    <t>BHPC GS LINER TOP WOMEN</t>
  </si>
  <si>
    <t>INTERALFA</t>
  </si>
  <si>
    <t>BUDAPEST - ROMANIA</t>
  </si>
  <si>
    <t xml:space="preserve">PALLET HEIGHTS:_x000D_
CONTACT REFERENCE:_x000D_
_x000D_
</t>
  </si>
  <si>
    <t>SZŐNYI ÚT 39/B</t>
  </si>
  <si>
    <t>1142 BUDAPEST</t>
  </si>
  <si>
    <t>308</t>
  </si>
  <si>
    <t>Eurologistica Ligure</t>
  </si>
  <si>
    <t>0,84175</t>
  </si>
  <si>
    <t>29/08/24</t>
  </si>
  <si>
    <t>Stock Situation at Specific Date</t>
  </si>
  <si>
    <t>Date</t>
  </si>
  <si>
    <t>FOC RATIO - 1:12_x000D_
_x000D_
La merce viaggia via aereo._x000D_
- I bancali vanno sigillati con cellophane nero_x000D_
- Sul cellophane nero vanno applicati:_x000D_
1) "-- STICKER ID8000" e "-- STICKER OVERPACK", che trovi nella cartella di BHPC/Abu Shakra (notare che quest'ultimo ha incorporato il numero del bancale; applicare il foglio sul numero di bancale corretto come risulta dalla packing list._x000D_
2) I fogli sostituiscono in parte gli sticker adesivi. Attaccare quelli che non sono presenti nei fogli ad esclusione degli adesivi rossi che non vanno applicati)_x000D_
_x000D_
Per quanto riguarda i docs:_x000D_
- Preparare la shipper's declaration. Per ogni bancale va calcolato il peso e contati i numeri di cartoni. In maniera tale che nella shipper's declaration si possa indicare no. of cartons x peso medio = peso bancale_x000D_
- la packing list va preparata seguendo il modello della fattura 297 del 2024.</t>
  </si>
  <si>
    <t>FOC RATIO - 1:12</t>
  </si>
  <si>
    <t>C00001</t>
  </si>
  <si>
    <t>C00002</t>
  </si>
  <si>
    <t>C00003</t>
  </si>
  <si>
    <t>C00004</t>
  </si>
  <si>
    <t>CLOTHING</t>
  </si>
  <si>
    <t>BHPC CAP RED</t>
  </si>
  <si>
    <t>BHPC CAP BLU</t>
  </si>
  <si>
    <t>BHPC CAP DARK BLU</t>
  </si>
  <si>
    <t>BHPC CAP WHITE</t>
  </si>
  <si>
    <t>Descending</t>
  </si>
  <si>
    <t>PALLET HEIGHTS:_x000D_
CONTACT REFERENCE:_x000D_
_x000D_
Merce portata direttamente a mano da Dario in Polonia in occasione di un loro meeting.</t>
  </si>
  <si>
    <t>UN 1266 PERFUMERY PRODUCTS, CLASS 3, III, (23°C)</t>
  </si>
  <si>
    <t>TSNA0S</t>
  </si>
  <si>
    <t>TSNA0M</t>
  </si>
  <si>
    <t>TSNA0L</t>
  </si>
  <si>
    <t>TSNAXL</t>
  </si>
  <si>
    <t>TSWH0S</t>
  </si>
  <si>
    <t>TSWH0M</t>
  </si>
  <si>
    <t>TSWH0L</t>
  </si>
  <si>
    <t>TSWHXL</t>
  </si>
  <si>
    <t>TSBL0S</t>
  </si>
  <si>
    <t>TSBL0M</t>
  </si>
  <si>
    <t>TSBL0L</t>
  </si>
  <si>
    <t>TSBLXL</t>
  </si>
  <si>
    <t>TSBE0S</t>
  </si>
  <si>
    <t>TSBE0M</t>
  </si>
  <si>
    <t>TSBE0L</t>
  </si>
  <si>
    <t>TSBEXL</t>
  </si>
  <si>
    <t>TSCO0S</t>
  </si>
  <si>
    <t>TSCO0M</t>
  </si>
  <si>
    <t>TSCO0L</t>
  </si>
  <si>
    <t>TSCOXL</t>
  </si>
  <si>
    <t>BHPC T-SHIRT LONG SHIRT BLUE NAVY - SMALL</t>
  </si>
  <si>
    <t>BHPC T-SHIRT LONG SHIRT BLUE NAVY - MEDIUM</t>
  </si>
  <si>
    <t>BHPC T-SHIRT LONG SHIRT BLUE NAVY - LARGE</t>
  </si>
  <si>
    <t>BHPC T-SHIRT LONG SHIRT BLUE NAVY - EXTRA LARGE</t>
  </si>
  <si>
    <t>BHPC T-SHIRT LONG SHIRT WHITE - SMALL</t>
  </si>
  <si>
    <t>BHPC T-SHIRT LONG SHIRT WHITE - MEDIUM</t>
  </si>
  <si>
    <t>BHPC T-SHIRT LONG SHIRT WHITE - LARGE</t>
  </si>
  <si>
    <t>BHPC T-SHIRT LONG SHIRT WHITE - EXTRA LARGE</t>
  </si>
  <si>
    <t>BHPC T-SHIRT LONG SHIRT BLACK - SMALL</t>
  </si>
  <si>
    <t>BHPC T-SHIRT LONG SHIRT BLACK - MEDIUM</t>
  </si>
  <si>
    <t>BHPC T-SHIRT LONG SHIRT BLACK - LARGE</t>
  </si>
  <si>
    <t>BHPC T-SHIRT LONG SHIRT BLACK - EXTRA LARGE</t>
  </si>
  <si>
    <t>BHPC T-SHIRT LONG SHIRT BERRY - SMALL</t>
  </si>
  <si>
    <t>BHPC T-SHIRT LONG SHIRT BERRY - MEDIUM</t>
  </si>
  <si>
    <t>BHPC T-SHIRT LONG SHIRT BERRY - LARGE</t>
  </si>
  <si>
    <t>BHPC T-SHIRT LONG SHIRT BERRY - EXTRA LARGE</t>
  </si>
  <si>
    <t>BHPC T-SHIRT LONG SHIRT COBALT - SMALL</t>
  </si>
  <si>
    <t>BHPC T-SHIRT LONG SHIRT COBALT - MEDIUM</t>
  </si>
  <si>
    <t>BHPC T-SHIRT LONG SHIRT COBALT - LARGE</t>
  </si>
  <si>
    <t>BHPC T-SHIRT LONG SHIRT COBALT - EXTRA LARGE</t>
  </si>
  <si>
    <t>CSBL0S</t>
  </si>
  <si>
    <t>CSBL0M</t>
  </si>
  <si>
    <t>CSBL0L</t>
  </si>
  <si>
    <t>CSBLXL</t>
  </si>
  <si>
    <t>CSBLXX</t>
  </si>
  <si>
    <t>CSBL3X</t>
  </si>
  <si>
    <t>BHPC COLLAR T-SHIRT BLACK - SMALL</t>
  </si>
  <si>
    <t>BHPC COLLAR T-SHIRT BLACK - MEDIUM</t>
  </si>
  <si>
    <t>BHPC COLLAR T-SHIRT BLACK - LARGE</t>
  </si>
  <si>
    <t>BHPC COLLAR T-SHIRT BLACK - XXL</t>
  </si>
  <si>
    <t>BHPC COLLAR T-SHIRT BLACK - 3XL</t>
  </si>
  <si>
    <t>CSB00S</t>
  </si>
  <si>
    <t>CSB00M</t>
  </si>
  <si>
    <t>CSB00L</t>
  </si>
  <si>
    <t>CSB0XL</t>
  </si>
  <si>
    <t>CSB0XX</t>
  </si>
  <si>
    <t>CSB03X</t>
  </si>
  <si>
    <t>CSBE0S</t>
  </si>
  <si>
    <t>CSBE0M</t>
  </si>
  <si>
    <t>CSBE0L</t>
  </si>
  <si>
    <t>CSBEXL</t>
  </si>
  <si>
    <t>CSBEXX</t>
  </si>
  <si>
    <t>CSBE3X</t>
  </si>
  <si>
    <t>BHPC COLLAR T-SHIRT BERRY - SMALL</t>
  </si>
  <si>
    <t>BHPC COLLAR T-SHIRT BERRY - MEDIUM</t>
  </si>
  <si>
    <t>BHPC COLLAR T-SHIRT BERRY - LARGE</t>
  </si>
  <si>
    <t>BHPC COLLAR T-SHIRT BERRY - XXL</t>
  </si>
  <si>
    <t>BHPC COLLAR T-SHIRT BERRY - 3XL</t>
  </si>
  <si>
    <t>CSOR0S</t>
  </si>
  <si>
    <t>CSOR0M</t>
  </si>
  <si>
    <t>CSOR0L</t>
  </si>
  <si>
    <t>CSORXL</t>
  </si>
  <si>
    <t>CSORXX</t>
  </si>
  <si>
    <t>CSOR3X</t>
  </si>
  <si>
    <t>BHPC COLLAR T-SHIRT ORANGE - SMALL</t>
  </si>
  <si>
    <t>BHPC COLLAR T-SHIRT ORANGE - MEDIUM</t>
  </si>
  <si>
    <t>BHPC COLLAR T-SHIRT ORANGE - LARGE</t>
  </si>
  <si>
    <t>BHPC COLLAR T-SHIRT ORANGE - XXL</t>
  </si>
  <si>
    <t>BHPC COLLAR T-SHIRT ORANGE - 3XL</t>
  </si>
  <si>
    <t>TFWA CANNES</t>
  </si>
  <si>
    <t>CANNES</t>
  </si>
  <si>
    <t>CANNES - FRANCE</t>
  </si>
  <si>
    <t>Produzione di 3 GS Prestige Trophy destinati alla campionatura per la Polonia, 4B4Y.</t>
  </si>
  <si>
    <t>PALLET HEIGHTS:_x000D_
CONTACT REFERENCE:_x000D_
_x000D_
3 Kg. - 29x19x30(h)</t>
  </si>
  <si>
    <t>Hanno un credito di : 1903.66€</t>
  </si>
  <si>
    <t xml:space="preserve">FOC RATIO - 1:12 (contare solo i profumi a prezzo pieno)_x000D_
MAX HEIGHT - 105cm_x000D_
FINO AL 2025 NON ACCETTANO VERSIONI INTENSE DEI PROFUMI_x000D_
_x000D_
Adesivo TESTER sui master cartons contenenti tester_x000D_
Adesivo TESTER sui codici a barre dei profumi venduti come TESTER (sia i FOC che quelli venduti a metà prezzo) NB. Il codice a barre e l'EAN devono essere coperti bene usare tre righe TESTER._x000D_
_x000D_
</t>
  </si>
  <si>
    <t>112</t>
  </si>
  <si>
    <t>BHPC COLLAR T-SHIRT COBALT - LARGE</t>
  </si>
  <si>
    <t>BHPC COLLAR T-SHIRT COBALT - MEDIUM</t>
  </si>
  <si>
    <t>BHPC COLLAR T-SHIRT COBALT - SMALL</t>
  </si>
  <si>
    <t>BHPC COLLAR T-SHIRT COBALT - 3XL</t>
  </si>
  <si>
    <t>BHPC COLLAR T-SHIRT COBALT - XXL</t>
  </si>
  <si>
    <t>BHPC COLLAR T-SHIRT COBALT - XL</t>
  </si>
  <si>
    <t>BHPC COLLAR T-SHIRT ORANGE - XL</t>
  </si>
  <si>
    <t>BHPC COLLAR T-SHIRT BLACK - XL</t>
  </si>
  <si>
    <t>BHPC COLLAR T-SHIRT BERRY - XL</t>
  </si>
  <si>
    <t>Gs 2 pcs per Cannes</t>
  </si>
  <si>
    <t>IN TRANSIT</t>
  </si>
  <si>
    <t>PALLET HEIGHTS : 140cm_x000D_
CONTACT REFERENCE: Ramon, Paul &amp; Waters_x000D_
TRASPORTO: Attrans - David Micallef_x000D_
_x000D_
Siccome mancano delle referenza tra quelle comunicate in prim'ordine il cliente ci ha chiesto di sostituire le referenze non disponibili con altre disponibili. Abbiamo aggiornato la proforma e ora attendiamo conferma del cliente._x000D_
_x000D_
Conferma avvenuta. Pagamento effettuato._x000D_
Aspettiamo che organizzino il carico della merce e il loro trasportatore ci contatti._x000D_
_x000D_
08/08/24 - 1h Stephane_x000D_
09/08/24 - 5h Stephane</t>
  </si>
  <si>
    <t>Attrans</t>
  </si>
  <si>
    <t>12/09/24</t>
  </si>
  <si>
    <t>329</t>
  </si>
  <si>
    <t>PALLET HEIGHTS:_x000D_
CONTACT REFERENCE:_x000D_
_x000D_
Mail reference: 12/09/24 13.17_x000D_
Subject: Re: SHIPMENT FROM JEBEL ALI, UAE TO ANTWERP PORT, BELGIUM ( 1x20') for Customer Coppo 1896 S.p.A, Italy</t>
  </si>
  <si>
    <t>CANPAK LTD.</t>
  </si>
  <si>
    <t>UNIT G - MERRYWELL BUSINESS PARK</t>
  </si>
  <si>
    <t>BALLYMOUNT ROAD, DUBLIN 12</t>
  </si>
  <si>
    <t>D12 XRX3, IRELAND</t>
  </si>
  <si>
    <t>DUBLIN - IRELAND</t>
  </si>
  <si>
    <t>135</t>
  </si>
  <si>
    <t xml:space="preserve">CARTON MEASURES: _x000D_
#1 31x28x18h - 2Kg_x000D_
#244x34x18h - 6Kg_x000D_
CONTACT REFERENCE:_x000D_
_x000D_
</t>
  </si>
  <si>
    <t>FORMA ITALIA</t>
  </si>
  <si>
    <t>FORMA ITALIANA</t>
  </si>
  <si>
    <t>LVB</t>
  </si>
  <si>
    <t>PALLET HEIGHTS:_x000D_
CONTACT REFERENCE: Mathez Onsite Logistics_x000D_
_x000D_
Peso approssimativo, bancale incluso = 215Kg.</t>
  </si>
  <si>
    <t>17/09/24</t>
  </si>
  <si>
    <t xml:space="preserve">PALLET HEIGHTS : [148,115]_x000D_
CONTACT REFERENCE: Camilo Villafane_x000D_
_x000D_
Merce preparata su due bancali 100x120_x000D_
Nei documenti sono stati aggiunti: numero di lotto e data di produzione._x000D_
</t>
  </si>
  <si>
    <t>VESSEL NAME</t>
  </si>
  <si>
    <t xml:space="preserve">JAS - Piergiorgio Cardinale </t>
  </si>
  <si>
    <t>332</t>
  </si>
  <si>
    <t>25,5</t>
  </si>
  <si>
    <t>25,50</t>
  </si>
  <si>
    <t>GS per la campionatura a LVB.</t>
  </si>
  <si>
    <t>GS per la campionatura a FORMA ITALIANA.</t>
  </si>
  <si>
    <t>1,1139</t>
  </si>
  <si>
    <t>EGYPT</t>
  </si>
  <si>
    <t xml:space="preserve"> - EGYPT</t>
  </si>
  <si>
    <t>144</t>
  </si>
  <si>
    <t xml:space="preserve">PALLET HEIGHTS: [96,96,112,114]_x000D_
CONTACT REFERENCE:_x000D_
ORDER NUMBER: 7903191_x000D_
</t>
  </si>
  <si>
    <t>114,0</t>
  </si>
  <si>
    <t>MAZAYA</t>
  </si>
  <si>
    <t>MAZAYA EGYPT</t>
  </si>
  <si>
    <t>SECTOR 3 - NEW CAIRO CITY</t>
  </si>
  <si>
    <t>PLOT NO. 341 - 5TH SETTLEMENT</t>
  </si>
  <si>
    <t>NORTHERN INVESTORS - MOHAMED NAGUIB AXIS</t>
  </si>
  <si>
    <t>SECTOR 3, NEW CAIRO CITY - EGYPT</t>
  </si>
  <si>
    <t xml:space="preserve">NORTHERN INVESTORS </t>
  </si>
  <si>
    <t>MOHAMED NAGUIB AXIS</t>
  </si>
  <si>
    <t>NTG Road BV</t>
  </si>
  <si>
    <t xml:space="preserve">PALLET HEIGHTS: [130,131,144,144,120,108]_x000D_
CONTACT REFERENCE: Amanda Culleton (Ph:  01 4501724 ; Mob: 087 2025640)_x000D_
CARRIER REFERENCE: NTG Road BV - _x000D_
ORDER REFERENCE : 14070_x000D_
_x000D_
_x000D_
</t>
  </si>
  <si>
    <t>23/09/24</t>
  </si>
  <si>
    <t>MATHEZ</t>
  </si>
  <si>
    <t>CPT CANNES - FRANCE</t>
  </si>
  <si>
    <t>341</t>
  </si>
  <si>
    <t>MÜLLER HANDELS GMBH &amp; CO. KG</t>
  </si>
  <si>
    <t>risk_class</t>
  </si>
  <si>
    <t>length</t>
  </si>
  <si>
    <t>6,35</t>
  </si>
  <si>
    <t>is_dangerous_good</t>
  </si>
  <si>
    <t>UN 1266 PERFUMERY PRODUCTS, CLASS 3, II, (12°C)</t>
  </si>
  <si>
    <t>LIMITED QUANTITY</t>
  </si>
  <si>
    <t>UN 1950 AEROSOLS, CLASS 2.1, II</t>
  </si>
  <si>
    <t>METAL CAN</t>
  </si>
  <si>
    <t>LIMITED QUANTITY, EMS: F-E, S-D</t>
  </si>
  <si>
    <t>MASTER_CARTON</t>
  </si>
  <si>
    <t>3RD_ELEM</t>
  </si>
  <si>
    <t>4,8</t>
  </si>
  <si>
    <t>5,2</t>
  </si>
  <si>
    <t>GLASS BOTTLES</t>
  </si>
  <si>
    <t>PLASTIC BOTTLES</t>
  </si>
  <si>
    <t>riskClassName</t>
  </si>
  <si>
    <t>classDesc1</t>
  </si>
  <si>
    <t>classDesc2</t>
  </si>
  <si>
    <t>classBoxType</t>
  </si>
  <si>
    <t>11,53</t>
  </si>
  <si>
    <t>12,1</t>
  </si>
  <si>
    <t>BHPC SPORT MEN 1 EDT 50ML (UNBOXED) (MADE IN FRANCE)</t>
  </si>
  <si>
    <t>PERFUME</t>
  </si>
  <si>
    <t>risk_class2</t>
  </si>
  <si>
    <t>risk_class3</t>
  </si>
  <si>
    <t>risk_class4</t>
  </si>
  <si>
    <t>dgn_weight_p1</t>
  </si>
  <si>
    <t>dgn_weight_p2</t>
  </si>
  <si>
    <t>dgn_weight_p3</t>
  </si>
  <si>
    <t>dgn_weight_p4</t>
  </si>
  <si>
    <t>no_of_products</t>
  </si>
  <si>
    <t>no_of_dang_products</t>
  </si>
  <si>
    <t>0,25</t>
  </si>
  <si>
    <t>size2</t>
  </si>
  <si>
    <t>size3</t>
  </si>
  <si>
    <t>size4</t>
  </si>
  <si>
    <t>PERFUME - 50</t>
  </si>
  <si>
    <t>PERFUME - 100</t>
  </si>
  <si>
    <t>DEODORANT - 150</t>
  </si>
  <si>
    <t>DEODORANT - 175</t>
  </si>
  <si>
    <t>DEODORANT - 300</t>
  </si>
  <si>
    <t>PERFUME - 50 - PESI</t>
  </si>
  <si>
    <t>PERFUME - 100 - PESI</t>
  </si>
  <si>
    <t>DEODORANT - 150 - PESI</t>
  </si>
  <si>
    <t>DEODORANT - 175 - PESI</t>
  </si>
  <si>
    <t>DEODORANT - 300 - PESI</t>
  </si>
  <si>
    <t>CLASSE / SIZE</t>
  </si>
  <si>
    <t>CONTEGGIO SKU</t>
  </si>
  <si>
    <t>OVERPACK USED</t>
  </si>
  <si>
    <t>BODYMIST - 200</t>
  </si>
  <si>
    <t>BODYMIST - 200 - PESI</t>
  </si>
  <si>
    <t>VAT. NO.: IE6423399V</t>
  </si>
  <si>
    <t>Signature and stamp of declarant</t>
  </si>
  <si>
    <t>VAT. NO.: DE339569838</t>
  </si>
  <si>
    <t>logistic_name</t>
  </si>
  <si>
    <t>VAT. NO.: RO44479488</t>
  </si>
  <si>
    <t>VAT. NO.: PL6423224141</t>
  </si>
  <si>
    <t>VAT. NO.: CY99000130O</t>
  </si>
  <si>
    <t>VAT. NO.: IT08169740969</t>
  </si>
  <si>
    <t>VAT. NO.: BE0746419651</t>
  </si>
  <si>
    <t>VAT. NO.: GB303097824</t>
  </si>
  <si>
    <t>VAT. NO.: MT11556301</t>
  </si>
  <si>
    <t>VAT. NO.: BE0436751606</t>
  </si>
  <si>
    <t>VAT. NO.: ESA46581666</t>
  </si>
  <si>
    <t>VAT. NO.: DK37860441</t>
  </si>
  <si>
    <t>VAT. NO.: ATU47838808</t>
  </si>
  <si>
    <t>VAT. NO.: FR00499847010</t>
  </si>
  <si>
    <t>VAT. NO.: GB844298889</t>
  </si>
  <si>
    <t>VAT. NO.: EL800758437</t>
  </si>
  <si>
    <t>VAT. NO.: EE100481312</t>
  </si>
  <si>
    <t>11/10/24</t>
  </si>
  <si>
    <t>362</t>
  </si>
  <si>
    <t>26/09/24</t>
  </si>
  <si>
    <t>342</t>
  </si>
  <si>
    <t>15/10/24</t>
  </si>
  <si>
    <t>GLOBAL CARGO</t>
  </si>
  <si>
    <t>323</t>
  </si>
  <si>
    <t>04/09/24</t>
  </si>
  <si>
    <t>160</t>
  </si>
  <si>
    <t xml:space="preserve">Packing Material per preparare i GS per Brandshapers._x000D_
Arrivati via aereo tramite Malpensa. Dogana gestita da Global Cargo._x000D_
</t>
  </si>
  <si>
    <t>XIOMARA</t>
  </si>
  <si>
    <t>SPAGNA</t>
  </si>
  <si>
    <t>TALLER AURIA S.C.C.L.</t>
  </si>
  <si>
    <t>CL PERE BOSCH ISOLDEVILA 18</t>
  </si>
  <si>
    <t>08700 - IGUALADA</t>
  </si>
  <si>
    <t>BARCELONA - SPAIN</t>
  </si>
  <si>
    <t>18/10/24</t>
  </si>
  <si>
    <t>371</t>
  </si>
  <si>
    <t>X2GS100</t>
  </si>
  <si>
    <t>X2GS50</t>
  </si>
  <si>
    <t>2PCS GIFTSET OUTER CARTON 100ML</t>
  </si>
  <si>
    <t>2PCS GIFTSET OUTER CARTON 50ML</t>
  </si>
  <si>
    <t xml:space="preserve">FOC RATIO - 1:12_x000D_
MAX HEIGHT 105cm_x000D_
IMPORTANTE: NON CONSEGNARE LA FATTURA ALL'AUTISTA, AL MASSIMO LA DELIVERY NOTE._x000D_
FINO AL 2025 NON ACCETTANO VERSIONI INTENSE DEI PROFUMI._x000D_
Adesivo TESTER sui master cartons contenenti tester_x000D_
Adesivo TESTER sui codici a barre dei profumi venduti come TESTER (sia i FOC che quelli venduti a metà prezzo) NB. Il codice a barre e l'EAN devono essere coperti bene usare tre righe TESTER._x000D_
Per i Tour Intense invece bisogna cambiare il codice a barre (vogliono il codice uguale a quello dei Tour). Per i Tour intense venduti come Tester va coperto il codice a barre con il codice a barre del Tour normale e non va applicato l'adesivo tester ma solo l'adesivo Tester sul cartone._x000D_
</t>
  </si>
  <si>
    <t>155</t>
  </si>
  <si>
    <t>21/10/12</t>
  </si>
  <si>
    <t>VOLUME</t>
  </si>
  <si>
    <t>Prima parte di un ordine composto da Beodoranti e GS 3pezzi._x000D_
Noi spediremo i deodoranti i polonia (via corriere sono stati spediti degli sticker che applicheranno direttamente loro)_x000D_
_x000D_
Per quanto riguarda i GS 3 pezzi verranno preparati a Dubai e spediti direttamente al cliente.</t>
  </si>
  <si>
    <t>22/10/24</t>
  </si>
  <si>
    <t>381</t>
  </si>
  <si>
    <t>382</t>
  </si>
  <si>
    <t>1.168,20 €</t>
  </si>
  <si>
    <t>PSILVER</t>
  </si>
  <si>
    <t>P0GOLD</t>
  </si>
  <si>
    <t>GS per Brandshapers_x000D_
_x000D_
1 - Ricevuto PM via aerea through Malpensa_x000D_
2 - Ricevuto deo uomo 1 e 9 through Malpensa</t>
  </si>
  <si>
    <t>BHPC SIGNATURE ED. SILVER 100ML EDP MEN</t>
  </si>
  <si>
    <t>BHPC SIGNATURE ED. GOLD 100ML EDP MEN</t>
  </si>
  <si>
    <t>7,09</t>
  </si>
  <si>
    <t>GS per l'evento PR di Brandshapers.</t>
  </si>
  <si>
    <t>6291107164793</t>
  </si>
  <si>
    <t>6291107164823</t>
  </si>
  <si>
    <t>ALL READY</t>
  </si>
  <si>
    <t>GS Prestige per Druni._x000D_
_x000D_
Siccome non avevamo i cartoni corretti abbiamo usato 246 cartoni da GS 50ml e abbiamo messo 8 pezzi per cartone.</t>
  </si>
  <si>
    <t>105</t>
  </si>
  <si>
    <t>PALLET HEIGHTS:_x000D_
CONTACT REFERENCE:_x000D_
_x000D_
LAVORO:_x000D_
08/10/24 - Mario 3, Stephane 2_x000D_
09/10/24 - Mario 6, Alessandro 4, Massimo 4, Stephane 1_x000D_
10/10/24 - Massimo 8, Stephane 2_x000D_
11/10/24 - Massimo 7, Alessandro 7, Vincenzo 7,  Stephane 1</t>
  </si>
  <si>
    <t>48</t>
  </si>
  <si>
    <t>589,80 €</t>
  </si>
  <si>
    <t>PALLET HEIGHTS:_x000D_
CONTACT REFERENCE:_x000D_
_x000D_
LAVORO:_x000D_
14/10/24 - Massimo 8, Alessandro 8, Stephane 2_x000D_
15/10/24 - Massimo 8, Alessandro 8, Stephane 3_x000D_
16/10/24 - Massimo 8, Alessandro 8, Vincenzo 8, Stephane 8, Angelica 3_x000D_
17/10/24 - Massimo 8, Alessandro 8, Stephane 8, Vincenzo 4, Angelica 6_x000D_
21/10/24 - Massimo 8, Alessandro 8, Stephane 4, Pier 4_x000D_
22/10/24 - Massimo 4, Alessandro 4, Stephane 3</t>
  </si>
  <si>
    <t>6291107164779</t>
  </si>
  <si>
    <t>BODYMIST - 250</t>
  </si>
  <si>
    <t>BODYMIST - 250 - PESI</t>
  </si>
  <si>
    <t>80x60</t>
  </si>
  <si>
    <t>67</t>
  </si>
  <si>
    <t>7,20 €</t>
  </si>
  <si>
    <t>HERFURTH LOGISTIC</t>
  </si>
  <si>
    <t>16</t>
  </si>
  <si>
    <t>Italiana Cargo / Team Fiore</t>
  </si>
  <si>
    <t xml:space="preserve">175cm height_x000D_
_x000D_
Dogana: Italiana Cargo - Simonetta Pedrini_x000D_
</t>
  </si>
  <si>
    <t>PARAGUAY</t>
  </si>
  <si>
    <t>SIGMA S.R.L.</t>
  </si>
  <si>
    <t>HUMAITÁ Y DR GASPAR R. DE FRANCIA</t>
  </si>
  <si>
    <t>BARRIO SAN MIGUEL</t>
  </si>
  <si>
    <t>7000 - CIUDAD DEL ESTE - PARAGUAY</t>
  </si>
  <si>
    <t>RUC.: 80005486-5</t>
  </si>
  <si>
    <t>50% AGAINST PROFORMA, 50% BEFORE COLLECTION</t>
  </si>
  <si>
    <t>7000 - CIUDAD DEL ESTE</t>
  </si>
  <si>
    <t>HOUDWL</t>
  </si>
  <si>
    <t>MYSSCR</t>
  </si>
  <si>
    <t>PASSWL</t>
  </si>
  <si>
    <t>TITAWL</t>
  </si>
  <si>
    <t>TOURWL</t>
  </si>
  <si>
    <t>TROPWL</t>
  </si>
  <si>
    <t>94</t>
  </si>
  <si>
    <t>Altezza Max 160cm</t>
  </si>
  <si>
    <t xml:space="preserve">ORDER #: 42697_x000D_
PALLET HEIGHTS:_x000D_
CONTACT REFERENCE:_x000D_
_x000D_
</t>
  </si>
  <si>
    <t>100x120x___(h)</t>
  </si>
  <si>
    <t>BEVERLY HILLS POLO CLUB PERFUMES</t>
  </si>
  <si>
    <t>VENTIMIGLIA, 30/10/2024</t>
  </si>
  <si>
    <t>150</t>
  </si>
  <si>
    <t>Sogedim</t>
  </si>
  <si>
    <t>31/10/24</t>
  </si>
  <si>
    <t>25/10/24</t>
  </si>
  <si>
    <t xml:space="preserve">CARTON HEIGHTS: 39x34x26(h) - 3.9Kg_x000D_
CONTACT REFERENCE:_x000D_
_x000D_
Manca l'AWB e non c'è modo per farcelo inviare da Fedex._x000D_
A mio avviso è comunque inutile dato che è una campionatura con valore fittizio della merce di €65,00_x000D_
</t>
  </si>
  <si>
    <t>Sogedim - Palletways</t>
  </si>
  <si>
    <t xml:space="preserve">PALLET HEIGHTS:_x000D_
CONTACT REFERENCE: Ilaria Scarabello_x000D_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</si>
</sst>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164" formatCode="_-* #,##0.00\ _€_-;\-* #,##0.00\ _€_-;_-* &quot;-&quot;??\ _€_-;_-@_-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_-&quot;€&quot;\ * #,##0.00_-;\-&quot;€&quot;\ * #,##0.00_-;_-&quot;€&quot;\ * &quot;-&quot;??_-;_-@_-"/>
    <numFmt numFmtId="168" formatCode="_(* #,##0_);_(* \(#,##0\);_(* &quot;-&quot;_);_(@_)"/>
    <numFmt numFmtId="169" formatCode="_(&quot;$&quot;* #,##0.00_);_(&quot;$&quot;* \(#,##0.00\);_(&quot;$&quot;* &quot;-&quot;??_);_(@_)"/>
    <numFmt numFmtId="170" formatCode="#,##0.00\ &quot;€&quot;"/>
    <numFmt numFmtId="171" formatCode="0.0"/>
    <numFmt numFmtId="172" formatCode="0.000"/>
    <numFmt numFmtId="173" formatCode="_ * #,##0.00_ ;_ * \-#,##0.00_ ;_ * &quot;-&quot;??_ ;_ @_ "/>
    <numFmt numFmtId="174" formatCode="_ &quot;€&quot;\ * #,##0.00_ ;_ &quot;€&quot;\ * \-#,##0.00_ ;_ &quot;€&quot;\ * &quot;-&quot;??_ ;_ @_ "/>
    <numFmt numFmtId="175" formatCode="_-[$€]\ * #,##0.00_-;_-[$€]\ * #,##0.00\-;_-[$€]\ * &quot;-&quot;??_-;_-@_-"/>
    <numFmt numFmtId="176" formatCode="\€\ #,##0.00_)"/>
    <numFmt numFmtId="177" formatCode="0\ &quot;Kg.&quot;"/>
    <numFmt numFmtId="178" formatCode="[$$-F0000]\ #,##0.00_)"/>
    <numFmt numFmtId="179" formatCode="[$$-F0000]#,##0.00;[Red]\-[$$-F0000]#,##0.00"/>
    <numFmt numFmtId="180" formatCode="0.00\ &quot;m³&quot;"/>
    <numFmt numFmtId="181" formatCode="0.0000"/>
    <numFmt numFmtId="182" formatCode="_-* #,##0.00\ [$€-410]_-;\-* #,##0.00\ [$€-410]_-;_-* &quot;-&quot;??\ [$€-410]_-;_-@_-"/>
    <numFmt numFmtId="183" formatCode="0;\-0;\-;@"/>
    <numFmt numFmtId="184" formatCode="#,##0.0\ &quot;Kg.&quot;"/>
    <numFmt numFmtId="185" formatCode="#,##0.000\ &quot;€&quot;"/>
    <numFmt numFmtId="186" formatCode="&quot;€&quot;#,##0.00"/>
    <numFmt numFmtId="187" formatCode="_-[$€-130000]* #,##0.00_-;\-[$€-130000]* #,##0.00_-;_-[$€-130000]* &quot;-&quot;??_-;_-@_-"/>
    <numFmt numFmtId="188" formatCode="m/d/yyyy"/>
    <numFmt numFmtId="189" formatCode="#,##0.000"/>
    <numFmt numFmtId="190" formatCode="_-[$£-809]* #,##0.00_-;\-[$£-809]* #,##0.00_-;_-[$£-809]* &quot;-&quot;??_-;_-@_-"/>
    <numFmt numFmtId="191" formatCode="_-[$€-410]* #,##0.00_-;\-[$€-410]* #,##0.00_-;_-[$€-410]* &quot;-&quot;??_-;_-@_-"/>
  </numFmts>
  <fonts count="8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Times New Roman"/>
      <family val="1"/>
    </font>
    <font>
      <sz val="16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8"/>
      <name val="Times New Roman"/>
      <family val="1"/>
    </font>
    <font>
      <u/>
      <sz val="12"/>
      <name val="Times New Roman"/>
      <family val="1"/>
    </font>
    <font>
      <sz val="16"/>
      <color indexed="10"/>
      <name val="Times New Roman"/>
      <family val="1"/>
    </font>
    <font>
      <b/>
      <sz val="10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8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6"/>
      <name val="Arial"/>
      <family val="2"/>
    </font>
    <font>
      <sz val="11"/>
      <name val="Times New Roman"/>
      <family val="1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Aptos SemiBold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b/>
      <sz val="11"/>
      <color indexed="8"/>
      <name val="Calibri"/>
      <family val="2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  <charset val="161"/>
      <scheme val="minor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7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10"/>
      <name val="Tahoma"/>
      <family val="2"/>
    </font>
    <font>
      <b/>
      <sz val="6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9"/>
      <color indexed="17"/>
      <name val="Tahoma"/>
      <family val="2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color indexed="57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6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theme="0"/>
      </top>
      <bottom/>
      <diagonal/>
    </border>
    <border>
      <left style="hair">
        <color indexed="64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 style="hair">
        <color indexed="64"/>
      </left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</borders>
  <cellStyleXfs count="352">
    <xf numFmtId="0" fontId="0" fillId="0" borderId="0"/>
    <xf numFmtId="166" fontId="1" fillId="0" borderId="0" applyFont="0" applyFill="0" applyBorder="0" applyAlignment="0" applyProtection="0"/>
    <xf numFmtId="0" fontId="15" fillId="0" borderId="0"/>
    <xf numFmtId="167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7" fontId="15" fillId="0" borderId="0" applyFont="0" applyFill="0" applyBorder="0" applyAlignment="0" applyProtection="0"/>
    <xf numFmtId="0" fontId="1" fillId="0" borderId="0"/>
    <xf numFmtId="166" fontId="15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5" fillId="0" borderId="0" applyFont="0" applyFill="0" applyBorder="0" applyAlignment="0" applyProtection="0"/>
    <xf numFmtId="169" fontId="1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6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9" fontId="16" fillId="0" borderId="0" applyFont="0" applyFill="0" applyBorder="0" applyAlignment="0" applyProtection="0"/>
    <xf numFmtId="167" fontId="15" fillId="0" borderId="0" applyFont="0" applyFill="0" applyBorder="0" applyAlignment="0" applyProtection="0"/>
    <xf numFmtId="166" fontId="16" fillId="0" borderId="0" applyFont="0" applyFill="0" applyBorder="0" applyAlignment="0" applyProtection="0"/>
    <xf numFmtId="0" fontId="15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49" fontId="25" fillId="19" borderId="28" applyAlignment="0"/>
    <xf numFmtId="49" fontId="25" fillId="20" borderId="29" applyAlignment="0">
      <protection locked="0"/>
    </xf>
    <xf numFmtId="49" fontId="25" fillId="20" borderId="29" applyAlignment="0">
      <protection locked="0"/>
    </xf>
    <xf numFmtId="0" fontId="20" fillId="3" borderId="0" applyNumberFormat="0" applyBorder="0" applyAlignment="0" applyProtection="0"/>
    <xf numFmtId="49" fontId="25" fillId="20" borderId="29" applyAlignment="0">
      <protection locked="0"/>
    </xf>
    <xf numFmtId="49" fontId="25" fillId="20" borderId="29" applyAlignment="0">
      <protection locked="0"/>
    </xf>
    <xf numFmtId="49" fontId="25" fillId="20" borderId="29" applyAlignment="0">
      <protection locked="0"/>
    </xf>
    <xf numFmtId="49" fontId="25" fillId="20" borderId="29" applyAlignment="0">
      <protection locked="0"/>
    </xf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9" fontId="25" fillId="21" borderId="28" applyAlignment="0"/>
    <xf numFmtId="49" fontId="26" fillId="22" borderId="4">
      <alignment horizontal="center" vertical="center"/>
    </xf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65" fontId="1" fillId="0" borderId="0" applyFont="0" applyFill="0" applyBorder="0" applyAlignment="0" applyProtection="0"/>
    <xf numFmtId="175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49" fontId="25" fillId="23" borderId="30" applyAlignment="0"/>
    <xf numFmtId="0" fontId="19" fillId="2" borderId="0" applyNumberFormat="0" applyBorder="0" applyAlignment="0">
      <protection locked="0"/>
    </xf>
    <xf numFmtId="0" fontId="19" fillId="2" borderId="0" applyNumberFormat="0" applyBorder="0" applyAlignment="0" applyProtection="0"/>
    <xf numFmtId="0" fontId="19" fillId="2" borderId="0" applyNumberFormat="0" applyBorder="0" applyAlignment="0">
      <protection locked="0"/>
    </xf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0" fontId="27" fillId="24" borderId="16">
      <alignment horizontal="left" vertical="top"/>
      <protection locked="0"/>
    </xf>
    <xf numFmtId="0" fontId="21" fillId="4" borderId="0" applyNumberFormat="0" applyBorder="0" applyAlignment="0">
      <protection locked="0"/>
    </xf>
    <xf numFmtId="0" fontId="21" fillId="4" borderId="0" applyNumberFormat="0" applyBorder="0" applyAlignment="0" applyProtection="0"/>
    <xf numFmtId="0" fontId="21" fillId="4" borderId="0" applyNumberFormat="0" applyBorder="0" applyAlignment="0">
      <protection locked="0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29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49" fontId="25" fillId="0" borderId="0">
      <protection locked="0"/>
    </xf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49" fontId="25" fillId="0" borderId="0">
      <protection locked="0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30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49" fontId="25" fillId="0" borderId="0">
      <protection locked="0"/>
    </xf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49" fontId="25" fillId="25" borderId="28" applyAlignment="0"/>
    <xf numFmtId="49" fontId="31" fillId="26" borderId="29">
      <alignment horizontal="center" wrapText="1"/>
    </xf>
    <xf numFmtId="49" fontId="31" fillId="26" borderId="29">
      <alignment horizontal="center" wrapText="1"/>
    </xf>
    <xf numFmtId="49" fontId="31" fillId="27" borderId="29">
      <alignment horizontal="center" wrapText="1"/>
    </xf>
    <xf numFmtId="49" fontId="31" fillId="27" borderId="29">
      <alignment horizontal="center" wrapText="1"/>
    </xf>
    <xf numFmtId="49" fontId="31" fillId="28" borderId="16">
      <alignment horizontal="center" wrapText="1"/>
    </xf>
    <xf numFmtId="49" fontId="31" fillId="29" borderId="29">
      <alignment horizontal="center" wrapText="1"/>
    </xf>
    <xf numFmtId="49" fontId="31" fillId="29" borderId="29">
      <alignment horizontal="center" wrapText="1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31" fillId="30" borderId="16">
      <alignment horizontal="center" wrapText="1"/>
    </xf>
    <xf numFmtId="49" fontId="31" fillId="21" borderId="16">
      <alignment horizontal="center" wrapText="1"/>
    </xf>
    <xf numFmtId="49" fontId="25" fillId="21" borderId="28" applyAlignment="0"/>
    <xf numFmtId="49" fontId="31" fillId="31" borderId="16">
      <alignment horizontal="center" wrapText="1"/>
    </xf>
    <xf numFmtId="0" fontId="15" fillId="0" borderId="0"/>
    <xf numFmtId="0" fontId="15" fillId="0" borderId="0"/>
    <xf numFmtId="49" fontId="25" fillId="0" borderId="0" applyFont="0" applyFill="0" applyBorder="0">
      <alignment wrapText="1"/>
    </xf>
    <xf numFmtId="0" fontId="32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49" fontId="25" fillId="32" borderId="29">
      <protection locked="0"/>
    </xf>
    <xf numFmtId="49" fontId="25" fillId="32" borderId="29">
      <protection locked="0"/>
    </xf>
    <xf numFmtId="0" fontId="33" fillId="0" borderId="0"/>
    <xf numFmtId="0" fontId="38" fillId="0" borderId="0"/>
    <xf numFmtId="9" fontId="1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5" fillId="0" borderId="0"/>
    <xf numFmtId="167" fontId="45" fillId="0" borderId="0" applyFont="0" applyFill="0" applyBorder="0" applyAlignment="0" applyProtection="0"/>
    <xf numFmtId="166" fontId="45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900">
    <xf numFmtId="0" fontId="0" fillId="0" borderId="0" xfId="0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170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 vertical="center"/>
    </xf>
    <xf numFmtId="0" fontId="1" fillId="0" borderId="0" xfId="41" applyAlignment="1">
      <alignment textRotation="90"/>
    </xf>
    <xf numFmtId="0" fontId="3" fillId="0" borderId="0" xfId="41" applyFont="1"/>
    <xf numFmtId="0" fontId="1" fillId="0" borderId="0" xfId="41"/>
    <xf numFmtId="0" fontId="4" fillId="0" borderId="0" xfId="41" applyFont="1"/>
    <xf numFmtId="0" fontId="5" fillId="0" borderId="0" xfId="41" applyFont="1"/>
    <xf numFmtId="0" fontId="7" fillId="0" borderId="9" xfId="41" applyFont="1" applyBorder="1" applyAlignment="1" applyProtection="1">
      <alignment vertical="center" shrinkToFit="1"/>
      <protection locked="0"/>
    </xf>
    <xf numFmtId="0" fontId="7" fillId="0" borderId="0" xfId="41" applyFont="1" applyAlignment="1" applyProtection="1">
      <alignment vertical="center" shrinkToFit="1"/>
      <protection locked="0"/>
    </xf>
    <xf numFmtId="0" fontId="7" fillId="0" borderId="10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11" xfId="41" applyFont="1" applyBorder="1" applyAlignment="1">
      <alignment vertical="center"/>
    </xf>
    <xf numFmtId="0" fontId="8" fillId="0" borderId="12" xfId="41" applyFont="1" applyBorder="1" applyAlignment="1" applyProtection="1">
      <alignment horizontal="center" vertical="center" shrinkToFit="1"/>
      <protection locked="0"/>
    </xf>
    <xf numFmtId="0" fontId="6" fillId="0" borderId="13" xfId="41" applyFont="1" applyBorder="1" applyAlignment="1">
      <alignment vertical="center"/>
    </xf>
    <xf numFmtId="0" fontId="6" fillId="0" borderId="1" xfId="41" applyFont="1" applyBorder="1" applyAlignment="1">
      <alignment vertical="center"/>
    </xf>
    <xf numFmtId="0" fontId="23" fillId="0" borderId="2" xfId="41" applyFont="1" applyBorder="1" applyAlignment="1" applyProtection="1">
      <alignment horizontal="center" vertical="center" shrinkToFit="1"/>
      <protection locked="0"/>
    </xf>
    <xf numFmtId="0" fontId="6" fillId="0" borderId="12" xfId="41" applyFont="1" applyBorder="1" applyAlignment="1">
      <alignment vertical="center"/>
    </xf>
    <xf numFmtId="0" fontId="6" fillId="0" borderId="3" xfId="41" applyFont="1" applyBorder="1"/>
    <xf numFmtId="0" fontId="6" fillId="0" borderId="4" xfId="41" applyFont="1" applyBorder="1"/>
    <xf numFmtId="0" fontId="6" fillId="0" borderId="5" xfId="41" applyFont="1" applyBorder="1"/>
    <xf numFmtId="0" fontId="8" fillId="0" borderId="6" xfId="41" applyFont="1" applyBorder="1" applyAlignment="1" applyProtection="1">
      <alignment vertical="center" shrinkToFit="1"/>
      <protection locked="0"/>
    </xf>
    <xf numFmtId="0" fontId="8" fillId="0" borderId="7" xfId="41" applyFont="1" applyBorder="1" applyAlignment="1" applyProtection="1">
      <alignment vertical="center" shrinkToFit="1"/>
      <protection locked="0"/>
    </xf>
    <xf numFmtId="0" fontId="8" fillId="0" borderId="8" xfId="41" applyFont="1" applyBorder="1" applyAlignment="1" applyProtection="1">
      <alignment vertical="center" shrinkToFit="1"/>
      <protection locked="0"/>
    </xf>
    <xf numFmtId="172" fontId="8" fillId="0" borderId="15" xfId="41" applyNumberFormat="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vertical="center" shrinkToFit="1"/>
      <protection locked="0"/>
    </xf>
    <xf numFmtId="0" fontId="9" fillId="0" borderId="0" xfId="41" applyFont="1" applyAlignment="1" applyProtection="1">
      <alignment vertical="center" shrinkToFit="1"/>
      <protection locked="0"/>
    </xf>
    <xf numFmtId="0" fontId="9" fillId="0" borderId="10" xfId="41" applyFont="1" applyBorder="1" applyAlignment="1" applyProtection="1">
      <alignment vertical="center" shrinkToFit="1"/>
      <protection locked="0"/>
    </xf>
    <xf numFmtId="172" fontId="9" fillId="0" borderId="15" xfId="41" applyNumberFormat="1" applyFont="1" applyBorder="1" applyAlignment="1" applyProtection="1">
      <alignment horizontal="center" vertical="center" shrinkToFit="1"/>
      <protection locked="0"/>
    </xf>
    <xf numFmtId="0" fontId="9" fillId="0" borderId="9" xfId="41" applyFont="1" applyBorder="1" applyAlignment="1" applyProtection="1">
      <alignment horizontal="left" vertical="center" shrinkToFit="1"/>
      <protection locked="0"/>
    </xf>
    <xf numFmtId="0" fontId="9" fillId="0" borderId="0" xfId="41" applyFont="1" applyAlignment="1" applyProtection="1">
      <alignment horizontal="left" vertical="center" shrinkToFit="1"/>
      <protection locked="0"/>
    </xf>
    <xf numFmtId="0" fontId="9" fillId="0" borderId="10" xfId="41" applyFont="1" applyBorder="1" applyAlignment="1" applyProtection="1">
      <alignment horizontal="left" vertical="center" shrinkToFit="1"/>
      <protection locked="0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15" xfId="41" applyFont="1" applyBorder="1" applyAlignment="1">
      <alignment vertical="top"/>
    </xf>
    <xf numFmtId="2" fontId="8" fillId="0" borderId="10" xfId="41" applyNumberFormat="1" applyFont="1" applyBorder="1" applyAlignment="1" applyProtection="1">
      <alignment shrinkToFit="1"/>
      <protection locked="0"/>
    </xf>
    <xf numFmtId="0" fontId="6" fillId="0" borderId="9" xfId="41" applyFont="1" applyBorder="1" applyAlignment="1">
      <alignment vertical="top"/>
    </xf>
    <xf numFmtId="0" fontId="9" fillId="0" borderId="15" xfId="41" applyFont="1" applyBorder="1" applyAlignment="1" applyProtection="1">
      <alignment horizontal="center" shrinkToFit="1"/>
      <protection locked="0"/>
    </xf>
    <xf numFmtId="0" fontId="8" fillId="0" borderId="2" xfId="41" applyFont="1" applyBorder="1" applyAlignment="1" applyProtection="1">
      <alignment shrinkToFit="1"/>
      <protection locked="0"/>
    </xf>
    <xf numFmtId="2" fontId="8" fillId="0" borderId="13" xfId="41" applyNumberFormat="1" applyFont="1" applyBorder="1" applyAlignment="1" applyProtection="1">
      <alignment shrinkToFit="1"/>
      <protection locked="0"/>
    </xf>
    <xf numFmtId="0" fontId="1" fillId="0" borderId="10" xfId="41" applyBorder="1" applyAlignment="1">
      <alignment textRotation="90"/>
    </xf>
    <xf numFmtId="170" fontId="0" fillId="0" borderId="0" xfId="0" applyNumberForma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center"/>
    </xf>
    <xf numFmtId="0" fontId="15" fillId="0" borderId="0" xfId="2"/>
    <xf numFmtId="0" fontId="15" fillId="0" borderId="0" xfId="2" applyAlignment="1">
      <alignment horizontal="center"/>
    </xf>
    <xf numFmtId="0" fontId="15" fillId="0" borderId="0" xfId="2" applyAlignment="1">
      <alignment horizontal="center" vertical="center"/>
    </xf>
    <xf numFmtId="0" fontId="16" fillId="0" borderId="0" xfId="2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70" fontId="0" fillId="0" borderId="0" xfId="0" applyNumberFormat="1"/>
    <xf numFmtId="170" fontId="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34" fillId="0" borderId="0" xfId="0" applyFont="1"/>
    <xf numFmtId="0" fontId="9" fillId="0" borderId="9" xfId="41" applyFont="1" applyBorder="1" applyAlignment="1" applyProtection="1">
      <alignment vertical="center"/>
      <protection locked="0"/>
    </xf>
    <xf numFmtId="0" fontId="9" fillId="0" borderId="9" xfId="41" applyFont="1" applyBorder="1" applyAlignment="1" applyProtection="1">
      <alignment horizontal="left" vertical="center"/>
      <protection locked="0"/>
    </xf>
    <xf numFmtId="2" fontId="9" fillId="0" borderId="15" xfId="41" applyNumberFormat="1" applyFont="1" applyBorder="1" applyAlignment="1" applyProtection="1">
      <alignment horizontal="center" vertical="center" shrinkToFit="1"/>
      <protection locked="0"/>
    </xf>
    <xf numFmtId="2" fontId="9" fillId="0" borderId="2" xfId="41" applyNumberFormat="1" applyFont="1" applyBorder="1" applyAlignment="1" applyProtection="1">
      <alignment horizontal="center" vertical="center" shrinkToFit="1"/>
      <protection locked="0"/>
    </xf>
    <xf numFmtId="0" fontId="0" fillId="34" borderId="0" xfId="0" applyFill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0" fontId="0" fillId="34" borderId="0" xfId="0" applyFill="1"/>
    <xf numFmtId="0" fontId="0" fillId="35" borderId="32" xfId="0" applyFill="1" applyBorder="1"/>
    <xf numFmtId="0" fontId="0" fillId="35" borderId="33" xfId="0" applyFill="1" applyBorder="1"/>
    <xf numFmtId="0" fontId="0" fillId="35" borderId="0" xfId="0" applyFill="1"/>
    <xf numFmtId="0" fontId="0" fillId="35" borderId="35" xfId="0" applyFill="1" applyBorder="1"/>
    <xf numFmtId="0" fontId="0" fillId="35" borderId="37" xfId="0" applyFill="1" applyBorder="1"/>
    <xf numFmtId="0" fontId="0" fillId="35" borderId="38" xfId="0" applyFill="1" applyBorder="1"/>
    <xf numFmtId="0" fontId="0" fillId="35" borderId="34" xfId="0" applyFill="1" applyBorder="1" applyAlignment="1">
      <alignment horizontal="right"/>
    </xf>
    <xf numFmtId="0" fontId="2" fillId="35" borderId="40" xfId="0" applyFont="1" applyFill="1" applyBorder="1" applyAlignment="1">
      <alignment horizontal="center"/>
    </xf>
    <xf numFmtId="0" fontId="2" fillId="35" borderId="41" xfId="0" applyFont="1" applyFill="1" applyBorder="1" applyAlignment="1">
      <alignment horizontal="center"/>
    </xf>
    <xf numFmtId="0" fontId="0" fillId="35" borderId="36" xfId="0" applyFill="1" applyBorder="1" applyAlignment="1">
      <alignment horizontal="right"/>
    </xf>
    <xf numFmtId="0" fontId="0" fillId="35" borderId="0" xfId="0" applyFill="1" applyAlignment="1">
      <alignment horizontal="right"/>
    </xf>
    <xf numFmtId="0" fontId="41" fillId="35" borderId="31" xfId="0" applyFont="1" applyFill="1" applyBorder="1"/>
    <xf numFmtId="0" fontId="41" fillId="35" borderId="34" xfId="0" applyFont="1" applyFill="1" applyBorder="1" applyAlignment="1">
      <alignment horizontal="right"/>
    </xf>
    <xf numFmtId="0" fontId="41" fillId="35" borderId="34" xfId="0" applyFont="1" applyFill="1" applyBorder="1" applyAlignment="1">
      <alignment vertical="center"/>
    </xf>
    <xf numFmtId="0" fontId="41" fillId="35" borderId="34" xfId="0" applyFont="1" applyFill="1" applyBorder="1" applyAlignment="1">
      <alignment vertical="top" wrapText="1"/>
    </xf>
    <xf numFmtId="0" fontId="41" fillId="35" borderId="34" xfId="0" applyFont="1" applyFill="1" applyBorder="1" applyAlignment="1">
      <alignment horizontal="right" vertical="top"/>
    </xf>
    <xf numFmtId="0" fontId="41" fillId="35" borderId="34" xfId="0" applyFont="1" applyFill="1" applyBorder="1" applyAlignment="1">
      <alignment vertical="top"/>
    </xf>
    <xf numFmtId="0" fontId="40" fillId="35" borderId="34" xfId="0" applyFont="1" applyFill="1" applyBorder="1" applyAlignment="1">
      <alignment horizontal="right"/>
    </xf>
    <xf numFmtId="0" fontId="40" fillId="35" borderId="36" xfId="0" applyFont="1" applyFill="1" applyBorder="1"/>
    <xf numFmtId="0" fontId="0" fillId="35" borderId="32" xfId="0" applyFill="1" applyBorder="1" applyAlignment="1">
      <alignment horizontal="left"/>
    </xf>
    <xf numFmtId="0" fontId="0" fillId="35" borderId="0" xfId="0" applyFill="1" applyAlignment="1">
      <alignment horizontal="left"/>
    </xf>
    <xf numFmtId="0" fontId="2" fillId="35" borderId="39" xfId="0" applyFont="1" applyFill="1" applyBorder="1" applyAlignment="1">
      <alignment horizontal="center" vertical="center"/>
    </xf>
    <xf numFmtId="0" fontId="2" fillId="35" borderId="40" xfId="0" applyFont="1" applyFill="1" applyBorder="1" applyAlignment="1">
      <alignment horizontal="center" vertical="center"/>
    </xf>
    <xf numFmtId="170" fontId="2" fillId="35" borderId="40" xfId="0" applyNumberFormat="1" applyFont="1" applyFill="1" applyBorder="1" applyAlignment="1">
      <alignment horizontal="center" vertical="center"/>
    </xf>
    <xf numFmtId="170" fontId="2" fillId="35" borderId="41" xfId="0" applyNumberFormat="1" applyFont="1" applyFill="1" applyBorder="1" applyAlignment="1">
      <alignment horizontal="center" vertical="center"/>
    </xf>
    <xf numFmtId="0" fontId="0" fillId="35" borderId="36" xfId="0" applyFill="1" applyBorder="1"/>
    <xf numFmtId="0" fontId="0" fillId="35" borderId="31" xfId="0" applyFill="1" applyBorder="1"/>
    <xf numFmtId="1" fontId="0" fillId="0" borderId="0" xfId="0" applyNumberFormat="1"/>
    <xf numFmtId="0" fontId="2" fillId="35" borderId="45" xfId="0" applyFont="1" applyFill="1" applyBorder="1" applyAlignment="1">
      <alignment horizontal="center"/>
    </xf>
    <xf numFmtId="2" fontId="2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35" borderId="37" xfId="0" applyFill="1" applyBorder="1" applyAlignment="1">
      <alignment horizontal="right"/>
    </xf>
    <xf numFmtId="0" fontId="0" fillId="35" borderId="0" xfId="0" applyFill="1" applyAlignment="1">
      <alignment horizontal="right" vertical="center"/>
    </xf>
    <xf numFmtId="0" fontId="0" fillId="35" borderId="0" xfId="0" applyFill="1" applyAlignment="1">
      <alignment horizontal="right" shrinkToFit="1"/>
    </xf>
    <xf numFmtId="0" fontId="2" fillId="0" borderId="40" xfId="0" applyFont="1" applyBorder="1" applyAlignment="1">
      <alignment horizontal="left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1" fontId="2" fillId="35" borderId="40" xfId="0" applyNumberFormat="1" applyFont="1" applyFill="1" applyBorder="1" applyAlignment="1">
      <alignment horizontal="center" vertical="center"/>
    </xf>
    <xf numFmtId="0" fontId="15" fillId="0" borderId="20" xfId="2" applyBorder="1" applyAlignment="1">
      <alignment vertical="center"/>
    </xf>
    <xf numFmtId="0" fontId="15" fillId="0" borderId="0" xfId="2" applyAlignment="1">
      <alignment vertical="center"/>
    </xf>
    <xf numFmtId="0" fontId="15" fillId="0" borderId="0" xfId="2" applyAlignment="1">
      <alignment horizontal="right" vertical="center"/>
    </xf>
    <xf numFmtId="0" fontId="15" fillId="0" borderId="0" xfId="2" applyAlignment="1">
      <alignment horizontal="left" vertical="center"/>
    </xf>
    <xf numFmtId="0" fontId="15" fillId="0" borderId="21" xfId="2" applyBorder="1" applyAlignment="1">
      <alignment vertical="center"/>
    </xf>
    <xf numFmtId="0" fontId="16" fillId="0" borderId="14" xfId="2" applyFont="1" applyBorder="1" applyAlignment="1">
      <alignment horizontal="left" vertical="center" indent="1"/>
    </xf>
    <xf numFmtId="0" fontId="16" fillId="0" borderId="0" xfId="2" applyFont="1" applyAlignment="1">
      <alignment vertical="center"/>
    </xf>
    <xf numFmtId="0" fontId="15" fillId="0" borderId="14" xfId="2" applyBorder="1" applyAlignment="1">
      <alignment horizontal="left" vertical="center" indent="1"/>
    </xf>
    <xf numFmtId="0" fontId="15" fillId="0" borderId="23" xfId="2" applyBorder="1" applyAlignment="1">
      <alignment vertical="center"/>
    </xf>
    <xf numFmtId="0" fontId="15" fillId="0" borderId="23" xfId="2" applyBorder="1" applyAlignment="1">
      <alignment horizontal="right" vertical="center"/>
    </xf>
    <xf numFmtId="0" fontId="15" fillId="0" borderId="23" xfId="2" applyBorder="1" applyAlignment="1">
      <alignment horizontal="left" vertical="center"/>
    </xf>
    <xf numFmtId="0" fontId="15" fillId="0" borderId="24" xfId="2" applyBorder="1" applyAlignment="1">
      <alignment vertical="center"/>
    </xf>
    <xf numFmtId="0" fontId="15" fillId="0" borderId="22" xfId="2" applyBorder="1" applyAlignment="1">
      <alignment horizontal="left" vertical="center" indent="1"/>
    </xf>
    <xf numFmtId="0" fontId="17" fillId="0" borderId="0" xfId="2" applyFont="1" applyAlignment="1">
      <alignment vertical="center"/>
    </xf>
    <xf numFmtId="0" fontId="22" fillId="0" borderId="0" xfId="2" applyFont="1" applyAlignment="1">
      <alignment vertical="center"/>
    </xf>
    <xf numFmtId="0" fontId="3" fillId="0" borderId="0" xfId="2" applyFont="1" applyAlignment="1">
      <alignment vertical="center"/>
    </xf>
    <xf numFmtId="0" fontId="22" fillId="0" borderId="46" xfId="2" applyFont="1" applyBorder="1" applyAlignment="1">
      <alignment horizontal="center" vertical="center" wrapText="1"/>
    </xf>
    <xf numFmtId="0" fontId="22" fillId="0" borderId="46" xfId="2" applyFont="1" applyBorder="1" applyAlignment="1">
      <alignment horizontal="center" vertical="center"/>
    </xf>
    <xf numFmtId="179" fontId="15" fillId="0" borderId="0" xfId="2" applyNumberFormat="1" applyAlignment="1">
      <alignment vertical="center"/>
    </xf>
    <xf numFmtId="179" fontId="15" fillId="0" borderId="0" xfId="2" applyNumberFormat="1" applyAlignment="1">
      <alignment horizontal="right" vertical="center"/>
    </xf>
    <xf numFmtId="179" fontId="15" fillId="0" borderId="0" xfId="2" applyNumberFormat="1" applyAlignment="1">
      <alignment horizontal="center" vertical="center"/>
    </xf>
    <xf numFmtId="0" fontId="22" fillId="0" borderId="19" xfId="2" applyFont="1" applyBorder="1" applyAlignment="1">
      <alignment vertical="top"/>
    </xf>
    <xf numFmtId="14" fontId="0" fillId="34" borderId="0" xfId="0" applyNumberFormat="1" applyFill="1" applyAlignment="1">
      <alignment horizontal="center"/>
    </xf>
    <xf numFmtId="14" fontId="2" fillId="35" borderId="40" xfId="0" applyNumberFormat="1" applyFont="1" applyFill="1" applyBorder="1" applyAlignment="1">
      <alignment horizontal="center"/>
    </xf>
    <xf numFmtId="0" fontId="0" fillId="36" borderId="29" xfId="0" applyFill="1" applyBorder="1" applyProtection="1">
      <protection locked="0"/>
    </xf>
    <xf numFmtId="14" fontId="0" fillId="36" borderId="29" xfId="0" applyNumberFormat="1" applyFill="1" applyBorder="1" applyAlignment="1" applyProtection="1">
      <alignment horizontal="center"/>
      <protection locked="0"/>
    </xf>
    <xf numFmtId="0" fontId="9" fillId="0" borderId="0" xfId="0" applyFont="1"/>
    <xf numFmtId="0" fontId="7" fillId="0" borderId="9" xfId="41" applyFont="1" applyBorder="1" applyAlignment="1" applyProtection="1">
      <alignment horizontal="left" vertical="center"/>
      <protection locked="0"/>
    </xf>
    <xf numFmtId="1" fontId="0" fillId="36" borderId="29" xfId="0" applyNumberFormat="1" applyFill="1" applyBorder="1" applyAlignment="1" applyProtection="1">
      <alignment horizontal="center"/>
      <protection locked="0"/>
    </xf>
    <xf numFmtId="181" fontId="2" fillId="0" borderId="0" xfId="0" applyNumberFormat="1" applyFont="1" applyAlignment="1">
      <alignment horizontal="center" vertical="center" wrapText="1"/>
    </xf>
    <xf numFmtId="181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 vertical="center"/>
    </xf>
    <xf numFmtId="14" fontId="46" fillId="0" borderId="0" xfId="0" applyNumberFormat="1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8" fillId="0" borderId="0" xfId="0" applyFont="1" applyAlignment="1">
      <alignment horizontal="center" shrinkToFit="1"/>
    </xf>
    <xf numFmtId="0" fontId="51" fillId="0" borderId="0" xfId="0" applyFont="1" applyAlignment="1">
      <alignment vertical="center"/>
    </xf>
    <xf numFmtId="0" fontId="51" fillId="0" borderId="0" xfId="0" applyFont="1" applyAlignment="1">
      <alignment horizontal="left" vertical="center"/>
    </xf>
    <xf numFmtId="0" fontId="17" fillId="0" borderId="22" xfId="2" applyFont="1" applyBorder="1" applyAlignment="1">
      <alignment vertical="center"/>
    </xf>
    <xf numFmtId="0" fontId="22" fillId="0" borderId="19" xfId="40" applyFont="1" applyBorder="1" applyAlignment="1">
      <alignment horizontal="left" vertical="top"/>
    </xf>
    <xf numFmtId="0" fontId="22" fillId="0" borderId="47" xfId="2" applyFont="1" applyBorder="1" applyAlignment="1">
      <alignment horizontal="center" vertical="center" wrapText="1"/>
    </xf>
    <xf numFmtId="0" fontId="24" fillId="0" borderId="14" xfId="2" applyFont="1" applyBorder="1" applyAlignment="1">
      <alignment horizontal="left" vertical="center"/>
    </xf>
    <xf numFmtId="0" fontId="37" fillId="0" borderId="14" xfId="2" applyFont="1" applyBorder="1" applyAlignment="1">
      <alignment horizontal="left" vertical="center"/>
    </xf>
    <xf numFmtId="0" fontId="37" fillId="0" borderId="0" xfId="2" applyFont="1" applyAlignment="1">
      <alignment horizontal="right" vertical="center"/>
    </xf>
    <xf numFmtId="0" fontId="37" fillId="0" borderId="26" xfId="2" applyFont="1" applyBorder="1" applyAlignment="1">
      <alignment horizontal="center" vertical="center"/>
    </xf>
    <xf numFmtId="1" fontId="37" fillId="0" borderId="26" xfId="2" applyNumberFormat="1" applyFont="1" applyBorder="1" applyAlignment="1">
      <alignment horizontal="center" vertical="center"/>
    </xf>
    <xf numFmtId="0" fontId="24" fillId="0" borderId="26" xfId="2" applyFont="1" applyBorder="1" applyAlignment="1">
      <alignment vertical="center"/>
    </xf>
    <xf numFmtId="0" fontId="24" fillId="0" borderId="14" xfId="2" applyFont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171" fontId="24" fillId="0" borderId="0" xfId="2" applyNumberFormat="1" applyFont="1" applyAlignment="1">
      <alignment horizontal="center" vertical="center"/>
    </xf>
    <xf numFmtId="0" fontId="24" fillId="0" borderId="21" xfId="2" applyFont="1" applyBorder="1" applyAlignment="1">
      <alignment vertical="center"/>
    </xf>
    <xf numFmtId="4" fontId="24" fillId="0" borderId="26" xfId="2" applyNumberFormat="1" applyFont="1" applyBorder="1" applyAlignment="1">
      <alignment horizontal="center" vertical="center"/>
    </xf>
    <xf numFmtId="3" fontId="24" fillId="0" borderId="26" xfId="2" applyNumberFormat="1" applyFont="1" applyBorder="1" applyAlignment="1">
      <alignment horizontal="center" vertical="center"/>
    </xf>
    <xf numFmtId="1" fontId="24" fillId="0" borderId="26" xfId="5" applyNumberFormat="1" applyFont="1" applyFill="1" applyBorder="1" applyAlignment="1" applyProtection="1">
      <alignment horizontal="center" vertical="center"/>
    </xf>
    <xf numFmtId="0" fontId="24" fillId="0" borderId="26" xfId="2" applyFont="1" applyBorder="1" applyAlignment="1">
      <alignment horizontal="center" vertical="center"/>
    </xf>
    <xf numFmtId="0" fontId="22" fillId="0" borderId="18" xfId="40" applyFont="1" applyBorder="1" applyAlignment="1">
      <alignment vertical="top"/>
    </xf>
    <xf numFmtId="0" fontId="22" fillId="0" borderId="19" xfId="40" applyFont="1" applyBorder="1" applyAlignment="1">
      <alignment vertical="top"/>
    </xf>
    <xf numFmtId="0" fontId="22" fillId="0" borderId="19" xfId="40" applyFont="1" applyBorder="1" applyAlignment="1">
      <alignment horizontal="right" vertical="top"/>
    </xf>
    <xf numFmtId="0" fontId="22" fillId="0" borderId="20" xfId="40" applyFont="1" applyBorder="1" applyAlignment="1">
      <alignment vertical="top"/>
    </xf>
    <xf numFmtId="0" fontId="15" fillId="0" borderId="22" xfId="40" applyBorder="1" applyAlignment="1">
      <alignment vertical="center"/>
    </xf>
    <xf numFmtId="0" fontId="15" fillId="0" borderId="23" xfId="40" applyBorder="1" applyAlignment="1">
      <alignment vertical="center"/>
    </xf>
    <xf numFmtId="0" fontId="15" fillId="0" borderId="23" xfId="40" applyBorder="1" applyAlignment="1">
      <alignment horizontal="right" vertical="center"/>
    </xf>
    <xf numFmtId="0" fontId="22" fillId="0" borderId="14" xfId="40" applyFont="1" applyBorder="1" applyAlignment="1">
      <alignment vertical="top"/>
    </xf>
    <xf numFmtId="0" fontId="22" fillId="0" borderId="21" xfId="40" applyFont="1" applyBorder="1" applyAlignment="1">
      <alignment vertical="top"/>
    </xf>
    <xf numFmtId="0" fontId="22" fillId="0" borderId="14" xfId="40" applyFont="1" applyBorder="1" applyAlignment="1">
      <alignment horizontal="left" vertical="top"/>
    </xf>
    <xf numFmtId="0" fontId="22" fillId="0" borderId="21" xfId="40" applyFont="1" applyBorder="1" applyAlignment="1">
      <alignment horizontal="right" vertical="top"/>
    </xf>
    <xf numFmtId="0" fontId="22" fillId="0" borderId="18" xfId="40" applyFont="1" applyBorder="1" applyAlignment="1">
      <alignment horizontal="left" vertical="top"/>
    </xf>
    <xf numFmtId="0" fontId="22" fillId="0" borderId="20" xfId="2" applyFont="1" applyBorder="1" applyAlignment="1">
      <alignment vertical="center"/>
    </xf>
    <xf numFmtId="0" fontId="22" fillId="0" borderId="20" xfId="40" applyFont="1" applyBorder="1" applyAlignment="1">
      <alignment horizontal="left" vertical="top"/>
    </xf>
    <xf numFmtId="0" fontId="22" fillId="0" borderId="20" xfId="40" applyFont="1" applyBorder="1" applyAlignment="1">
      <alignment horizontal="right" vertical="top"/>
    </xf>
    <xf numFmtId="0" fontId="15" fillId="0" borderId="14" xfId="40" applyBorder="1" applyAlignment="1">
      <alignment horizontal="left" vertical="center"/>
    </xf>
    <xf numFmtId="0" fontId="15" fillId="0" borderId="0" xfId="40" applyAlignment="1">
      <alignment vertical="center"/>
    </xf>
    <xf numFmtId="0" fontId="15" fillId="0" borderId="21" xfId="40" applyBorder="1" applyAlignment="1">
      <alignment vertical="center"/>
    </xf>
    <xf numFmtId="0" fontId="15" fillId="0" borderId="19" xfId="40" applyBorder="1" applyAlignment="1">
      <alignment vertical="center"/>
    </xf>
    <xf numFmtId="0" fontId="9" fillId="0" borderId="14" xfId="40" applyFont="1" applyBorder="1" applyAlignment="1">
      <alignment horizontal="left" vertical="center"/>
    </xf>
    <xf numFmtId="0" fontId="9" fillId="0" borderId="0" xfId="40" applyFont="1" applyAlignment="1">
      <alignment vertical="center"/>
    </xf>
    <xf numFmtId="0" fontId="9" fillId="0" borderId="0" xfId="40" applyFont="1" applyAlignment="1">
      <alignment horizontal="center" vertical="center"/>
    </xf>
    <xf numFmtId="0" fontId="9" fillId="0" borderId="21" xfId="40" applyFont="1" applyBorder="1" applyAlignment="1">
      <alignment horizontal="left" vertical="center"/>
    </xf>
    <xf numFmtId="0" fontId="15" fillId="0" borderId="14" xfId="40" applyBorder="1" applyAlignment="1">
      <alignment vertical="center"/>
    </xf>
    <xf numFmtId="0" fontId="15" fillId="0" borderId="0" xfId="40" applyAlignment="1">
      <alignment horizontal="left" vertical="center"/>
    </xf>
    <xf numFmtId="0" fontId="15" fillId="0" borderId="0" xfId="40" applyAlignment="1">
      <alignment horizontal="right" vertical="center"/>
    </xf>
    <xf numFmtId="0" fontId="9" fillId="0" borderId="22" xfId="40" applyFont="1" applyBorder="1" applyAlignment="1">
      <alignment horizontal="left" vertical="center"/>
    </xf>
    <xf numFmtId="0" fontId="9" fillId="0" borderId="23" xfId="40" applyFont="1" applyBorder="1" applyAlignment="1">
      <alignment vertical="center"/>
    </xf>
    <xf numFmtId="0" fontId="9" fillId="0" borderId="24" xfId="40" applyFont="1" applyBorder="1" applyAlignment="1">
      <alignment horizontal="left" vertical="center"/>
    </xf>
    <xf numFmtId="0" fontId="37" fillId="0" borderId="18" xfId="2" applyFont="1" applyBorder="1" applyAlignment="1">
      <alignment vertical="center"/>
    </xf>
    <xf numFmtId="0" fontId="16" fillId="0" borderId="0" xfId="2" applyFont="1" applyAlignment="1">
      <alignment horizontal="center" vertical="center" wrapText="1"/>
    </xf>
    <xf numFmtId="2" fontId="15" fillId="0" borderId="0" xfId="2" applyNumberFormat="1" applyAlignment="1">
      <alignment horizontal="center" vertical="center"/>
    </xf>
    <xf numFmtId="171" fontId="15" fillId="0" borderId="0" xfId="2" applyNumberFormat="1" applyAlignment="1">
      <alignment vertical="center"/>
    </xf>
    <xf numFmtId="171" fontId="37" fillId="0" borderId="26" xfId="2" applyNumberFormat="1" applyFont="1" applyBorder="1" applyAlignment="1">
      <alignment horizontal="center" vertical="center"/>
    </xf>
    <xf numFmtId="171" fontId="24" fillId="0" borderId="26" xfId="2" applyNumberFormat="1" applyFont="1" applyBorder="1" applyAlignment="1">
      <alignment horizontal="left" vertical="center"/>
    </xf>
    <xf numFmtId="171" fontId="24" fillId="0" borderId="14" xfId="3" applyNumberFormat="1" applyFont="1" applyFill="1" applyBorder="1" applyAlignment="1" applyProtection="1">
      <alignment horizontal="center" vertical="center"/>
    </xf>
    <xf numFmtId="171" fontId="24" fillId="0" borderId="26" xfId="2" applyNumberFormat="1" applyFont="1" applyBorder="1" applyAlignment="1">
      <alignment horizontal="center" vertical="center"/>
    </xf>
    <xf numFmtId="0" fontId="2" fillId="0" borderId="29" xfId="0" applyFont="1" applyBorder="1" applyAlignment="1">
      <alignment vertical="center"/>
    </xf>
    <xf numFmtId="3" fontId="2" fillId="0" borderId="29" xfId="0" applyNumberFormat="1" applyFont="1" applyBorder="1" applyAlignment="1">
      <alignment vertical="center"/>
    </xf>
    <xf numFmtId="1" fontId="2" fillId="33" borderId="29" xfId="344" applyNumberFormat="1" applyFont="1" applyFill="1" applyBorder="1" applyAlignment="1">
      <alignment horizontal="right" vertical="center"/>
    </xf>
    <xf numFmtId="180" fontId="2" fillId="0" borderId="29" xfId="0" applyNumberFormat="1" applyFont="1" applyBorder="1"/>
    <xf numFmtId="0" fontId="22" fillId="0" borderId="0" xfId="2" applyFont="1" applyAlignment="1">
      <alignment vertical="top"/>
    </xf>
    <xf numFmtId="164" fontId="15" fillId="0" borderId="0" xfId="347" applyFont="1" applyFill="1" applyAlignment="1">
      <alignment vertical="center"/>
    </xf>
    <xf numFmtId="0" fontId="0" fillId="18" borderId="0" xfId="0" applyFill="1"/>
    <xf numFmtId="171" fontId="9" fillId="0" borderId="9" xfId="41" applyNumberFormat="1" applyFont="1" applyBorder="1" applyAlignment="1" applyProtection="1">
      <alignment horizontal="center" vertical="center" shrinkToFit="1"/>
      <protection locked="0"/>
    </xf>
    <xf numFmtId="171" fontId="8" fillId="0" borderId="6" xfId="41" applyNumberFormat="1" applyFont="1" applyBorder="1" applyAlignment="1" applyProtection="1">
      <alignment vertical="center" shrinkToFit="1"/>
      <protection locked="0"/>
    </xf>
    <xf numFmtId="171" fontId="9" fillId="0" borderId="11" xfId="41" applyNumberFormat="1" applyFont="1" applyBorder="1" applyAlignment="1" applyProtection="1">
      <alignment horizontal="center" vertical="center" shrinkToFit="1"/>
      <protection locked="0"/>
    </xf>
    <xf numFmtId="171" fontId="9" fillId="0" borderId="11" xfId="42" applyNumberFormat="1" applyFont="1" applyBorder="1" applyAlignment="1" applyProtection="1">
      <alignment horizontal="center" vertical="center" shrinkToFit="1"/>
      <protection locked="0"/>
    </xf>
    <xf numFmtId="1" fontId="1" fillId="0" borderId="0" xfId="41" applyNumberFormat="1"/>
    <xf numFmtId="0" fontId="1" fillId="0" borderId="0" xfId="41" applyAlignment="1">
      <alignment vertical="center"/>
    </xf>
    <xf numFmtId="0" fontId="5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" fillId="0" borderId="14" xfId="0" applyFont="1" applyBorder="1" applyAlignment="1">
      <alignment horizontal="center"/>
    </xf>
    <xf numFmtId="0" fontId="1" fillId="0" borderId="21" xfId="0" applyFont="1" applyBorder="1"/>
    <xf numFmtId="0" fontId="1" fillId="0" borderId="26" xfId="0" applyFont="1" applyBorder="1" applyAlignment="1">
      <alignment horizontal="center"/>
    </xf>
    <xf numFmtId="0" fontId="24" fillId="0" borderId="18" xfId="2" applyFont="1" applyBorder="1" applyAlignment="1">
      <alignment horizontal="center" vertical="center" wrapText="1"/>
    </xf>
    <xf numFmtId="0" fontId="24" fillId="0" borderId="19" xfId="2" applyFont="1" applyBorder="1" applyAlignment="1">
      <alignment horizontal="center" vertical="center" wrapText="1"/>
    </xf>
    <xf numFmtId="0" fontId="24" fillId="0" borderId="20" xfId="2" applyFont="1" applyBorder="1" applyAlignment="1">
      <alignment horizontal="center" vertical="center" wrapText="1"/>
    </xf>
    <xf numFmtId="0" fontId="24" fillId="0" borderId="25" xfId="2" applyFont="1" applyBorder="1" applyAlignment="1">
      <alignment horizontal="center" vertical="center"/>
    </xf>
    <xf numFmtId="178" fontId="17" fillId="0" borderId="23" xfId="2" applyNumberFormat="1" applyFont="1" applyBorder="1" applyAlignment="1">
      <alignment horizontal="left" vertical="center"/>
    </xf>
    <xf numFmtId="178" fontId="17" fillId="0" borderId="24" xfId="2" applyNumberFormat="1" applyFont="1" applyBorder="1" applyAlignment="1">
      <alignment horizontal="left" vertical="center"/>
    </xf>
    <xf numFmtId="0" fontId="15" fillId="0" borderId="18" xfId="2" applyBorder="1" applyAlignment="1">
      <alignment vertical="top"/>
    </xf>
    <xf numFmtId="0" fontId="15" fillId="0" borderId="19" xfId="2" applyBorder="1" applyAlignment="1">
      <alignment vertical="top"/>
    </xf>
    <xf numFmtId="0" fontId="17" fillId="0" borderId="22" xfId="2" applyFont="1" applyBorder="1" applyAlignment="1">
      <alignment horizontal="left" vertical="center"/>
    </xf>
    <xf numFmtId="0" fontId="17" fillId="0" borderId="23" xfId="2" applyFont="1" applyBorder="1" applyAlignment="1">
      <alignment horizontal="left" vertical="center"/>
    </xf>
    <xf numFmtId="0" fontId="1" fillId="0" borderId="0" xfId="0" applyFont="1" applyAlignment="1">
      <alignment horizontal="right"/>
    </xf>
    <xf numFmtId="1" fontId="2" fillId="0" borderId="0" xfId="0" applyNumberFormat="1" applyFont="1" applyAlignment="1">
      <alignment horizontal="left"/>
    </xf>
    <xf numFmtId="184" fontId="2" fillId="0" borderId="29" xfId="0" applyNumberFormat="1" applyFont="1" applyBorder="1"/>
    <xf numFmtId="176" fontId="0" fillId="35" borderId="0" xfId="0" applyNumberFormat="1" applyFill="1" applyAlignment="1">
      <alignment horizontal="right"/>
    </xf>
    <xf numFmtId="0" fontId="16" fillId="0" borderId="0" xfId="2" applyFont="1" applyAlignment="1">
      <alignment horizontal="right" vertical="center" wrapText="1"/>
    </xf>
    <xf numFmtId="49" fontId="15" fillId="0" borderId="0" xfId="2" applyNumberFormat="1" applyAlignment="1">
      <alignment horizontal="center" vertical="center"/>
    </xf>
    <xf numFmtId="172" fontId="2" fillId="0" borderId="0" xfId="0" applyNumberFormat="1" applyFont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/>
    </xf>
    <xf numFmtId="49" fontId="16" fillId="0" borderId="0" xfId="2" applyNumberFormat="1" applyFont="1" applyAlignment="1">
      <alignment horizontal="center" vertical="top" wrapText="1"/>
    </xf>
    <xf numFmtId="3" fontId="2" fillId="0" borderId="0" xfId="0" applyNumberFormat="1" applyFon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49" fontId="1" fillId="0" borderId="26" xfId="0" applyNumberFormat="1" applyFont="1" applyBorder="1" applyAlignment="1">
      <alignment horizontal="center"/>
    </xf>
    <xf numFmtId="0" fontId="16" fillId="0" borderId="0" xfId="2" applyFont="1" applyAlignment="1">
      <alignment horizontal="left" vertical="center"/>
    </xf>
    <xf numFmtId="0" fontId="16" fillId="0" borderId="23" xfId="2" applyFont="1" applyBorder="1" applyAlignment="1">
      <alignment horizontal="left" vertical="center"/>
    </xf>
    <xf numFmtId="3" fontId="2" fillId="0" borderId="0" xfId="0" applyNumberFormat="1" applyFont="1" applyAlignment="1">
      <alignment horizontal="left"/>
    </xf>
    <xf numFmtId="1" fontId="57" fillId="0" borderId="25" xfId="2" applyNumberFormat="1" applyFont="1" applyBorder="1" applyAlignment="1">
      <alignment horizontal="center" vertical="center" wrapText="1"/>
    </xf>
    <xf numFmtId="1" fontId="58" fillId="0" borderId="26" xfId="0" applyNumberFormat="1" applyFont="1" applyBorder="1" applyAlignment="1">
      <alignment horizontal="center"/>
    </xf>
    <xf numFmtId="1" fontId="37" fillId="0" borderId="26" xfId="2" applyNumberFormat="1" applyFont="1" applyBorder="1" applyAlignment="1">
      <alignment horizontal="center" vertical="center" shrinkToFit="1"/>
    </xf>
    <xf numFmtId="1" fontId="24" fillId="0" borderId="26" xfId="5" applyNumberFormat="1" applyFont="1" applyFill="1" applyBorder="1" applyAlignment="1" applyProtection="1">
      <alignment horizontal="center" vertical="center" shrinkToFit="1"/>
    </xf>
    <xf numFmtId="0" fontId="17" fillId="0" borderId="23" xfId="2" applyFont="1" applyBorder="1" applyAlignment="1">
      <alignment horizontal="right" vertical="center"/>
    </xf>
    <xf numFmtId="0" fontId="55" fillId="0" borderId="23" xfId="2" applyFont="1" applyBorder="1" applyAlignment="1">
      <alignment horizontal="left" vertical="center"/>
    </xf>
    <xf numFmtId="0" fontId="22" fillId="0" borderId="26" xfId="2" applyFont="1" applyBorder="1" applyAlignment="1">
      <alignment horizontal="left" vertical="top"/>
    </xf>
    <xf numFmtId="49" fontId="24" fillId="0" borderId="25" xfId="2" applyNumberFormat="1" applyFont="1" applyBorder="1" applyAlignment="1">
      <alignment horizontal="center" vertical="center" wrapText="1"/>
    </xf>
    <xf numFmtId="0" fontId="50" fillId="18" borderId="0" xfId="0" applyFont="1" applyFill="1" applyAlignment="1">
      <alignment horizontal="center" vertical="center"/>
    </xf>
    <xf numFmtId="0" fontId="2" fillId="18" borderId="0" xfId="0" applyFont="1" applyFill="1" applyAlignment="1">
      <alignment vertical="top"/>
    </xf>
    <xf numFmtId="0" fontId="2" fillId="18" borderId="0" xfId="0" applyFont="1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2" fillId="18" borderId="0" xfId="0" applyFont="1" applyFill="1"/>
    <xf numFmtId="0" fontId="24" fillId="18" borderId="29" xfId="0" applyFont="1" applyFill="1" applyBorder="1" applyAlignment="1" applyProtection="1">
      <alignment horizontal="center" vertical="center" shrinkToFit="1"/>
      <protection locked="0"/>
    </xf>
    <xf numFmtId="0" fontId="0" fillId="18" borderId="32" xfId="0" applyFill="1" applyBorder="1" applyAlignment="1">
      <alignment horizontal="left"/>
    </xf>
    <xf numFmtId="0" fontId="0" fillId="18" borderId="32" xfId="0" applyFill="1" applyBorder="1"/>
    <xf numFmtId="0" fontId="0" fillId="18" borderId="33" xfId="0" applyFill="1" applyBorder="1"/>
    <xf numFmtId="0" fontId="0" fillId="18" borderId="35" xfId="0" applyFill="1" applyBorder="1"/>
    <xf numFmtId="0" fontId="0" fillId="18" borderId="29" xfId="0" applyFill="1" applyBorder="1" applyAlignment="1" applyProtection="1">
      <alignment horizontal="center" vertical="center"/>
      <protection locked="0"/>
    </xf>
    <xf numFmtId="0" fontId="0" fillId="18" borderId="0" xfId="0" applyFill="1" applyAlignment="1">
      <alignment horizontal="left"/>
    </xf>
    <xf numFmtId="0" fontId="0" fillId="18" borderId="1" xfId="0" applyFill="1" applyBorder="1"/>
    <xf numFmtId="0" fontId="40" fillId="18" borderId="34" xfId="0" applyFont="1" applyFill="1" applyBorder="1" applyAlignment="1">
      <alignment horizontal="right"/>
    </xf>
    <xf numFmtId="0" fontId="0" fillId="18" borderId="37" xfId="0" applyFill="1" applyBorder="1"/>
    <xf numFmtId="0" fontId="0" fillId="18" borderId="38" xfId="0" applyFill="1" applyBorder="1"/>
    <xf numFmtId="0" fontId="0" fillId="18" borderId="0" xfId="0" applyFill="1" applyAlignment="1">
      <alignment horizontal="center"/>
    </xf>
    <xf numFmtId="0" fontId="39" fillId="18" borderId="0" xfId="0" applyFont="1" applyFill="1"/>
    <xf numFmtId="0" fontId="44" fillId="18" borderId="0" xfId="0" applyFont="1" applyFill="1"/>
    <xf numFmtId="0" fontId="2" fillId="18" borderId="10" xfId="0" applyFont="1" applyFill="1" applyBorder="1" applyAlignment="1">
      <alignment horizontal="right"/>
    </xf>
    <xf numFmtId="0" fontId="2" fillId="18" borderId="0" xfId="0" applyFont="1" applyFill="1" applyAlignment="1">
      <alignment horizontal="left"/>
    </xf>
    <xf numFmtId="14" fontId="24" fillId="18" borderId="0" xfId="0" applyNumberFormat="1" applyFont="1" applyFill="1" applyAlignment="1">
      <alignment horizontal="center" vertical="center"/>
    </xf>
    <xf numFmtId="0" fontId="24" fillId="18" borderId="0" xfId="0" applyFont="1" applyFill="1" applyAlignment="1">
      <alignment horizontal="center" vertical="center"/>
    </xf>
    <xf numFmtId="0" fontId="24" fillId="18" borderId="0" xfId="0" applyFont="1" applyFill="1" applyAlignment="1">
      <alignment horizontal="center"/>
    </xf>
    <xf numFmtId="1" fontId="0" fillId="18" borderId="0" xfId="0" applyNumberFormat="1" applyFill="1"/>
    <xf numFmtId="2" fontId="0" fillId="18" borderId="0" xfId="0" applyNumberFormat="1" applyFill="1" applyAlignment="1">
      <alignment horizontal="center" vertical="center"/>
    </xf>
    <xf numFmtId="1" fontId="0" fillId="18" borderId="0" xfId="0" applyNumberFormat="1" applyFill="1" applyAlignment="1">
      <alignment horizontal="center" vertical="center"/>
    </xf>
    <xf numFmtId="0" fontId="2" fillId="18" borderId="0" xfId="0" applyFont="1" applyFill="1" applyAlignment="1">
      <alignment horizontal="right" vertical="center"/>
    </xf>
    <xf numFmtId="14" fontId="0" fillId="18" borderId="0" xfId="0" applyNumberFormat="1" applyFill="1" applyAlignment="1" applyProtection="1">
      <alignment horizontal="center" vertical="center"/>
      <protection locked="0"/>
    </xf>
    <xf numFmtId="14" fontId="0" fillId="18" borderId="0" xfId="0" applyNumberFormat="1" applyFill="1"/>
    <xf numFmtId="14" fontId="2" fillId="18" borderId="0" xfId="0" applyNumberFormat="1" applyFont="1" applyFill="1" applyAlignment="1">
      <alignment horizontal="right"/>
    </xf>
    <xf numFmtId="0" fontId="24" fillId="18" borderId="0" xfId="0" applyFont="1" applyFill="1"/>
    <xf numFmtId="0" fontId="2" fillId="18" borderId="0" xfId="0" applyFont="1" applyFill="1" applyAlignment="1">
      <alignment horizontal="right"/>
    </xf>
    <xf numFmtId="0" fontId="24" fillId="18" borderId="0" xfId="0" applyFont="1" applyFill="1" applyAlignment="1">
      <alignment vertical="center" wrapText="1"/>
    </xf>
    <xf numFmtId="14" fontId="24" fillId="18" borderId="43" xfId="0" applyNumberFormat="1" applyFont="1" applyFill="1" applyBorder="1" applyAlignment="1">
      <alignment horizontal="center" vertical="center"/>
    </xf>
    <xf numFmtId="0" fontId="24" fillId="18" borderId="43" xfId="0" applyFont="1" applyFill="1" applyBorder="1" applyAlignment="1">
      <alignment horizontal="center" vertical="center"/>
    </xf>
    <xf numFmtId="0" fontId="24" fillId="18" borderId="43" xfId="0" applyFont="1" applyFill="1" applyBorder="1" applyAlignment="1">
      <alignment horizontal="center"/>
    </xf>
    <xf numFmtId="14" fontId="24" fillId="18" borderId="44" xfId="0" applyNumberFormat="1" applyFont="1" applyFill="1" applyBorder="1" applyAlignment="1">
      <alignment horizontal="center" vertical="center"/>
    </xf>
    <xf numFmtId="0" fontId="24" fillId="18" borderId="44" xfId="0" applyFont="1" applyFill="1" applyBorder="1" applyAlignment="1">
      <alignment horizontal="center" vertical="center"/>
    </xf>
    <xf numFmtId="0" fontId="24" fillId="18" borderId="44" xfId="0" applyFont="1" applyFill="1" applyBorder="1" applyAlignment="1">
      <alignment horizontal="center"/>
    </xf>
    <xf numFmtId="0" fontId="0" fillId="18" borderId="29" xfId="0" applyFill="1" applyBorder="1" applyAlignment="1">
      <alignment horizontal="center"/>
    </xf>
    <xf numFmtId="0" fontId="0" fillId="18" borderId="31" xfId="0" applyFill="1" applyBorder="1" applyAlignment="1">
      <alignment horizontal="right"/>
    </xf>
    <xf numFmtId="14" fontId="0" fillId="18" borderId="32" xfId="0" applyNumberFormat="1" applyFill="1" applyBorder="1"/>
    <xf numFmtId="0" fontId="0" fillId="18" borderId="31" xfId="0" applyFill="1" applyBorder="1"/>
    <xf numFmtId="0" fontId="0" fillId="18" borderId="34" xfId="0" applyFill="1" applyBorder="1"/>
    <xf numFmtId="0" fontId="0" fillId="18" borderId="32" xfId="0" applyFill="1" applyBorder="1" applyAlignment="1">
      <alignment horizontal="center"/>
    </xf>
    <xf numFmtId="0" fontId="0" fillId="18" borderId="34" xfId="0" applyFill="1" applyBorder="1" applyAlignment="1">
      <alignment horizontal="right"/>
    </xf>
    <xf numFmtId="1" fontId="0" fillId="18" borderId="29" xfId="347" applyNumberFormat="1" applyFont="1" applyFill="1" applyBorder="1" applyAlignment="1" applyProtection="1">
      <alignment horizontal="center" vertical="center"/>
      <protection hidden="1"/>
    </xf>
    <xf numFmtId="14" fontId="0" fillId="18" borderId="0" xfId="0" applyNumberFormat="1" applyFill="1" applyAlignment="1">
      <alignment horizontal="right"/>
    </xf>
    <xf numFmtId="0" fontId="2" fillId="18" borderId="29" xfId="0" applyFont="1" applyFill="1" applyBorder="1" applyAlignment="1" applyProtection="1">
      <alignment horizontal="center"/>
      <protection locked="0"/>
    </xf>
    <xf numFmtId="0" fontId="0" fillId="18" borderId="0" xfId="0" applyFill="1" applyAlignment="1">
      <alignment vertical="top"/>
    </xf>
    <xf numFmtId="14" fontId="24" fillId="18" borderId="50" xfId="0" applyNumberFormat="1" applyFont="1" applyFill="1" applyBorder="1" applyAlignment="1">
      <alignment horizontal="center" vertical="center"/>
    </xf>
    <xf numFmtId="0" fontId="24" fillId="18" borderId="42" xfId="0" applyFont="1" applyFill="1" applyBorder="1" applyAlignment="1">
      <alignment horizontal="center" vertical="center"/>
    </xf>
    <xf numFmtId="1" fontId="0" fillId="18" borderId="29" xfId="0" applyNumberFormat="1" applyFill="1" applyBorder="1" applyAlignment="1">
      <alignment horizontal="center"/>
    </xf>
    <xf numFmtId="14" fontId="0" fillId="18" borderId="29" xfId="0" applyNumberFormat="1" applyFill="1" applyBorder="1" applyAlignment="1" applyProtection="1">
      <alignment horizontal="center"/>
      <protection locked="0"/>
    </xf>
    <xf numFmtId="14" fontId="2" fillId="18" borderId="29" xfId="0" applyNumberFormat="1" applyFont="1" applyFill="1" applyBorder="1" applyAlignment="1" applyProtection="1">
      <alignment horizontal="center"/>
      <protection locked="0"/>
    </xf>
    <xf numFmtId="176" fontId="0" fillId="18" borderId="29" xfId="0" applyNumberFormat="1" applyFill="1" applyBorder="1" applyAlignment="1">
      <alignment horizontal="left"/>
    </xf>
    <xf numFmtId="176" fontId="0" fillId="18" borderId="29" xfId="0" applyNumberFormat="1" applyFill="1" applyBorder="1" applyAlignment="1" applyProtection="1">
      <alignment horizontal="center" vertical="center"/>
      <protection locked="0"/>
    </xf>
    <xf numFmtId="0" fontId="2" fillId="18" borderId="29" xfId="0" applyFont="1" applyFill="1" applyBorder="1" applyAlignment="1">
      <alignment horizontal="center" vertical="center"/>
    </xf>
    <xf numFmtId="14" fontId="24" fillId="18" borderId="51" xfId="0" applyNumberFormat="1" applyFont="1" applyFill="1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18" borderId="29" xfId="0" applyFill="1" applyBorder="1" applyAlignment="1">
      <alignment horizontal="center" vertical="center"/>
    </xf>
    <xf numFmtId="181" fontId="0" fillId="18" borderId="29" xfId="0" applyNumberFormat="1" applyFill="1" applyBorder="1" applyAlignment="1" applyProtection="1">
      <alignment horizontal="center"/>
      <protection locked="0"/>
    </xf>
    <xf numFmtId="14" fontId="24" fillId="18" borderId="29" xfId="0" applyNumberFormat="1" applyFont="1" applyFill="1" applyBorder="1" applyProtection="1">
      <protection locked="0"/>
    </xf>
    <xf numFmtId="0" fontId="0" fillId="18" borderId="36" xfId="0" applyFill="1" applyBorder="1" applyAlignment="1">
      <alignment horizontal="right"/>
    </xf>
    <xf numFmtId="14" fontId="0" fillId="18" borderId="37" xfId="0" applyNumberFormat="1" applyFill="1" applyBorder="1"/>
    <xf numFmtId="0" fontId="0" fillId="18" borderId="36" xfId="0" applyFill="1" applyBorder="1"/>
    <xf numFmtId="0" fontId="0" fillId="18" borderId="37" xfId="0" applyFill="1" applyBorder="1" applyAlignment="1">
      <alignment horizontal="center"/>
    </xf>
    <xf numFmtId="0" fontId="0" fillId="18" borderId="29" xfId="0" applyFill="1" applyBorder="1" applyAlignment="1" applyProtection="1">
      <alignment horizontal="center" vertical="center"/>
      <protection hidden="1"/>
    </xf>
    <xf numFmtId="176" fontId="0" fillId="18" borderId="29" xfId="0" applyNumberFormat="1" applyFill="1" applyBorder="1" applyAlignment="1">
      <alignment horizontal="right"/>
    </xf>
    <xf numFmtId="14" fontId="0" fillId="18" borderId="0" xfId="0" applyNumberFormat="1" applyFill="1" applyAlignment="1">
      <alignment horizontal="right" vertical="center"/>
    </xf>
    <xf numFmtId="14" fontId="0" fillId="18" borderId="29" xfId="0" applyNumberFormat="1" applyFill="1" applyBorder="1" applyAlignment="1" applyProtection="1">
      <alignment horizontal="center" vertical="center" shrinkToFit="1"/>
      <protection locked="0"/>
    </xf>
    <xf numFmtId="0" fontId="0" fillId="18" borderId="0" xfId="0" applyFill="1" applyAlignment="1">
      <alignment horizontal="left" vertical="center"/>
    </xf>
    <xf numFmtId="0" fontId="2" fillId="18" borderId="40" xfId="0" applyFont="1" applyFill="1" applyBorder="1"/>
    <xf numFmtId="0" fontId="0" fillId="18" borderId="40" xfId="0" applyFill="1" applyBorder="1"/>
    <xf numFmtId="0" fontId="2" fillId="18" borderId="34" xfId="0" applyFont="1" applyFill="1" applyBorder="1" applyAlignment="1">
      <alignment horizontal="right"/>
    </xf>
    <xf numFmtId="0" fontId="0" fillId="18" borderId="35" xfId="0" applyFill="1" applyBorder="1" applyAlignment="1">
      <alignment vertical="top"/>
    </xf>
    <xf numFmtId="0" fontId="0" fillId="18" borderId="37" xfId="0" applyFill="1" applyBorder="1" applyAlignment="1">
      <alignment horizontal="left"/>
    </xf>
    <xf numFmtId="0" fontId="37" fillId="18" borderId="2" xfId="0" applyFont="1" applyFill="1" applyBorder="1" applyAlignment="1" applyProtection="1">
      <alignment horizontal="center"/>
      <protection locked="0"/>
    </xf>
    <xf numFmtId="0" fontId="24" fillId="18" borderId="0" xfId="0" applyFont="1" applyFill="1" applyAlignment="1">
      <alignment horizontal="right" vertical="center"/>
    </xf>
    <xf numFmtId="0" fontId="24" fillId="18" borderId="4" xfId="0" applyFont="1" applyFill="1" applyBorder="1" applyAlignment="1" applyProtection="1">
      <alignment horizontal="center" vertical="center"/>
      <protection locked="0" hidden="1"/>
    </xf>
    <xf numFmtId="0" fontId="37" fillId="18" borderId="29" xfId="0" applyFont="1" applyFill="1" applyBorder="1" applyAlignment="1" applyProtection="1">
      <alignment horizontal="center"/>
      <protection locked="0"/>
    </xf>
    <xf numFmtId="0" fontId="24" fillId="18" borderId="0" xfId="0" applyFont="1" applyFill="1" applyAlignment="1">
      <alignment horizontal="right" vertical="center" shrinkToFit="1"/>
    </xf>
    <xf numFmtId="0" fontId="24" fillId="18" borderId="29" xfId="0" applyFont="1" applyFill="1" applyBorder="1" applyAlignment="1" applyProtection="1">
      <alignment horizontal="center" vertical="center" shrinkToFit="1"/>
      <protection locked="0" hidden="1"/>
    </xf>
    <xf numFmtId="0" fontId="24" fillId="18" borderId="0" xfId="0" applyFont="1" applyFill="1" applyAlignment="1">
      <alignment horizontal="right"/>
    </xf>
    <xf numFmtId="0" fontId="24" fillId="18" borderId="29" xfId="0" applyFont="1" applyFill="1" applyBorder="1" applyAlignment="1" applyProtection="1">
      <alignment horizontal="center" vertical="center"/>
      <protection locked="0"/>
    </xf>
    <xf numFmtId="177" fontId="24" fillId="18" borderId="29" xfId="0" applyNumberFormat="1" applyFont="1" applyFill="1" applyBorder="1" applyAlignment="1">
      <alignment horizontal="right"/>
    </xf>
    <xf numFmtId="177" fontId="24" fillId="18" borderId="9" xfId="0" applyNumberFormat="1" applyFont="1" applyFill="1" applyBorder="1" applyAlignment="1">
      <alignment horizontal="right"/>
    </xf>
    <xf numFmtId="0" fontId="37" fillId="18" borderId="0" xfId="0" applyFont="1" applyFill="1" applyAlignment="1">
      <alignment vertical="center"/>
    </xf>
    <xf numFmtId="0" fontId="0" fillId="18" borderId="0" xfId="0" applyFill="1" applyAlignment="1">
      <alignment horizontal="right"/>
    </xf>
    <xf numFmtId="180" fontId="24" fillId="18" borderId="29" xfId="0" applyNumberFormat="1" applyFont="1" applyFill="1" applyBorder="1" applyAlignment="1">
      <alignment horizontal="right"/>
    </xf>
    <xf numFmtId="177" fontId="24" fillId="18" borderId="1" xfId="0" applyNumberFormat="1" applyFont="1" applyFill="1" applyBorder="1" applyAlignment="1">
      <alignment horizontal="right"/>
    </xf>
    <xf numFmtId="177" fontId="24" fillId="18" borderId="11" xfId="0" applyNumberFormat="1" applyFont="1" applyFill="1" applyBorder="1" applyAlignment="1">
      <alignment horizontal="right"/>
    </xf>
    <xf numFmtId="0" fontId="37" fillId="18" borderId="0" xfId="0" applyFont="1" applyFill="1" applyAlignment="1">
      <alignment horizontal="left" vertical="center"/>
    </xf>
    <xf numFmtId="0" fontId="37" fillId="18" borderId="29" xfId="0" applyFont="1" applyFill="1" applyBorder="1" applyProtection="1">
      <protection locked="0" hidden="1"/>
    </xf>
    <xf numFmtId="14" fontId="24" fillId="18" borderId="29" xfId="0" applyNumberFormat="1" applyFont="1" applyFill="1" applyBorder="1" applyAlignment="1" applyProtection="1">
      <alignment horizontal="center"/>
      <protection locked="0"/>
    </xf>
    <xf numFmtId="0" fontId="0" fillId="18" borderId="40" xfId="0" applyFill="1" applyBorder="1" applyAlignment="1">
      <alignment horizontal="right"/>
    </xf>
    <xf numFmtId="182" fontId="0" fillId="18" borderId="2" xfId="0" applyNumberFormat="1" applyFill="1" applyBorder="1" applyAlignment="1" applyProtection="1">
      <alignment horizontal="right"/>
      <protection locked="0" hidden="1"/>
    </xf>
    <xf numFmtId="0" fontId="24" fillId="18" borderId="29" xfId="0" applyFont="1" applyFill="1" applyBorder="1" applyProtection="1">
      <protection locked="0" hidden="1"/>
    </xf>
    <xf numFmtId="0" fontId="43" fillId="18" borderId="0" xfId="0" applyFont="1" applyFill="1"/>
    <xf numFmtId="0" fontId="24" fillId="18" borderId="0" xfId="0" applyFont="1" applyFill="1" applyAlignment="1">
      <alignment vertical="center"/>
    </xf>
    <xf numFmtId="0" fontId="24" fillId="18" borderId="42" xfId="0" applyFont="1" applyFill="1" applyBorder="1" applyAlignment="1">
      <alignment horizontal="center"/>
    </xf>
    <xf numFmtId="0" fontId="0" fillId="18" borderId="15" xfId="0" applyFill="1" applyBorder="1" applyAlignment="1">
      <alignment horizontal="center" vertical="center"/>
    </xf>
    <xf numFmtId="0" fontId="0" fillId="18" borderId="15" xfId="0" applyFill="1" applyBorder="1"/>
    <xf numFmtId="0" fontId="0" fillId="18" borderId="2" xfId="0" applyFill="1" applyBorder="1"/>
    <xf numFmtId="0" fontId="15" fillId="18" borderId="0" xfId="2" applyFill="1" applyAlignment="1">
      <alignment vertical="center"/>
    </xf>
    <xf numFmtId="170" fontId="0" fillId="18" borderId="0" xfId="0" applyNumberForma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177" fontId="0" fillId="18" borderId="0" xfId="0" applyNumberFormat="1" applyFill="1" applyAlignment="1" applyProtection="1">
      <alignment horizontal="left" vertical="center"/>
      <protection locked="0"/>
    </xf>
    <xf numFmtId="2" fontId="2" fillId="18" borderId="0" xfId="0" applyNumberFormat="1" applyFont="1" applyFill="1" applyAlignment="1" applyProtection="1">
      <alignment horizontal="center" vertical="center"/>
      <protection locked="0"/>
    </xf>
    <xf numFmtId="14" fontId="0" fillId="18" borderId="29" xfId="0" applyNumberFormat="1" applyFill="1" applyBorder="1" applyAlignment="1">
      <alignment horizontal="center"/>
    </xf>
    <xf numFmtId="0" fontId="0" fillId="0" borderId="52" xfId="0" applyBorder="1" applyAlignment="1" applyProtection="1">
      <alignment horizontal="left"/>
      <protection locked="0" hidden="1"/>
    </xf>
    <xf numFmtId="1" fontId="0" fillId="0" borderId="53" xfId="0" applyNumberFormat="1" applyBorder="1" applyAlignment="1" applyProtection="1">
      <alignment horizontal="center"/>
      <protection locked="0" hidden="1"/>
    </xf>
    <xf numFmtId="0" fontId="0" fillId="0" borderId="53" xfId="0" applyBorder="1" applyAlignment="1" applyProtection="1">
      <alignment horizontal="center"/>
      <protection locked="0" hidden="1"/>
    </xf>
    <xf numFmtId="14" fontId="0" fillId="0" borderId="53" xfId="0" applyNumberFormat="1" applyBorder="1" applyAlignment="1" applyProtection="1">
      <alignment horizontal="center"/>
      <protection locked="0" hidden="1"/>
    </xf>
    <xf numFmtId="1" fontId="24" fillId="0" borderId="53" xfId="0" applyNumberFormat="1" applyFont="1" applyBorder="1" applyAlignment="1" applyProtection="1">
      <alignment horizontal="center"/>
      <protection locked="0" hidden="1"/>
    </xf>
    <xf numFmtId="14" fontId="24" fillId="0" borderId="53" xfId="0" applyNumberFormat="1" applyFont="1" applyBorder="1" applyAlignment="1" applyProtection="1">
      <alignment horizontal="center"/>
      <protection locked="0" hidden="1"/>
    </xf>
    <xf numFmtId="165" fontId="0" fillId="0" borderId="53" xfId="0" applyNumberFormat="1" applyBorder="1" applyAlignment="1" applyProtection="1">
      <alignment horizontal="center"/>
      <protection locked="0" hidden="1"/>
    </xf>
    <xf numFmtId="0" fontId="0" fillId="0" borderId="53" xfId="0" applyBorder="1" applyAlignment="1" applyProtection="1">
      <alignment horizontal="center" vertical="center"/>
      <protection locked="0" hidden="1"/>
    </xf>
    <xf numFmtId="0" fontId="0" fillId="0" borderId="54" xfId="0" applyBorder="1" applyAlignment="1" applyProtection="1">
      <alignment horizontal="left"/>
      <protection locked="0" hidden="1"/>
    </xf>
    <xf numFmtId="1" fontId="0" fillId="0" borderId="15" xfId="0" applyNumberFormat="1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/>
      <protection locked="0" hidden="1"/>
    </xf>
    <xf numFmtId="14" fontId="0" fillId="0" borderId="15" xfId="0" applyNumberFormat="1" applyBorder="1" applyAlignment="1" applyProtection="1">
      <alignment horizontal="center"/>
      <protection locked="0" hidden="1"/>
    </xf>
    <xf numFmtId="1" fontId="24" fillId="0" borderId="15" xfId="0" applyNumberFormat="1" applyFont="1" applyBorder="1" applyAlignment="1" applyProtection="1">
      <alignment horizontal="center"/>
      <protection locked="0" hidden="1"/>
    </xf>
    <xf numFmtId="14" fontId="24" fillId="0" borderId="15" xfId="0" applyNumberFormat="1" applyFont="1" applyBorder="1" applyAlignment="1" applyProtection="1">
      <alignment horizontal="center" vertical="center"/>
      <protection locked="0" hidden="1"/>
    </xf>
    <xf numFmtId="165" fontId="0" fillId="0" borderId="15" xfId="0" applyNumberFormat="1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 vertical="center"/>
      <protection locked="0" hidden="1"/>
    </xf>
    <xf numFmtId="0" fontId="0" fillId="0" borderId="55" xfId="0" applyBorder="1" applyAlignment="1" applyProtection="1">
      <alignment horizontal="left"/>
      <protection locked="0" hidden="1"/>
    </xf>
    <xf numFmtId="1" fontId="0" fillId="0" borderId="56" xfId="0" applyNumberFormat="1" applyBorder="1" applyAlignment="1" applyProtection="1">
      <alignment horizontal="center"/>
      <protection locked="0" hidden="1"/>
    </xf>
    <xf numFmtId="0" fontId="0" fillId="0" borderId="56" xfId="0" applyBorder="1" applyAlignment="1" applyProtection="1">
      <alignment horizontal="center"/>
      <protection locked="0" hidden="1"/>
    </xf>
    <xf numFmtId="14" fontId="0" fillId="0" borderId="56" xfId="0" applyNumberFormat="1" applyBorder="1" applyAlignment="1" applyProtection="1">
      <alignment horizontal="center"/>
      <protection locked="0" hidden="1"/>
    </xf>
    <xf numFmtId="14" fontId="24" fillId="0" borderId="56" xfId="0" applyNumberFormat="1" applyFont="1" applyBorder="1" applyAlignment="1" applyProtection="1">
      <alignment horizontal="center" vertical="center"/>
      <protection locked="0" hidden="1"/>
    </xf>
    <xf numFmtId="165" fontId="0" fillId="0" borderId="56" xfId="0" applyNumberFormat="1" applyBorder="1" applyAlignment="1" applyProtection="1">
      <alignment horizontal="center"/>
      <protection locked="0" hidden="1"/>
    </xf>
    <xf numFmtId="0" fontId="0" fillId="0" borderId="56" xfId="0" applyBorder="1" applyAlignment="1" applyProtection="1">
      <alignment horizontal="center" vertical="center"/>
      <protection locked="0" hidden="1"/>
    </xf>
    <xf numFmtId="1" fontId="24" fillId="0" borderId="56" xfId="0" applyNumberFormat="1" applyFont="1" applyBorder="1" applyAlignment="1" applyProtection="1">
      <alignment horizontal="center"/>
      <protection locked="0" hidden="1"/>
    </xf>
    <xf numFmtId="185" fontId="2" fillId="0" borderId="0" xfId="0" applyNumberFormat="1" applyFont="1" applyAlignment="1">
      <alignment horizontal="center" vertical="center" wrapText="1"/>
    </xf>
    <xf numFmtId="185" fontId="0" fillId="0" borderId="0" xfId="0" applyNumberFormat="1" applyAlignment="1">
      <alignment horizontal="center" vertical="center"/>
    </xf>
    <xf numFmtId="185" fontId="0" fillId="0" borderId="0" xfId="0" applyNumberFormat="1"/>
    <xf numFmtId="0" fontId="0" fillId="36" borderId="57" xfId="0" applyFill="1" applyBorder="1" applyAlignment="1" applyProtection="1">
      <alignment horizontal="center" vertical="center"/>
      <protection locked="0" hidden="1"/>
    </xf>
    <xf numFmtId="0" fontId="1" fillId="35" borderId="58" xfId="0" applyFont="1" applyFill="1" applyBorder="1" applyProtection="1">
      <protection locked="0" hidden="1"/>
    </xf>
    <xf numFmtId="3" fontId="24" fillId="36" borderId="59" xfId="2" applyNumberFormat="1" applyFont="1" applyFill="1" applyBorder="1" applyAlignment="1" applyProtection="1">
      <alignment horizontal="center" vertical="center"/>
      <protection locked="0" hidden="1"/>
    </xf>
    <xf numFmtId="3" fontId="1" fillId="36" borderId="59" xfId="0" applyNumberFormat="1" applyFont="1" applyFill="1" applyBorder="1" applyAlignment="1" applyProtection="1">
      <alignment horizontal="center"/>
      <protection locked="0" hidden="1"/>
    </xf>
    <xf numFmtId="3" fontId="1" fillId="36" borderId="58" xfId="0" applyNumberFormat="1" applyFont="1" applyFill="1" applyBorder="1" applyAlignment="1" applyProtection="1">
      <alignment horizontal="center"/>
      <protection locked="0" hidden="1"/>
    </xf>
    <xf numFmtId="1" fontId="1" fillId="35" borderId="59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49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46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48" xfId="0" applyNumberFormat="1" applyFont="1" applyFill="1" applyBorder="1" applyAlignment="1" applyProtection="1">
      <alignment horizontal="center" vertical="center"/>
      <protection locked="0" hidden="1"/>
    </xf>
    <xf numFmtId="1" fontId="1" fillId="36" borderId="59" xfId="0" applyNumberFormat="1" applyFont="1" applyFill="1" applyBorder="1" applyAlignment="1" applyProtection="1">
      <alignment horizontal="center"/>
      <protection locked="0" hidden="1"/>
    </xf>
    <xf numFmtId="3" fontId="1" fillId="36" borderId="49" xfId="0" applyNumberFormat="1" applyFont="1" applyFill="1" applyBorder="1" applyAlignment="1" applyProtection="1">
      <alignment horizontal="center"/>
      <protection locked="0" hidden="1"/>
    </xf>
    <xf numFmtId="1" fontId="1" fillId="36" borderId="49" xfId="0" applyNumberFormat="1" applyFont="1" applyFill="1" applyBorder="1" applyAlignment="1" applyProtection="1">
      <alignment horizontal="center"/>
      <protection locked="0" hidden="1"/>
    </xf>
    <xf numFmtId="0" fontId="24" fillId="36" borderId="57" xfId="2" applyFont="1" applyFill="1" applyBorder="1" applyAlignment="1" applyProtection="1">
      <alignment horizontal="center" vertical="center"/>
      <protection locked="0" hidden="1"/>
    </xf>
    <xf numFmtId="0" fontId="0" fillId="35" borderId="58" xfId="0" applyFill="1" applyBorder="1" applyProtection="1">
      <protection locked="0" hidden="1"/>
    </xf>
    <xf numFmtId="0" fontId="1" fillId="36" borderId="57" xfId="0" applyFont="1" applyFill="1" applyBorder="1" applyAlignment="1" applyProtection="1">
      <alignment horizontal="center" vertical="center"/>
      <protection locked="0" hidden="1"/>
    </xf>
    <xf numFmtId="1" fontId="1" fillId="36" borderId="49" xfId="0" applyNumberFormat="1" applyFont="1" applyFill="1" applyBorder="1" applyProtection="1">
      <protection locked="0" hidden="1"/>
    </xf>
    <xf numFmtId="1" fontId="1" fillId="36" borderId="59" xfId="0" applyNumberFormat="1" applyFont="1" applyFill="1" applyBorder="1" applyProtection="1">
      <protection locked="0" hidden="1"/>
    </xf>
    <xf numFmtId="0" fontId="1" fillId="36" borderId="61" xfId="0" applyFont="1" applyFill="1" applyBorder="1" applyAlignment="1" applyProtection="1">
      <alignment horizontal="center" vertical="center"/>
      <protection locked="0" hidden="1"/>
    </xf>
    <xf numFmtId="0" fontId="1" fillId="35" borderId="62" xfId="0" applyFont="1" applyFill="1" applyBorder="1" applyProtection="1">
      <protection locked="0" hidden="1"/>
    </xf>
    <xf numFmtId="3" fontId="1" fillId="36" borderId="63" xfId="0" applyNumberFormat="1" applyFont="1" applyFill="1" applyBorder="1" applyAlignment="1" applyProtection="1">
      <alignment horizontal="center"/>
      <protection locked="0" hidden="1"/>
    </xf>
    <xf numFmtId="1" fontId="1" fillId="36" borderId="63" xfId="0" applyNumberFormat="1" applyFont="1" applyFill="1" applyBorder="1" applyProtection="1">
      <protection locked="0" hidden="1"/>
    </xf>
    <xf numFmtId="1" fontId="1" fillId="35" borderId="63" xfId="0" applyNumberFormat="1" applyFont="1" applyFill="1" applyBorder="1" applyAlignment="1" applyProtection="1">
      <alignment horizontal="right"/>
      <protection locked="0" hidden="1"/>
    </xf>
    <xf numFmtId="1" fontId="1" fillId="35" borderId="65" xfId="0" applyNumberFormat="1" applyFont="1" applyFill="1" applyBorder="1" applyAlignment="1" applyProtection="1">
      <alignment horizontal="right"/>
      <protection locked="0" hidden="1"/>
    </xf>
    <xf numFmtId="176" fontId="1" fillId="35" borderId="65" xfId="0" applyNumberFormat="1" applyFont="1" applyFill="1" applyBorder="1" applyAlignment="1" applyProtection="1">
      <alignment horizontal="right"/>
      <protection locked="0" hidden="1"/>
    </xf>
    <xf numFmtId="176" fontId="1" fillId="35" borderId="67" xfId="0" applyNumberFormat="1" applyFont="1" applyFill="1" applyBorder="1" applyAlignment="1" applyProtection="1">
      <alignment horizontal="right"/>
      <protection locked="0" hidden="1"/>
    </xf>
    <xf numFmtId="1" fontId="1" fillId="35" borderId="66" xfId="0" applyNumberFormat="1" applyFont="1" applyFill="1" applyBorder="1" applyAlignment="1" applyProtection="1">
      <alignment horizontal="right"/>
      <protection locked="0" hidden="1"/>
    </xf>
    <xf numFmtId="0" fontId="1" fillId="35" borderId="68" xfId="0" applyFont="1" applyFill="1" applyBorder="1" applyProtection="1">
      <protection locked="0" hidden="1"/>
    </xf>
    <xf numFmtId="3" fontId="1" fillId="36" borderId="68" xfId="0" applyNumberFormat="1" applyFont="1" applyFill="1" applyBorder="1" applyAlignment="1" applyProtection="1">
      <alignment horizontal="center"/>
      <protection locked="0" hidden="1"/>
    </xf>
    <xf numFmtId="1" fontId="1" fillId="35" borderId="70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24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27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23" xfId="0" applyNumberFormat="1" applyFont="1" applyFill="1" applyBorder="1" applyAlignment="1" applyProtection="1">
      <alignment horizontal="center" vertical="center"/>
      <protection locked="0" hidden="1"/>
    </xf>
    <xf numFmtId="0" fontId="39" fillId="35" borderId="0" xfId="0" applyFont="1" applyFill="1" applyAlignment="1">
      <alignment horizontal="right"/>
    </xf>
    <xf numFmtId="0" fontId="0" fillId="37" borderId="31" xfId="0" applyFill="1" applyBorder="1" applyAlignment="1">
      <alignment horizontal="center" vertical="center"/>
    </xf>
    <xf numFmtId="0" fontId="0" fillId="37" borderId="72" xfId="0" applyFill="1" applyBorder="1"/>
    <xf numFmtId="0" fontId="0" fillId="37" borderId="72" xfId="0" applyFill="1" applyBorder="1" applyAlignment="1">
      <alignment horizontal="center"/>
    </xf>
    <xf numFmtId="1" fontId="0" fillId="37" borderId="31" xfId="0" applyNumberFormat="1" applyFill="1" applyBorder="1" applyAlignment="1">
      <alignment horizontal="center"/>
    </xf>
    <xf numFmtId="0" fontId="0" fillId="37" borderId="31" xfId="0" applyFill="1" applyBorder="1" applyAlignment="1">
      <alignment horizontal="center"/>
    </xf>
    <xf numFmtId="1" fontId="0" fillId="37" borderId="73" xfId="0" applyNumberFormat="1" applyFill="1" applyBorder="1" applyAlignment="1">
      <alignment horizontal="center"/>
    </xf>
    <xf numFmtId="0" fontId="0" fillId="38" borderId="74" xfId="0" applyFill="1" applyBorder="1" applyAlignment="1">
      <alignment horizontal="center" vertical="center"/>
    </xf>
    <xf numFmtId="0" fontId="0" fillId="38" borderId="75" xfId="0" applyFill="1" applyBorder="1"/>
    <xf numFmtId="0" fontId="0" fillId="38" borderId="75" xfId="0" applyFill="1" applyBorder="1" applyAlignment="1">
      <alignment horizontal="center"/>
    </xf>
    <xf numFmtId="1" fontId="0" fillId="38" borderId="74" xfId="0" applyNumberFormat="1" applyFill="1" applyBorder="1" applyAlignment="1">
      <alignment horizontal="center"/>
    </xf>
    <xf numFmtId="0" fontId="0" fillId="38" borderId="74" xfId="0" applyFill="1" applyBorder="1" applyAlignment="1">
      <alignment horizontal="center"/>
    </xf>
    <xf numFmtId="1" fontId="0" fillId="38" borderId="76" xfId="0" applyNumberFormat="1" applyFill="1" applyBorder="1" applyAlignment="1">
      <alignment horizontal="center"/>
    </xf>
    <xf numFmtId="0" fontId="0" fillId="37" borderId="74" xfId="0" applyFill="1" applyBorder="1" applyAlignment="1">
      <alignment horizontal="center" vertical="center"/>
    </xf>
    <xf numFmtId="0" fontId="0" fillId="37" borderId="75" xfId="0" applyFill="1" applyBorder="1"/>
    <xf numFmtId="0" fontId="0" fillId="37" borderId="75" xfId="0" applyFill="1" applyBorder="1" applyAlignment="1">
      <alignment horizontal="center"/>
    </xf>
    <xf numFmtId="1" fontId="0" fillId="37" borderId="74" xfId="0" applyNumberFormat="1" applyFill="1" applyBorder="1" applyAlignment="1">
      <alignment horizontal="center"/>
    </xf>
    <xf numFmtId="0" fontId="0" fillId="37" borderId="74" xfId="0" applyFill="1" applyBorder="1" applyAlignment="1">
      <alignment horizontal="center"/>
    </xf>
    <xf numFmtId="1" fontId="0" fillId="37" borderId="76" xfId="0" applyNumberFormat="1" applyFill="1" applyBorder="1" applyAlignment="1">
      <alignment horizontal="center"/>
    </xf>
    <xf numFmtId="0" fontId="0" fillId="37" borderId="77" xfId="0" applyFill="1" applyBorder="1" applyAlignment="1">
      <alignment horizontal="center" vertical="center"/>
    </xf>
    <xf numFmtId="0" fontId="0" fillId="37" borderId="78" xfId="0" applyFill="1" applyBorder="1"/>
    <xf numFmtId="0" fontId="0" fillId="37" borderId="78" xfId="0" applyFill="1" applyBorder="1" applyAlignment="1">
      <alignment horizontal="center"/>
    </xf>
    <xf numFmtId="1" fontId="0" fillId="37" borderId="77" xfId="0" applyNumberFormat="1" applyFill="1" applyBorder="1" applyAlignment="1">
      <alignment horizontal="center"/>
    </xf>
    <xf numFmtId="0" fontId="0" fillId="37" borderId="77" xfId="0" applyFill="1" applyBorder="1" applyAlignment="1">
      <alignment horizontal="center"/>
    </xf>
    <xf numFmtId="1" fontId="0" fillId="37" borderId="79" xfId="0" applyNumberFormat="1" applyFill="1" applyBorder="1" applyAlignment="1">
      <alignment horizontal="center"/>
    </xf>
    <xf numFmtId="0" fontId="50" fillId="0" borderId="29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70" fontId="59" fillId="0" borderId="0" xfId="0" applyNumberFormat="1" applyFont="1" applyAlignment="1">
      <alignment horizontal="left"/>
    </xf>
    <xf numFmtId="0" fontId="16" fillId="0" borderId="1" xfId="2" applyFont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1" fontId="0" fillId="18" borderId="0" xfId="0" applyNumberFormat="1" applyFill="1" applyAlignment="1">
      <alignment horizontal="center"/>
    </xf>
    <xf numFmtId="49" fontId="0" fillId="0" borderId="53" xfId="0" applyNumberFormat="1" applyBorder="1" applyAlignment="1" applyProtection="1">
      <alignment horizontal="center" vertical="center"/>
      <protection locked="0" hidden="1"/>
    </xf>
    <xf numFmtId="49" fontId="0" fillId="0" borderId="15" xfId="0" applyNumberFormat="1" applyBorder="1" applyAlignment="1" applyProtection="1">
      <alignment horizontal="center" vertical="center"/>
      <protection locked="0" hidden="1"/>
    </xf>
    <xf numFmtId="49" fontId="0" fillId="0" borderId="56" xfId="0" applyNumberFormat="1" applyBorder="1" applyAlignment="1" applyProtection="1">
      <alignment horizontal="center" vertical="center"/>
      <protection locked="0" hidden="1"/>
    </xf>
    <xf numFmtId="0" fontId="24" fillId="18" borderId="0" xfId="0" applyFont="1" applyFill="1" applyAlignment="1">
      <alignment horizontal="left" vertical="center"/>
    </xf>
    <xf numFmtId="1" fontId="2" fillId="35" borderId="71" xfId="0" applyNumberFormat="1" applyFont="1" applyFill="1" applyBorder="1" applyAlignment="1" applyProtection="1">
      <alignment horizontal="center" vertical="center"/>
      <protection locked="0" hidden="1"/>
    </xf>
    <xf numFmtId="1" fontId="2" fillId="35" borderId="60" xfId="0" applyNumberFormat="1" applyFont="1" applyFill="1" applyBorder="1" applyAlignment="1" applyProtection="1">
      <alignment horizontal="center" vertical="center"/>
      <protection locked="0" hidden="1"/>
    </xf>
    <xf numFmtId="1" fontId="2" fillId="35" borderId="64" xfId="0" applyNumberFormat="1" applyFont="1" applyFill="1" applyBorder="1" applyAlignment="1" applyProtection="1">
      <alignment horizontal="center" vertical="center"/>
      <protection locked="0" hidden="1"/>
    </xf>
    <xf numFmtId="3" fontId="24" fillId="0" borderId="25" xfId="2" applyNumberFormat="1" applyFont="1" applyBorder="1" applyAlignment="1">
      <alignment horizontal="center" vertical="center" wrapText="1"/>
    </xf>
    <xf numFmtId="3" fontId="1" fillId="0" borderId="26" xfId="0" applyNumberFormat="1" applyFont="1" applyBorder="1" applyAlignment="1">
      <alignment horizontal="center"/>
    </xf>
    <xf numFmtId="1" fontId="1" fillId="36" borderId="24" xfId="0" applyNumberFormat="1" applyFont="1" applyFill="1" applyBorder="1" applyAlignment="1" applyProtection="1">
      <alignment horizontal="center"/>
      <protection locked="0" hidden="1"/>
    </xf>
    <xf numFmtId="0" fontId="62" fillId="0" borderId="0" xfId="2" applyFont="1" applyAlignment="1">
      <alignment horizontal="center" vertical="center"/>
    </xf>
    <xf numFmtId="1" fontId="62" fillId="0" borderId="0" xfId="2" applyNumberFormat="1" applyFont="1" applyAlignment="1">
      <alignment horizontal="center" vertical="center"/>
    </xf>
    <xf numFmtId="49" fontId="62" fillId="0" borderId="0" xfId="2" applyNumberFormat="1" applyFont="1" applyAlignment="1">
      <alignment horizontal="center" vertical="center"/>
    </xf>
    <xf numFmtId="0" fontId="62" fillId="0" borderId="0" xfId="2" applyFont="1"/>
    <xf numFmtId="0" fontId="62" fillId="0" borderId="0" xfId="2" applyFont="1" applyAlignment="1">
      <alignment horizontal="center"/>
    </xf>
    <xf numFmtId="0" fontId="62" fillId="0" borderId="0" xfId="0" applyFont="1" applyAlignment="1">
      <alignment horizontal="center"/>
    </xf>
    <xf numFmtId="165" fontId="0" fillId="0" borderId="0" xfId="351" applyFont="1"/>
    <xf numFmtId="165" fontId="0" fillId="0" borderId="0" xfId="351" applyFont="1" applyAlignment="1">
      <alignment horizontal="center"/>
    </xf>
    <xf numFmtId="165" fontId="0" fillId="0" borderId="0" xfId="351" applyFont="1" applyBorder="1"/>
    <xf numFmtId="186" fontId="0" fillId="0" borderId="0" xfId="0" applyNumberFormat="1"/>
    <xf numFmtId="0" fontId="63" fillId="0" borderId="0" xfId="0" applyFont="1" applyAlignment="1">
      <alignment vertical="center"/>
    </xf>
    <xf numFmtId="0" fontId="63" fillId="0" borderId="0" xfId="0" applyFont="1" applyAlignment="1">
      <alignment horizontal="left" vertical="center"/>
    </xf>
    <xf numFmtId="1" fontId="62" fillId="0" borderId="0" xfId="6" applyNumberFormat="1" applyFont="1" applyAlignment="1">
      <alignment horizontal="center" vertical="center" wrapText="1"/>
    </xf>
    <xf numFmtId="0" fontId="24" fillId="36" borderId="69" xfId="2" applyFont="1" applyFill="1" applyBorder="1" applyAlignment="1" applyProtection="1">
      <alignment horizontal="center" vertical="center"/>
      <protection locked="0" hidden="1"/>
    </xf>
    <xf numFmtId="2" fontId="62" fillId="0" borderId="0" xfId="2" applyNumberFormat="1" applyFont="1" applyAlignment="1">
      <alignment horizontal="center" vertical="center"/>
    </xf>
    <xf numFmtId="1" fontId="1" fillId="35" borderId="60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64" xfId="0" applyNumberFormat="1" applyFont="1" applyFill="1" applyBorder="1" applyAlignment="1" applyProtection="1">
      <alignment horizontal="right"/>
      <protection locked="0" hidden="1"/>
    </xf>
    <xf numFmtId="0" fontId="15" fillId="0" borderId="0" xfId="0" applyFont="1" applyAlignment="1">
      <alignment horizontal="center"/>
    </xf>
    <xf numFmtId="0" fontId="0" fillId="18" borderId="6" xfId="0" applyFill="1" applyBorder="1"/>
    <xf numFmtId="0" fontId="0" fillId="18" borderId="7" xfId="0" applyFill="1" applyBorder="1"/>
    <xf numFmtId="0" fontId="2" fillId="18" borderId="7" xfId="0" applyFont="1" applyFill="1" applyBorder="1" applyAlignment="1">
      <alignment horizontal="center"/>
    </xf>
    <xf numFmtId="0" fontId="2" fillId="18" borderId="8" xfId="0" applyFont="1" applyFill="1" applyBorder="1" applyAlignment="1">
      <alignment horizontal="center"/>
    </xf>
    <xf numFmtId="0" fontId="0" fillId="18" borderId="9" xfId="0" applyFill="1" applyBorder="1"/>
    <xf numFmtId="0" fontId="2" fillId="18" borderId="10" xfId="0" applyFont="1" applyFill="1" applyBorder="1" applyAlignment="1">
      <alignment horizontal="center"/>
    </xf>
    <xf numFmtId="0" fontId="0" fillId="18" borderId="11" xfId="0" applyFill="1" applyBorder="1"/>
    <xf numFmtId="0" fontId="0" fillId="18" borderId="12" xfId="0" applyFill="1" applyBorder="1"/>
    <xf numFmtId="0" fontId="2" fillId="18" borderId="12" xfId="0" applyFont="1" applyFill="1" applyBorder="1" applyAlignment="1">
      <alignment horizontal="center"/>
    </xf>
    <xf numFmtId="0" fontId="2" fillId="18" borderId="13" xfId="0" applyFont="1" applyFill="1" applyBorder="1" applyAlignment="1">
      <alignment horizontal="center"/>
    </xf>
    <xf numFmtId="14" fontId="2" fillId="18" borderId="29" xfId="0" applyNumberFormat="1" applyFont="1" applyFill="1" applyBorder="1" applyAlignment="1">
      <alignment horizontal="center"/>
    </xf>
    <xf numFmtId="0" fontId="2" fillId="0" borderId="0" xfId="0" applyFont="1"/>
    <xf numFmtId="0" fontId="64" fillId="0" borderId="0" xfId="2" applyFont="1" applyAlignment="1">
      <alignment horizontal="center" vertical="center"/>
    </xf>
    <xf numFmtId="1" fontId="64" fillId="0" borderId="0" xfId="2" applyNumberFormat="1" applyFont="1" applyAlignment="1">
      <alignment horizontal="center" vertical="center"/>
    </xf>
    <xf numFmtId="0" fontId="64" fillId="0" borderId="0" xfId="2" applyFont="1" applyAlignment="1">
      <alignment horizontal="center"/>
    </xf>
    <xf numFmtId="0" fontId="64" fillId="0" borderId="0" xfId="0" applyFont="1" applyAlignment="1">
      <alignment horizontal="center"/>
    </xf>
    <xf numFmtId="2" fontId="64" fillId="0" borderId="0" xfId="2" applyNumberFormat="1" applyFont="1" applyAlignment="1">
      <alignment horizontal="center" vertical="center"/>
    </xf>
    <xf numFmtId="49" fontId="64" fillId="0" borderId="0" xfId="2" applyNumberFormat="1" applyFont="1" applyAlignment="1">
      <alignment horizontal="center" vertical="center"/>
    </xf>
    <xf numFmtId="0" fontId="64" fillId="0" borderId="0" xfId="2" applyFont="1"/>
    <xf numFmtId="0" fontId="0" fillId="18" borderId="0" xfId="0" applyFill="1" applyAlignment="1" applyProtection="1">
      <alignment vertical="center"/>
      <protection locked="0"/>
    </xf>
    <xf numFmtId="14" fontId="48" fillId="0" borderId="0" xfId="0" applyNumberFormat="1" applyFont="1" applyAlignment="1">
      <alignment horizontal="left"/>
    </xf>
    <xf numFmtId="0" fontId="48" fillId="0" borderId="0" xfId="0" applyFont="1" applyAlignment="1">
      <alignment horizontal="left"/>
    </xf>
    <xf numFmtId="0" fontId="24" fillId="0" borderId="0" xfId="0" applyFont="1" applyAlignment="1">
      <alignment horizontal="center"/>
    </xf>
    <xf numFmtId="0" fontId="2" fillId="18" borderId="29" xfId="0" applyFont="1" applyFill="1" applyBorder="1" applyAlignment="1" applyProtection="1">
      <alignment horizontal="center" vertical="center"/>
      <protection hidden="1"/>
    </xf>
    <xf numFmtId="187" fontId="24" fillId="35" borderId="49" xfId="351" applyNumberFormat="1" applyFont="1" applyFill="1" applyBorder="1" applyAlignment="1" applyProtection="1">
      <alignment horizontal="right" vertical="center"/>
      <protection locked="0" hidden="1"/>
    </xf>
    <xf numFmtId="187" fontId="1" fillId="35" borderId="49" xfId="351" applyNumberFormat="1" applyFont="1" applyFill="1" applyBorder="1" applyAlignment="1" applyProtection="1">
      <alignment horizontal="right"/>
      <protection locked="0" hidden="1"/>
    </xf>
    <xf numFmtId="187" fontId="1" fillId="35" borderId="59" xfId="351" applyNumberFormat="1" applyFont="1" applyFill="1" applyBorder="1" applyAlignment="1" applyProtection="1">
      <alignment horizontal="right"/>
      <protection locked="0" hidden="1"/>
    </xf>
    <xf numFmtId="187" fontId="1" fillId="35" borderId="63" xfId="351" applyNumberFormat="1" applyFont="1" applyFill="1" applyBorder="1" applyAlignment="1" applyProtection="1">
      <alignment horizontal="right"/>
      <protection locked="0" hidden="1"/>
    </xf>
    <xf numFmtId="187" fontId="1" fillId="35" borderId="67" xfId="351" applyNumberFormat="1" applyFont="1" applyFill="1" applyBorder="1" applyAlignment="1" applyProtection="1">
      <alignment horizontal="right"/>
      <protection locked="0" hidden="1"/>
    </xf>
    <xf numFmtId="187" fontId="2" fillId="0" borderId="29" xfId="0" applyNumberFormat="1" applyFont="1" applyBorder="1"/>
    <xf numFmtId="187" fontId="2" fillId="0" borderId="29" xfId="0" applyNumberFormat="1" applyFont="1" applyBorder="1" applyAlignment="1">
      <alignment vertical="center"/>
    </xf>
    <xf numFmtId="14" fontId="2" fillId="18" borderId="0" xfId="0" applyNumberFormat="1" applyFont="1" applyFill="1" applyAlignment="1">
      <alignment horizontal="center" vertical="center"/>
    </xf>
    <xf numFmtId="14" fontId="0" fillId="18" borderId="0" xfId="0" applyNumberFormat="1" applyFill="1" applyAlignment="1">
      <alignment horizontal="left" vertical="center"/>
    </xf>
    <xf numFmtId="0" fontId="2" fillId="18" borderId="0" xfId="0" applyFont="1" applyFill="1" applyAlignment="1">
      <alignment vertical="top" shrinkToFit="1"/>
    </xf>
    <xf numFmtId="0" fontId="65" fillId="0" borderId="0" xfId="2" applyFont="1" applyAlignment="1">
      <alignment horizontal="center" vertical="center"/>
    </xf>
    <xf numFmtId="1" fontId="65" fillId="0" borderId="0" xfId="2" applyNumberFormat="1" applyFont="1" applyAlignment="1">
      <alignment horizontal="center" vertical="center"/>
    </xf>
    <xf numFmtId="49" fontId="65" fillId="0" borderId="0" xfId="2" applyNumberFormat="1" applyFont="1" applyAlignment="1">
      <alignment horizontal="center" vertical="center"/>
    </xf>
    <xf numFmtId="0" fontId="65" fillId="0" borderId="0" xfId="2" applyFont="1" applyAlignment="1">
      <alignment horizontal="center"/>
    </xf>
    <xf numFmtId="0" fontId="65" fillId="0" borderId="0" xfId="0" applyFont="1" applyAlignment="1">
      <alignment horizontal="center"/>
    </xf>
    <xf numFmtId="2" fontId="65" fillId="0" borderId="0" xfId="2" applyNumberFormat="1" applyFont="1" applyAlignment="1">
      <alignment horizontal="center" vertical="center"/>
    </xf>
    <xf numFmtId="0" fontId="65" fillId="0" borderId="0" xfId="2" applyFont="1" applyAlignment="1">
      <alignment horizontal="left" vertical="center"/>
    </xf>
    <xf numFmtId="3" fontId="50" fillId="0" borderId="29" xfId="0" applyNumberFormat="1" applyFont="1" applyBorder="1" applyAlignment="1">
      <alignment vertical="center"/>
    </xf>
    <xf numFmtId="170" fontId="48" fillId="0" borderId="0" xfId="0" applyNumberFormat="1" applyFont="1" applyAlignment="1">
      <alignment horizontal="center"/>
    </xf>
    <xf numFmtId="1" fontId="39" fillId="0" borderId="0" xfId="0" applyNumberFormat="1" applyFont="1" applyAlignment="1">
      <alignment horizontal="center"/>
    </xf>
    <xf numFmtId="0" fontId="2" fillId="0" borderId="29" xfId="0" applyFon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0" fontId="66" fillId="0" borderId="0" xfId="2" applyFont="1" applyAlignment="1">
      <alignment horizontal="center" vertical="center"/>
    </xf>
    <xf numFmtId="1" fontId="66" fillId="0" borderId="0" xfId="2" applyNumberFormat="1" applyFont="1" applyAlignment="1">
      <alignment horizontal="center" vertical="center"/>
    </xf>
    <xf numFmtId="49" fontId="66" fillId="0" borderId="0" xfId="2" applyNumberFormat="1" applyFont="1" applyAlignment="1">
      <alignment horizontal="center" vertical="center"/>
    </xf>
    <xf numFmtId="0" fontId="66" fillId="0" borderId="0" xfId="2" applyFont="1"/>
    <xf numFmtId="0" fontId="66" fillId="0" borderId="0" xfId="2" applyFont="1" applyAlignment="1">
      <alignment horizontal="center"/>
    </xf>
    <xf numFmtId="0" fontId="66" fillId="0" borderId="0" xfId="0" applyFont="1" applyAlignment="1">
      <alignment horizontal="center"/>
    </xf>
    <xf numFmtId="2" fontId="66" fillId="0" borderId="0" xfId="2" applyNumberFormat="1" applyFont="1" applyAlignment="1">
      <alignment horizontal="center" vertical="center"/>
    </xf>
    <xf numFmtId="3" fontId="1" fillId="36" borderId="62" xfId="0" applyNumberFormat="1" applyFont="1" applyFill="1" applyBorder="1" applyAlignment="1" applyProtection="1">
      <alignment horizontal="center"/>
      <protection locked="0" hidden="1"/>
    </xf>
    <xf numFmtId="0" fontId="0" fillId="0" borderId="33" xfId="0" applyBorder="1" applyAlignment="1" applyProtection="1">
      <alignment horizontal="center" vertical="center"/>
      <protection locked="0" hidden="1"/>
    </xf>
    <xf numFmtId="0" fontId="0" fillId="0" borderId="35" xfId="0" applyBorder="1" applyAlignment="1" applyProtection="1">
      <alignment horizontal="center" vertical="center"/>
      <protection locked="0" hidden="1"/>
    </xf>
    <xf numFmtId="0" fontId="0" fillId="0" borderId="38" xfId="0" applyBorder="1" applyAlignment="1" applyProtection="1">
      <alignment horizontal="center" vertical="center"/>
      <protection locked="0" hidden="1"/>
    </xf>
    <xf numFmtId="187" fontId="1" fillId="0" borderId="26" xfId="351" applyNumberFormat="1" applyFont="1" applyBorder="1" applyAlignment="1">
      <alignment horizontal="center"/>
    </xf>
    <xf numFmtId="0" fontId="67" fillId="0" borderId="0" xfId="2" applyFont="1" applyAlignment="1">
      <alignment horizontal="center" vertical="center"/>
    </xf>
    <xf numFmtId="1" fontId="67" fillId="0" borderId="0" xfId="2" applyNumberFormat="1" applyFont="1" applyAlignment="1">
      <alignment horizontal="center" vertical="center"/>
    </xf>
    <xf numFmtId="49" fontId="67" fillId="0" borderId="0" xfId="2" applyNumberFormat="1" applyFont="1" applyAlignment="1">
      <alignment horizontal="center" vertical="center"/>
    </xf>
    <xf numFmtId="0" fontId="67" fillId="0" borderId="0" xfId="2" applyFont="1"/>
    <xf numFmtId="0" fontId="67" fillId="0" borderId="0" xfId="2" applyFont="1" applyAlignment="1">
      <alignment horizontal="center"/>
    </xf>
    <xf numFmtId="0" fontId="67" fillId="0" borderId="0" xfId="0" applyFont="1" applyAlignment="1">
      <alignment horizontal="center"/>
    </xf>
    <xf numFmtId="2" fontId="67" fillId="0" borderId="0" xfId="2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1" fontId="15" fillId="0" borderId="0" xfId="2" applyNumberFormat="1" applyAlignment="1">
      <alignment horizontal="center" vertical="center"/>
    </xf>
    <xf numFmtId="14" fontId="2" fillId="18" borderId="0" xfId="0" applyNumberFormat="1" applyFont="1" applyFill="1" applyAlignment="1">
      <alignment horizontal="center"/>
    </xf>
    <xf numFmtId="1" fontId="24" fillId="0" borderId="0" xfId="0" applyNumberFormat="1" applyFont="1" applyAlignment="1">
      <alignment horizontal="center"/>
    </xf>
    <xf numFmtId="0" fontId="69" fillId="0" borderId="0" xfId="2" applyFont="1" applyAlignment="1">
      <alignment horizontal="center" vertical="center"/>
    </xf>
    <xf numFmtId="1" fontId="69" fillId="0" borderId="0" xfId="2" applyNumberFormat="1" applyFont="1" applyAlignment="1">
      <alignment horizontal="center" vertical="center"/>
    </xf>
    <xf numFmtId="49" fontId="69" fillId="0" borderId="0" xfId="2" applyNumberFormat="1" applyFont="1" applyAlignment="1">
      <alignment horizontal="center" vertical="center"/>
    </xf>
    <xf numFmtId="0" fontId="69" fillId="0" borderId="0" xfId="2" applyFont="1" applyAlignment="1">
      <alignment horizontal="center"/>
    </xf>
    <xf numFmtId="0" fontId="69" fillId="0" borderId="0" xfId="0" applyFont="1" applyAlignment="1">
      <alignment horizontal="center"/>
    </xf>
    <xf numFmtId="2" fontId="69" fillId="0" borderId="0" xfId="2" applyNumberFormat="1" applyFont="1" applyAlignment="1">
      <alignment horizontal="center" vertical="center"/>
    </xf>
    <xf numFmtId="0" fontId="69" fillId="0" borderId="0" xfId="2" applyFont="1"/>
    <xf numFmtId="0" fontId="15" fillId="0" borderId="19" xfId="2" applyBorder="1" applyAlignment="1">
      <alignment horizontal="left" vertical="center"/>
    </xf>
    <xf numFmtId="2" fontId="0" fillId="0" borderId="0" xfId="347" applyNumberFormat="1" applyFont="1" applyAlignment="1">
      <alignment horizontal="center"/>
    </xf>
    <xf numFmtId="2" fontId="0" fillId="0" borderId="0" xfId="347" applyNumberFormat="1" applyFont="1"/>
    <xf numFmtId="0" fontId="70" fillId="0" borderId="0" xfId="2" applyFont="1" applyAlignment="1">
      <alignment horizontal="center"/>
    </xf>
    <xf numFmtId="0" fontId="71" fillId="0" borderId="0" xfId="2" applyFont="1" applyAlignment="1">
      <alignment horizontal="center" vertical="top" wrapText="1"/>
    </xf>
    <xf numFmtId="49" fontId="0" fillId="0" borderId="0" xfId="0" applyNumberFormat="1"/>
    <xf numFmtId="0" fontId="71" fillId="0" borderId="0" xfId="0" applyFont="1" applyAlignment="1">
      <alignment horizontal="center" vertical="top" wrapText="1"/>
    </xf>
    <xf numFmtId="0" fontId="37" fillId="0" borderId="21" xfId="2" applyFont="1" applyBorder="1" applyAlignment="1">
      <alignment horizontal="left" vertical="center"/>
    </xf>
    <xf numFmtId="0" fontId="1" fillId="0" borderId="0" xfId="41" applyAlignment="1">
      <alignment horizontal="left" vertical="center" wrapText="1"/>
    </xf>
    <xf numFmtId="0" fontId="0" fillId="0" borderId="0" xfId="0" applyAlignment="1">
      <alignment horizontal="left" wrapText="1"/>
    </xf>
    <xf numFmtId="0" fontId="24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16" fillId="0" borderId="18" xfId="2" applyFont="1" applyBorder="1" applyAlignment="1">
      <alignment horizontal="left" vertical="center" indent="1"/>
    </xf>
    <xf numFmtId="0" fontId="16" fillId="0" borderId="19" xfId="2" applyFont="1" applyBorder="1" applyAlignment="1">
      <alignment horizontal="left" vertical="center" indent="1"/>
    </xf>
    <xf numFmtId="0" fontId="39" fillId="0" borderId="0" xfId="0" applyFont="1" applyAlignment="1">
      <alignment horizontal="left"/>
    </xf>
    <xf numFmtId="0" fontId="24" fillId="0" borderId="0" xfId="0" applyFont="1" applyAlignment="1">
      <alignment horizontal="left" vertical="center"/>
    </xf>
    <xf numFmtId="0" fontId="50" fillId="18" borderId="31" xfId="0" applyFont="1" applyFill="1" applyBorder="1" applyAlignment="1">
      <alignment horizontal="right"/>
    </xf>
    <xf numFmtId="14" fontId="50" fillId="18" borderId="33" xfId="0" applyNumberFormat="1" applyFont="1" applyFill="1" applyBorder="1" applyAlignment="1">
      <alignment horizontal="center" vertical="center"/>
    </xf>
    <xf numFmtId="0" fontId="50" fillId="18" borderId="33" xfId="0" applyFont="1" applyFill="1" applyBorder="1" applyAlignment="1">
      <alignment horizontal="center" vertical="center"/>
    </xf>
    <xf numFmtId="0" fontId="72" fillId="0" borderId="0" xfId="2" applyFont="1" applyAlignment="1">
      <alignment horizontal="center" vertical="center"/>
    </xf>
    <xf numFmtId="1" fontId="72" fillId="0" borderId="0" xfId="2" applyNumberFormat="1" applyFont="1" applyAlignment="1">
      <alignment horizontal="center" vertical="center"/>
    </xf>
    <xf numFmtId="49" fontId="72" fillId="0" borderId="0" xfId="2" applyNumberFormat="1" applyFont="1" applyAlignment="1">
      <alignment horizontal="center" vertical="center"/>
    </xf>
    <xf numFmtId="0" fontId="72" fillId="0" borderId="0" xfId="2" applyFont="1"/>
    <xf numFmtId="0" fontId="72" fillId="0" borderId="0" xfId="2" applyFont="1" applyAlignment="1">
      <alignment horizontal="center"/>
    </xf>
    <xf numFmtId="0" fontId="72" fillId="0" borderId="0" xfId="0" applyFont="1" applyAlignment="1">
      <alignment horizontal="center"/>
    </xf>
    <xf numFmtId="0" fontId="24" fillId="0" borderId="0" xfId="2" applyFont="1" applyAlignment="1">
      <alignment horizontal="right" vertical="center"/>
    </xf>
    <xf numFmtId="3" fontId="37" fillId="0" borderId="21" xfId="2" applyNumberFormat="1" applyFont="1" applyBorder="1" applyAlignment="1">
      <alignment horizontal="left" vertical="center"/>
    </xf>
    <xf numFmtId="188" fontId="0" fillId="0" borderId="0" xfId="0" applyNumberFormat="1" applyAlignment="1">
      <alignment horizontal="center"/>
    </xf>
    <xf numFmtId="0" fontId="73" fillId="0" borderId="0" xfId="0" applyFont="1" applyAlignment="1">
      <alignment horizontal="center" shrinkToFit="1"/>
    </xf>
    <xf numFmtId="170" fontId="73" fillId="0" borderId="0" xfId="0" applyNumberFormat="1" applyFont="1" applyAlignment="1">
      <alignment horizontal="center"/>
    </xf>
    <xf numFmtId="170" fontId="73" fillId="0" borderId="0" xfId="0" applyNumberFormat="1" applyFont="1" applyAlignment="1">
      <alignment horizontal="left"/>
    </xf>
    <xf numFmtId="0" fontId="22" fillId="0" borderId="19" xfId="2" applyFont="1" applyBorder="1" applyAlignment="1">
      <alignment horizontal="left" vertical="top"/>
    </xf>
    <xf numFmtId="0" fontId="15" fillId="0" borderId="23" xfId="2" applyBorder="1" applyAlignment="1">
      <alignment horizontal="center"/>
    </xf>
    <xf numFmtId="181" fontId="24" fillId="0" borderId="26" xfId="2" applyNumberFormat="1" applyFont="1" applyBorder="1" applyAlignment="1">
      <alignment horizontal="center" vertical="center"/>
    </xf>
    <xf numFmtId="181" fontId="1" fillId="35" borderId="48" xfId="0" applyNumberFormat="1" applyFont="1" applyFill="1" applyBorder="1" applyAlignment="1" applyProtection="1">
      <alignment horizontal="center" vertical="center"/>
      <protection locked="0" hidden="1"/>
    </xf>
    <xf numFmtId="181" fontId="1" fillId="35" borderId="23" xfId="0" applyNumberFormat="1" applyFont="1" applyFill="1" applyBorder="1" applyAlignment="1" applyProtection="1">
      <alignment horizontal="center" vertical="center"/>
      <protection locked="0" hidden="1"/>
    </xf>
    <xf numFmtId="181" fontId="1" fillId="35" borderId="66" xfId="0" applyNumberFormat="1" applyFont="1" applyFill="1" applyBorder="1" applyAlignment="1" applyProtection="1">
      <alignment horizontal="center"/>
      <protection locked="0" hidden="1"/>
    </xf>
    <xf numFmtId="170" fontId="74" fillId="0" borderId="0" xfId="0" applyNumberFormat="1" applyFont="1" applyAlignment="1">
      <alignment horizontal="left"/>
    </xf>
    <xf numFmtId="0" fontId="75" fillId="0" borderId="0" xfId="2" applyFont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49" fontId="75" fillId="0" borderId="0" xfId="2" applyNumberFormat="1" applyFont="1" applyAlignment="1">
      <alignment horizontal="center" vertical="center"/>
    </xf>
    <xf numFmtId="0" fontId="75" fillId="0" borderId="0" xfId="2" applyFont="1"/>
    <xf numFmtId="0" fontId="75" fillId="0" borderId="0" xfId="2" applyFont="1" applyAlignment="1">
      <alignment horizontal="center"/>
    </xf>
    <xf numFmtId="0" fontId="75" fillId="0" borderId="0" xfId="0" applyFont="1" applyAlignment="1">
      <alignment horizontal="center"/>
    </xf>
    <xf numFmtId="2" fontId="75" fillId="0" borderId="0" xfId="2" applyNumberFormat="1" applyFont="1" applyAlignment="1">
      <alignment horizontal="center" vertical="center"/>
    </xf>
    <xf numFmtId="170" fontId="48" fillId="0" borderId="0" xfId="0" applyNumberFormat="1" applyFont="1" applyAlignment="1">
      <alignment horizontal="left"/>
    </xf>
    <xf numFmtId="170" fontId="59" fillId="0" borderId="0" xfId="0" applyNumberFormat="1" applyFont="1" applyAlignment="1">
      <alignment horizontal="left" wrapText="1"/>
    </xf>
    <xf numFmtId="189" fontId="62" fillId="0" borderId="0" xfId="2" applyNumberFormat="1" applyFont="1" applyAlignment="1">
      <alignment horizontal="center"/>
    </xf>
    <xf numFmtId="187" fontId="1" fillId="35" borderId="24" xfId="351" applyNumberFormat="1" applyFont="1" applyFill="1" applyBorder="1" applyAlignment="1" applyProtection="1">
      <alignment horizontal="right"/>
      <protection locked="0" hidden="1"/>
    </xf>
    <xf numFmtId="170" fontId="74" fillId="0" borderId="0" xfId="0" applyNumberFormat="1" applyFont="1" applyAlignment="1">
      <alignment horizontal="left" wrapText="1"/>
    </xf>
    <xf numFmtId="0" fontId="76" fillId="0" borderId="0" xfId="0" applyFont="1" applyAlignment="1">
      <alignment horizontal="center" shrinkToFit="1"/>
    </xf>
    <xf numFmtId="170" fontId="76" fillId="0" borderId="0" xfId="0" applyNumberFormat="1" applyFont="1" applyAlignment="1">
      <alignment horizontal="center"/>
    </xf>
    <xf numFmtId="170" fontId="76" fillId="0" borderId="0" xfId="0" applyNumberFormat="1" applyFont="1" applyAlignment="1">
      <alignment horizontal="left"/>
    </xf>
    <xf numFmtId="170" fontId="77" fillId="0" borderId="0" xfId="0" applyNumberFormat="1" applyFont="1" applyAlignment="1">
      <alignment horizontal="left" wrapText="1"/>
    </xf>
    <xf numFmtId="0" fontId="0" fillId="0" borderId="14" xfId="0" applyBorder="1"/>
    <xf numFmtId="0" fontId="0" fillId="18" borderId="14" xfId="0" applyFill="1" applyBorder="1" applyAlignment="1">
      <alignment horizontal="left" vertical="center"/>
    </xf>
    <xf numFmtId="0" fontId="78" fillId="0" borderId="0" xfId="0" applyFont="1" applyAlignment="1">
      <alignment horizontal="left"/>
    </xf>
    <xf numFmtId="0" fontId="78" fillId="0" borderId="0" xfId="0" applyFont="1" applyAlignment="1">
      <alignment vertical="center"/>
    </xf>
    <xf numFmtId="0" fontId="78" fillId="0" borderId="0" xfId="0" applyFont="1" applyAlignment="1">
      <alignment horizontal="left" vertical="center"/>
    </xf>
    <xf numFmtId="0" fontId="76" fillId="0" borderId="0" xfId="0" applyFont="1" applyAlignment="1">
      <alignment horizontal="left"/>
    </xf>
    <xf numFmtId="0" fontId="0" fillId="36" borderId="69" xfId="0" applyFill="1" applyBorder="1" applyAlignment="1" applyProtection="1">
      <alignment horizontal="center" vertical="center"/>
      <protection locked="0" hidden="1"/>
    </xf>
    <xf numFmtId="3" fontId="1" fillId="36" borderId="70" xfId="0" applyNumberFormat="1" applyFont="1" applyFill="1" applyBorder="1" applyAlignment="1" applyProtection="1">
      <alignment horizontal="center"/>
      <protection locked="0" hidden="1"/>
    </xf>
    <xf numFmtId="0" fontId="79" fillId="0" borderId="0" xfId="0" applyFont="1" applyAlignment="1">
      <alignment horizontal="center" shrinkToFit="1"/>
    </xf>
    <xf numFmtId="170" fontId="79" fillId="0" borderId="0" xfId="0" applyNumberFormat="1" applyFont="1" applyAlignment="1">
      <alignment horizontal="center"/>
    </xf>
    <xf numFmtId="170" fontId="79" fillId="0" borderId="0" xfId="0" applyNumberFormat="1" applyFont="1" applyAlignment="1">
      <alignment horizontal="left"/>
    </xf>
    <xf numFmtId="170" fontId="80" fillId="0" borderId="0" xfId="0" applyNumberFormat="1" applyFont="1" applyAlignment="1">
      <alignment horizontal="left" wrapText="1"/>
    </xf>
    <xf numFmtId="190" fontId="24" fillId="0" borderId="25" xfId="351" applyNumberFormat="1" applyFont="1" applyBorder="1" applyAlignment="1">
      <alignment horizontal="center" vertical="center" wrapText="1"/>
    </xf>
    <xf numFmtId="190" fontId="1" fillId="0" borderId="26" xfId="351" applyNumberFormat="1" applyFont="1" applyBorder="1" applyAlignment="1">
      <alignment horizontal="center"/>
    </xf>
    <xf numFmtId="190" fontId="2" fillId="0" borderId="0" xfId="0" applyNumberFormat="1" applyFont="1" applyAlignment="1">
      <alignment horizontal="left"/>
    </xf>
    <xf numFmtId="0" fontId="17" fillId="0" borderId="22" xfId="2" applyFont="1" applyBorder="1" applyAlignment="1">
      <alignment horizontal="center" vertical="center"/>
    </xf>
    <xf numFmtId="0" fontId="17" fillId="0" borderId="24" xfId="2" applyFont="1" applyBorder="1" applyAlignment="1">
      <alignment horizontal="center" vertical="center"/>
    </xf>
    <xf numFmtId="14" fontId="17" fillId="0" borderId="22" xfId="2" applyNumberFormat="1" applyFont="1" applyBorder="1" applyAlignment="1">
      <alignment horizontal="center" vertical="center"/>
    </xf>
    <xf numFmtId="14" fontId="55" fillId="0" borderId="24" xfId="2" applyNumberFormat="1" applyFont="1" applyBorder="1" applyAlignment="1">
      <alignment horizontal="center" vertical="center"/>
    </xf>
    <xf numFmtId="0" fontId="17" fillId="0" borderId="22" xfId="2" applyFont="1" applyBorder="1" applyAlignment="1">
      <alignment horizontal="center" vertical="center" shrinkToFit="1"/>
    </xf>
    <xf numFmtId="0" fontId="17" fillId="0" borderId="23" xfId="2" applyFont="1" applyBorder="1" applyAlignment="1">
      <alignment horizontal="center" vertical="center" shrinkToFit="1"/>
    </xf>
    <xf numFmtId="0" fontId="17" fillId="0" borderId="24" xfId="2" applyFont="1" applyBorder="1" applyAlignment="1">
      <alignment horizontal="center" vertical="center" shrinkToFit="1"/>
    </xf>
    <xf numFmtId="0" fontId="22" fillId="0" borderId="18" xfId="2" applyFont="1" applyBorder="1" applyAlignment="1">
      <alignment vertical="top"/>
    </xf>
    <xf numFmtId="0" fontId="22" fillId="0" borderId="20" xfId="2" applyFont="1" applyBorder="1" applyAlignment="1">
      <alignment vertical="top"/>
    </xf>
    <xf numFmtId="0" fontId="22" fillId="0" borderId="18" xfId="2" applyFont="1" applyBorder="1" applyAlignment="1">
      <alignment horizontal="left" vertical="top"/>
    </xf>
    <xf numFmtId="0" fontId="54" fillId="0" borderId="20" xfId="2" applyFont="1" applyBorder="1" applyAlignment="1">
      <alignment horizontal="left" vertical="top"/>
    </xf>
    <xf numFmtId="0" fontId="22" fillId="0" borderId="19" xfId="2" applyFont="1" applyBorder="1" applyAlignment="1">
      <alignment vertical="top"/>
    </xf>
    <xf numFmtId="0" fontId="22" fillId="0" borderId="20" xfId="2" applyFont="1" applyBorder="1" applyAlignment="1">
      <alignment horizontal="left" vertical="top"/>
    </xf>
    <xf numFmtId="0" fontId="22" fillId="0" borderId="19" xfId="2" applyFont="1" applyBorder="1" applyAlignment="1">
      <alignment horizontal="left" vertical="top"/>
    </xf>
    <xf numFmtId="0" fontId="54" fillId="0" borderId="19" xfId="2" applyFont="1" applyBorder="1" applyAlignment="1">
      <alignment horizontal="left" vertical="top"/>
    </xf>
    <xf numFmtId="0" fontId="22" fillId="0" borderId="47" xfId="2" applyFon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179" fontId="22" fillId="0" borderId="19" xfId="2" applyNumberFormat="1" applyFont="1" applyBorder="1" applyAlignment="1">
      <alignment horizontal="left" vertical="top"/>
    </xf>
    <xf numFmtId="0" fontId="3" fillId="0" borderId="0" xfId="2" applyFont="1" applyAlignment="1">
      <alignment horizontal="center" vertical="center"/>
    </xf>
    <xf numFmtId="179" fontId="3" fillId="0" borderId="0" xfId="2" applyNumberFormat="1" applyFont="1" applyAlignment="1">
      <alignment horizontal="center" vertical="center"/>
    </xf>
    <xf numFmtId="187" fontId="17" fillId="0" borderId="23" xfId="351" applyNumberFormat="1" applyFont="1" applyFill="1" applyBorder="1" applyAlignment="1" applyProtection="1">
      <alignment horizontal="right" vertical="center"/>
    </xf>
    <xf numFmtId="165" fontId="17" fillId="0" borderId="23" xfId="351" applyFont="1" applyFill="1" applyBorder="1" applyAlignment="1" applyProtection="1">
      <alignment horizontal="right" vertical="center"/>
    </xf>
    <xf numFmtId="165" fontId="17" fillId="0" borderId="24" xfId="351" applyFont="1" applyFill="1" applyBorder="1" applyAlignment="1" applyProtection="1">
      <alignment horizontal="right" vertical="center"/>
    </xf>
    <xf numFmtId="0" fontId="22" fillId="0" borderId="14" xfId="2" applyFont="1" applyBorder="1" applyAlignment="1">
      <alignment horizontal="left" vertical="top"/>
    </xf>
    <xf numFmtId="0" fontId="22" fillId="0" borderId="21" xfId="2" applyFont="1" applyBorder="1" applyAlignment="1">
      <alignment horizontal="left" vertical="top"/>
    </xf>
    <xf numFmtId="179" fontId="22" fillId="0" borderId="18" xfId="2" applyNumberFormat="1" applyFont="1" applyBorder="1" applyAlignment="1">
      <alignment vertical="top"/>
    </xf>
    <xf numFmtId="179" fontId="22" fillId="0" borderId="19" xfId="2" applyNumberFormat="1" applyFont="1" applyBorder="1" applyAlignment="1">
      <alignment vertical="top"/>
    </xf>
    <xf numFmtId="0" fontId="15" fillId="0" borderId="0" xfId="2" applyAlignment="1">
      <alignment horizontal="center" vertical="center"/>
    </xf>
    <xf numFmtId="179" fontId="15" fillId="0" borderId="0" xfId="2" applyNumberFormat="1" applyAlignment="1">
      <alignment horizontal="center" vertical="center"/>
    </xf>
    <xf numFmtId="187" fontId="17" fillId="0" borderId="22" xfId="351" applyNumberFormat="1" applyFont="1" applyFill="1" applyBorder="1" applyAlignment="1" applyProtection="1">
      <alignment horizontal="right" vertical="center"/>
    </xf>
    <xf numFmtId="0" fontId="3" fillId="0" borderId="18" xfId="2" applyFont="1" applyBorder="1" applyAlignment="1">
      <alignment horizontal="center" vertical="center"/>
    </xf>
    <xf numFmtId="0" fontId="3" fillId="0" borderId="19" xfId="2" applyFont="1" applyBorder="1" applyAlignment="1">
      <alignment horizontal="center" vertical="center"/>
    </xf>
    <xf numFmtId="179" fontId="3" fillId="0" borderId="19" xfId="2" applyNumberFormat="1" applyFont="1" applyBorder="1" applyAlignment="1">
      <alignment horizontal="center" vertical="center"/>
    </xf>
    <xf numFmtId="0" fontId="3" fillId="0" borderId="20" xfId="2" applyFont="1" applyBorder="1" applyAlignment="1">
      <alignment horizontal="center" vertical="center"/>
    </xf>
    <xf numFmtId="0" fontId="3" fillId="0" borderId="22" xfId="2" applyFont="1" applyBorder="1" applyAlignment="1">
      <alignment horizontal="center" vertical="center"/>
    </xf>
    <xf numFmtId="0" fontId="3" fillId="0" borderId="23" xfId="2" applyFont="1" applyBorder="1" applyAlignment="1">
      <alignment horizontal="center" vertical="center"/>
    </xf>
    <xf numFmtId="179" fontId="3" fillId="0" borderId="23" xfId="2" applyNumberFormat="1" applyFont="1" applyBorder="1" applyAlignment="1">
      <alignment horizontal="center" vertical="center"/>
    </xf>
    <xf numFmtId="0" fontId="3" fillId="0" borderId="24" xfId="2" applyFont="1" applyBorder="1" applyAlignment="1">
      <alignment horizontal="center" vertical="center"/>
    </xf>
    <xf numFmtId="0" fontId="17" fillId="0" borderId="14" xfId="2" applyFont="1" applyBorder="1" applyAlignment="1">
      <alignment horizontal="center" vertical="center" wrapText="1"/>
    </xf>
    <xf numFmtId="0" fontId="17" fillId="0" borderId="21" xfId="2" applyFont="1" applyBorder="1" applyAlignment="1">
      <alignment horizontal="center" vertical="center" wrapText="1"/>
    </xf>
    <xf numFmtId="0" fontId="17" fillId="0" borderId="22" xfId="2" applyFont="1" applyBorder="1" applyAlignment="1">
      <alignment horizontal="center" vertical="center" wrapText="1"/>
    </xf>
    <xf numFmtId="0" fontId="17" fillId="0" borderId="24" xfId="2" applyFont="1" applyBorder="1" applyAlignment="1">
      <alignment horizontal="center" vertical="center" wrapText="1"/>
    </xf>
    <xf numFmtId="49" fontId="17" fillId="0" borderId="26" xfId="2" applyNumberFormat="1" applyFont="1" applyBorder="1" applyAlignment="1">
      <alignment horizontal="center" vertical="center"/>
    </xf>
    <xf numFmtId="49" fontId="17" fillId="0" borderId="27" xfId="2" applyNumberFormat="1" applyFont="1" applyBorder="1" applyAlignment="1">
      <alignment horizontal="center" vertical="center"/>
    </xf>
    <xf numFmtId="187" fontId="17" fillId="0" borderId="14" xfId="351" applyNumberFormat="1" applyFont="1" applyFill="1" applyBorder="1" applyAlignment="1" applyProtection="1">
      <alignment horizontal="center" vertical="center"/>
    </xf>
    <xf numFmtId="165" fontId="17" fillId="0" borderId="21" xfId="351" applyFont="1" applyFill="1" applyBorder="1" applyAlignment="1" applyProtection="1">
      <alignment horizontal="center" vertical="center"/>
    </xf>
    <xf numFmtId="165" fontId="17" fillId="0" borderId="14" xfId="351" applyFont="1" applyFill="1" applyBorder="1" applyAlignment="1" applyProtection="1">
      <alignment horizontal="center" vertical="center"/>
    </xf>
    <xf numFmtId="165" fontId="17" fillId="0" borderId="22" xfId="351" applyFont="1" applyFill="1" applyBorder="1" applyAlignment="1" applyProtection="1">
      <alignment horizontal="center" vertical="center"/>
    </xf>
    <xf numFmtId="165" fontId="17" fillId="0" borderId="24" xfId="351" applyFont="1" applyFill="1" applyBorder="1" applyAlignment="1" applyProtection="1">
      <alignment horizontal="center" vertical="center"/>
    </xf>
    <xf numFmtId="183" fontId="17" fillId="0" borderId="14" xfId="344" applyNumberFormat="1" applyFont="1" applyFill="1" applyBorder="1" applyAlignment="1">
      <alignment horizontal="center" vertical="center"/>
    </xf>
    <xf numFmtId="183" fontId="17" fillId="0" borderId="21" xfId="344" applyNumberFormat="1" applyFont="1" applyFill="1" applyBorder="1" applyAlignment="1">
      <alignment horizontal="center" vertical="center"/>
    </xf>
    <xf numFmtId="183" fontId="17" fillId="0" borderId="22" xfId="344" applyNumberFormat="1" applyFont="1" applyFill="1" applyBorder="1" applyAlignment="1">
      <alignment horizontal="center" vertical="center"/>
    </xf>
    <xf numFmtId="183" fontId="17" fillId="0" borderId="24" xfId="344" applyNumberFormat="1" applyFont="1" applyFill="1" applyBorder="1" applyAlignment="1">
      <alignment horizontal="center" vertical="center"/>
    </xf>
    <xf numFmtId="0" fontId="3" fillId="0" borderId="19" xfId="2" applyFont="1" applyBorder="1" applyAlignment="1">
      <alignment horizontal="left" vertical="center"/>
    </xf>
    <xf numFmtId="0" fontId="3" fillId="0" borderId="23" xfId="2" applyFont="1" applyBorder="1" applyAlignment="1">
      <alignment horizontal="left" vertical="center"/>
    </xf>
    <xf numFmtId="0" fontId="15" fillId="0" borderId="22" xfId="2" applyBorder="1" applyAlignment="1">
      <alignment horizontal="center"/>
    </xf>
    <xf numFmtId="0" fontId="15" fillId="0" borderId="24" xfId="2" applyBorder="1" applyAlignment="1">
      <alignment horizontal="center"/>
    </xf>
    <xf numFmtId="14" fontId="15" fillId="0" borderId="22" xfId="2" applyNumberFormat="1" applyBorder="1" applyAlignment="1">
      <alignment horizontal="center"/>
    </xf>
    <xf numFmtId="14" fontId="15" fillId="0" borderId="24" xfId="2" applyNumberFormat="1" applyBorder="1" applyAlignment="1">
      <alignment horizontal="center"/>
    </xf>
    <xf numFmtId="0" fontId="15" fillId="0" borderId="23" xfId="2" applyBorder="1" applyAlignment="1">
      <alignment horizontal="center"/>
    </xf>
    <xf numFmtId="0" fontId="22" fillId="0" borderId="18" xfId="40" applyFont="1" applyBorder="1" applyAlignment="1">
      <alignment horizontal="left" vertical="top"/>
    </xf>
    <xf numFmtId="0" fontId="22" fillId="0" borderId="20" xfId="40" applyFont="1" applyBorder="1" applyAlignment="1">
      <alignment horizontal="left" vertical="top"/>
    </xf>
    <xf numFmtId="0" fontId="22" fillId="0" borderId="47" xfId="2" applyFont="1" applyBorder="1" applyAlignment="1">
      <alignment horizontal="center" vertical="center" wrapText="1"/>
    </xf>
    <xf numFmtId="0" fontId="22" fillId="0" borderId="48" xfId="2" applyFont="1" applyBorder="1" applyAlignment="1">
      <alignment horizontal="center" vertical="center" wrapText="1"/>
    </xf>
    <xf numFmtId="0" fontId="54" fillId="0" borderId="49" xfId="2" applyFont="1" applyBorder="1" applyAlignment="1">
      <alignment horizontal="center" vertical="center" wrapText="1"/>
    </xf>
    <xf numFmtId="0" fontId="22" fillId="0" borderId="0" xfId="2" applyFont="1" applyAlignment="1">
      <alignment vertical="top"/>
    </xf>
    <xf numFmtId="184" fontId="15" fillId="0" borderId="22" xfId="40" applyNumberFormat="1" applyBorder="1" applyAlignment="1">
      <alignment horizontal="center" vertical="center"/>
    </xf>
    <xf numFmtId="184" fontId="15" fillId="0" borderId="24" xfId="40" applyNumberFormat="1" applyBorder="1" applyAlignment="1">
      <alignment horizontal="center" vertical="center"/>
    </xf>
    <xf numFmtId="0" fontId="15" fillId="0" borderId="23" xfId="40" applyBorder="1" applyAlignment="1">
      <alignment horizontal="center" vertical="center"/>
    </xf>
    <xf numFmtId="0" fontId="15" fillId="0" borderId="24" xfId="40" applyBorder="1" applyAlignment="1">
      <alignment horizontal="center" vertical="center"/>
    </xf>
    <xf numFmtId="0" fontId="15" fillId="0" borderId="22" xfId="40" applyBorder="1" applyAlignment="1">
      <alignment horizontal="center" vertical="center"/>
    </xf>
    <xf numFmtId="3" fontId="15" fillId="0" borderId="22" xfId="40" applyNumberFormat="1" applyBorder="1" applyAlignment="1">
      <alignment horizontal="center" vertical="center"/>
    </xf>
    <xf numFmtId="3" fontId="15" fillId="0" borderId="24" xfId="40" applyNumberFormat="1" applyBorder="1" applyAlignment="1">
      <alignment horizontal="center" vertical="center"/>
    </xf>
    <xf numFmtId="0" fontId="3" fillId="0" borderId="9" xfId="41" applyFont="1" applyBorder="1" applyAlignment="1">
      <alignment horizontal="left" vertical="top" textRotation="180" wrapText="1"/>
    </xf>
    <xf numFmtId="0" fontId="1" fillId="0" borderId="9" xfId="41" applyBorder="1" applyAlignment="1">
      <alignment horizontal="left" vertical="top"/>
    </xf>
    <xf numFmtId="0" fontId="1" fillId="0" borderId="9" xfId="41" applyBorder="1" applyAlignment="1">
      <alignment vertical="top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6" xfId="41" quotePrefix="1" applyFont="1" applyBorder="1" applyAlignment="1">
      <alignment vertical="center"/>
    </xf>
    <xf numFmtId="0" fontId="6" fillId="0" borderId="7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9" fillId="0" borderId="12" xfId="41" applyFont="1" applyBorder="1" applyAlignment="1" applyProtection="1">
      <alignment vertical="center" shrinkToFit="1"/>
      <protection locked="0"/>
    </xf>
    <xf numFmtId="0" fontId="9" fillId="0" borderId="13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10" fillId="0" borderId="6" xfId="41" applyFont="1" applyBorder="1"/>
    <xf numFmtId="0" fontId="10" fillId="0" borderId="7" xfId="41" applyFont="1" applyBorder="1"/>
    <xf numFmtId="0" fontId="10" fillId="0" borderId="8" xfId="41" applyFont="1" applyBorder="1"/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13" xfId="41" applyFont="1" applyBorder="1" applyAlignment="1">
      <alignment vertical="center"/>
    </xf>
    <xf numFmtId="0" fontId="6" fillId="0" borderId="9" xfId="41" applyFont="1" applyBorder="1" applyAlignment="1">
      <alignment horizontal="left" vertical="top" wrapText="1"/>
    </xf>
    <xf numFmtId="0" fontId="6" fillId="0" borderId="0" xfId="41" applyFont="1" applyAlignment="1">
      <alignment horizontal="left" vertical="top" wrapText="1"/>
    </xf>
    <xf numFmtId="0" fontId="6" fillId="0" borderId="10" xfId="41" applyFont="1" applyBorder="1" applyAlignment="1">
      <alignment horizontal="left" vertical="top" wrapText="1"/>
    </xf>
    <xf numFmtId="0" fontId="6" fillId="0" borderId="11" xfId="41" applyFont="1" applyBorder="1" applyAlignment="1">
      <alignment horizontal="left" vertical="top" wrapText="1"/>
    </xf>
    <xf numFmtId="0" fontId="6" fillId="0" borderId="12" xfId="41" applyFont="1" applyBorder="1" applyAlignment="1">
      <alignment horizontal="left" vertical="top" wrapText="1"/>
    </xf>
    <xf numFmtId="0" fontId="6" fillId="0" borderId="13" xfId="41" applyFont="1" applyBorder="1" applyAlignment="1">
      <alignment horizontal="left" vertical="top" wrapText="1"/>
    </xf>
    <xf numFmtId="0" fontId="4" fillId="0" borderId="0" xfId="41" applyFont="1"/>
    <xf numFmtId="0" fontId="5" fillId="0" borderId="0" xfId="41" applyFont="1"/>
    <xf numFmtId="0" fontId="1" fillId="0" borderId="10" xfId="41" applyBorder="1" applyAlignment="1">
      <alignment horizontal="left" textRotation="90" wrapText="1"/>
    </xf>
    <xf numFmtId="0" fontId="1" fillId="0" borderId="10" xfId="41" applyBorder="1" applyAlignment="1">
      <alignment textRotation="90"/>
    </xf>
    <xf numFmtId="0" fontId="8" fillId="0" borderId="6" xfId="41" applyFont="1" applyBorder="1" applyAlignment="1">
      <alignment vertical="center"/>
    </xf>
    <xf numFmtId="0" fontId="8" fillId="0" borderId="7" xfId="41" applyFont="1" applyBorder="1" applyAlignment="1">
      <alignment vertical="center"/>
    </xf>
    <xf numFmtId="0" fontId="8" fillId="0" borderId="8" xfId="41" applyFont="1" applyBorder="1" applyAlignment="1">
      <alignment vertical="center"/>
    </xf>
    <xf numFmtId="0" fontId="11" fillId="0" borderId="9" xfId="41" applyFont="1" applyBorder="1" applyAlignment="1" applyProtection="1">
      <alignment vertical="center" shrinkToFit="1"/>
      <protection locked="0"/>
    </xf>
    <xf numFmtId="0" fontId="11" fillId="0" borderId="0" xfId="41" applyFont="1" applyAlignment="1" applyProtection="1">
      <alignment vertical="center" shrinkToFit="1"/>
      <protection locked="0"/>
    </xf>
    <xf numFmtId="0" fontId="11" fillId="0" borderId="10" xfId="4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horizontal="center" shrinkToFit="1"/>
      <protection locked="0"/>
    </xf>
    <xf numFmtId="0" fontId="9" fillId="0" borderId="10" xfId="41" applyFont="1" applyBorder="1" applyAlignment="1" applyProtection="1">
      <alignment horizontal="center" shrinkToFit="1"/>
      <protection locked="0"/>
    </xf>
    <xf numFmtId="0" fontId="9" fillId="0" borderId="9" xfId="41" applyFont="1" applyBorder="1" applyAlignment="1" applyProtection="1">
      <alignment horizontal="center" vertical="center" shrinkToFit="1"/>
      <protection locked="0"/>
    </xf>
    <xf numFmtId="0" fontId="9" fillId="0" borderId="0" xfId="41" applyFont="1" applyAlignment="1" applyProtection="1">
      <alignment horizontal="center" vertical="center" shrinkToFit="1"/>
      <protection locked="0"/>
    </xf>
    <xf numFmtId="0" fontId="9" fillId="0" borderId="10" xfId="41" applyFont="1" applyBorder="1" applyAlignment="1" applyProtection="1">
      <alignment horizontal="center" vertical="center" shrinkToFit="1"/>
      <protection locked="0"/>
    </xf>
    <xf numFmtId="0" fontId="23" fillId="0" borderId="11" xfId="41" applyFont="1" applyBorder="1" applyAlignment="1" applyProtection="1">
      <alignment horizontal="center" vertical="center" shrinkToFit="1"/>
      <protection locked="0"/>
    </xf>
    <xf numFmtId="0" fontId="23" fillId="0" borderId="13" xfId="41" applyFont="1" applyBorder="1" applyAlignment="1" applyProtection="1">
      <alignment horizontal="center" vertical="center" shrinkToFit="1"/>
      <protection locked="0"/>
    </xf>
    <xf numFmtId="0" fontId="6" fillId="0" borderId="0" xfId="41" applyFont="1" applyAlignment="1">
      <alignment horizontal="right" vertical="center"/>
    </xf>
    <xf numFmtId="0" fontId="6" fillId="0" borderId="10" xfId="41" applyFont="1" applyBorder="1" applyAlignment="1">
      <alignment horizontal="right" vertical="center"/>
    </xf>
    <xf numFmtId="0" fontId="6" fillId="0" borderId="9" xfId="41" applyFont="1" applyBorder="1" applyAlignment="1">
      <alignment vertical="center"/>
    </xf>
    <xf numFmtId="0" fontId="6" fillId="0" borderId="0" xfId="41" applyFont="1" applyAlignment="1">
      <alignment vertical="center"/>
    </xf>
    <xf numFmtId="0" fontId="6" fillId="0" borderId="10" xfId="41" applyFont="1" applyBorder="1" applyAlignment="1">
      <alignment vertical="center"/>
    </xf>
    <xf numFmtId="0" fontId="6" fillId="0" borderId="4" xfId="41" applyFont="1" applyBorder="1"/>
    <xf numFmtId="0" fontId="8" fillId="0" borderId="9" xfId="41" applyFont="1" applyBorder="1" applyAlignment="1" applyProtection="1">
      <alignment shrinkToFit="1"/>
      <protection locked="0"/>
    </xf>
    <xf numFmtId="0" fontId="8" fillId="0" borderId="10" xfId="41" applyFont="1" applyBorder="1" applyAlignment="1" applyProtection="1">
      <alignment shrinkToFit="1"/>
      <protection locked="0"/>
    </xf>
    <xf numFmtId="0" fontId="8" fillId="0" borderId="0" xfId="41" applyFont="1" applyAlignment="1" applyProtection="1">
      <alignment shrinkToFit="1"/>
      <protection locked="0"/>
    </xf>
    <xf numFmtId="0" fontId="9" fillId="0" borderId="11" xfId="41" applyFont="1" applyBorder="1" applyAlignment="1" applyProtection="1">
      <alignment vertical="center" shrinkToFit="1"/>
      <protection locked="0"/>
    </xf>
    <xf numFmtId="14" fontId="9" fillId="0" borderId="11" xfId="41" applyNumberFormat="1" applyFont="1" applyBorder="1" applyAlignment="1">
      <alignment horizontal="center" vertical="center" shrinkToFit="1"/>
    </xf>
    <xf numFmtId="0" fontId="9" fillId="0" borderId="12" xfId="41" applyFont="1" applyBorder="1" applyAlignment="1">
      <alignment horizontal="center" vertical="center" shrinkToFit="1"/>
    </xf>
    <xf numFmtId="0" fontId="9" fillId="0" borderId="13" xfId="41" applyFont="1" applyBorder="1" applyAlignment="1">
      <alignment horizontal="center" vertical="center" shrinkToFit="1"/>
    </xf>
    <xf numFmtId="0" fontId="8" fillId="0" borderId="11" xfId="41" applyFont="1" applyBorder="1" applyAlignment="1" applyProtection="1">
      <alignment shrinkToFit="1"/>
      <protection locked="0"/>
    </xf>
    <xf numFmtId="0" fontId="8" fillId="0" borderId="13" xfId="41" applyFont="1" applyBorder="1" applyAlignment="1" applyProtection="1">
      <alignment shrinkToFit="1"/>
      <protection locked="0"/>
    </xf>
    <xf numFmtId="0" fontId="8" fillId="0" borderId="12" xfId="41" applyFont="1" applyBorder="1" applyAlignment="1" applyProtection="1">
      <alignment shrinkToFit="1"/>
      <protection locked="0"/>
    </xf>
    <xf numFmtId="0" fontId="10" fillId="0" borderId="6" xfId="41" applyFont="1" applyBorder="1" applyAlignment="1">
      <alignment horizontal="center"/>
    </xf>
    <xf numFmtId="0" fontId="10" fillId="0" borderId="8" xfId="41" applyFont="1" applyBorder="1" applyAlignment="1">
      <alignment horizontal="center"/>
    </xf>
    <xf numFmtId="0" fontId="6" fillId="0" borderId="6" xfId="41" applyFont="1" applyBorder="1"/>
    <xf numFmtId="0" fontId="6" fillId="0" borderId="7" xfId="41" applyFont="1" applyBorder="1"/>
    <xf numFmtId="0" fontId="6" fillId="0" borderId="8" xfId="41" applyFont="1" applyBorder="1"/>
    <xf numFmtId="0" fontId="6" fillId="0" borderId="9" xfId="41" applyFont="1" applyBorder="1" applyAlignment="1">
      <alignment vertical="top" wrapText="1"/>
    </xf>
    <xf numFmtId="0" fontId="6" fillId="0" borderId="10" xfId="41" applyFont="1" applyBorder="1" applyAlignment="1">
      <alignment vertical="top" wrapText="1"/>
    </xf>
    <xf numFmtId="0" fontId="6" fillId="0" borderId="0" xfId="41" applyFont="1" applyAlignment="1">
      <alignment vertical="top" wrapText="1"/>
    </xf>
    <xf numFmtId="0" fontId="6" fillId="0" borderId="11" xfId="41" applyFont="1" applyBorder="1" applyAlignment="1">
      <alignment wrapText="1"/>
    </xf>
    <xf numFmtId="0" fontId="6" fillId="0" borderId="13" xfId="41" applyFont="1" applyBorder="1" applyAlignment="1">
      <alignment wrapText="1"/>
    </xf>
    <xf numFmtId="0" fontId="12" fillId="0" borderId="11" xfId="41" applyFont="1" applyBorder="1"/>
    <xf numFmtId="0" fontId="12" fillId="0" borderId="12" xfId="41" applyFont="1" applyBorder="1"/>
    <xf numFmtId="0" fontId="12" fillId="0" borderId="13" xfId="41" applyFont="1" applyBorder="1"/>
    <xf numFmtId="0" fontId="23" fillId="0" borderId="11" xfId="41" applyFont="1" applyBorder="1" applyAlignment="1">
      <alignment horizontal="center" vertical="center" shrinkToFit="1"/>
    </xf>
    <xf numFmtId="0" fontId="23" fillId="0" borderId="12" xfId="41" applyFont="1" applyBorder="1" applyAlignment="1">
      <alignment horizontal="center" vertical="center" shrinkToFit="1"/>
    </xf>
    <xf numFmtId="0" fontId="23" fillId="0" borderId="13" xfId="41" applyFont="1" applyBorder="1" applyAlignment="1">
      <alignment horizontal="center" vertical="center" shrinkToFit="1"/>
    </xf>
    <xf numFmtId="0" fontId="9" fillId="0" borderId="11" xfId="41" applyFont="1" applyBorder="1" applyAlignment="1">
      <alignment horizontal="center" vertical="center" shrinkToFit="1"/>
    </xf>
    <xf numFmtId="0" fontId="8" fillId="0" borderId="11" xfId="41" applyFont="1" applyBorder="1" applyAlignment="1">
      <alignment vertical="center"/>
    </xf>
    <xf numFmtId="0" fontId="8" fillId="0" borderId="13" xfId="41" applyFont="1" applyBorder="1" applyAlignment="1">
      <alignment vertical="center"/>
    </xf>
    <xf numFmtId="0" fontId="8" fillId="0" borderId="12" xfId="41" applyFont="1" applyBorder="1" applyAlignment="1">
      <alignment vertical="center"/>
    </xf>
    <xf numFmtId="0" fontId="12" fillId="0" borderId="11" xfId="41" applyFont="1" applyBorder="1" applyAlignment="1">
      <alignment vertical="center"/>
    </xf>
    <xf numFmtId="0" fontId="12" fillId="0" borderId="12" xfId="41" applyFont="1" applyBorder="1" applyAlignment="1">
      <alignment vertical="center"/>
    </xf>
    <xf numFmtId="0" fontId="12" fillId="0" borderId="13" xfId="41" applyFont="1" applyBorder="1" applyAlignment="1">
      <alignment vertical="center"/>
    </xf>
    <xf numFmtId="0" fontId="8" fillId="0" borderId="9" xfId="41" applyFont="1" applyBorder="1" applyAlignment="1">
      <alignment vertical="center"/>
    </xf>
    <xf numFmtId="0" fontId="8" fillId="0" borderId="10" xfId="41" applyFont="1" applyBorder="1" applyAlignment="1">
      <alignment vertical="center"/>
    </xf>
    <xf numFmtId="0" fontId="8" fillId="0" borderId="0" xfId="41" applyFont="1" applyAlignment="1">
      <alignment vertical="center"/>
    </xf>
    <xf numFmtId="0" fontId="12" fillId="0" borderId="9" xfId="41" applyFont="1" applyBorder="1" applyAlignment="1">
      <alignment vertical="center"/>
    </xf>
    <xf numFmtId="0" fontId="12" fillId="0" borderId="0" xfId="41" applyFont="1" applyAlignment="1">
      <alignment vertical="center"/>
    </xf>
    <xf numFmtId="0" fontId="12" fillId="0" borderId="10" xfId="41" applyFont="1" applyBorder="1" applyAlignment="1">
      <alignment vertical="center"/>
    </xf>
    <xf numFmtId="0" fontId="61" fillId="18" borderId="6" xfId="0" applyFont="1" applyFill="1" applyBorder="1" applyAlignment="1">
      <alignment horizontal="justify" vertical="top" wrapText="1"/>
    </xf>
    <xf numFmtId="0" fontId="61" fillId="18" borderId="7" xfId="0" applyFont="1" applyFill="1" applyBorder="1" applyAlignment="1">
      <alignment horizontal="justify" vertical="top" wrapText="1"/>
    </xf>
    <xf numFmtId="0" fontId="61" fillId="18" borderId="8" xfId="0" applyFont="1" applyFill="1" applyBorder="1" applyAlignment="1">
      <alignment horizontal="justify" vertical="top" wrapText="1"/>
    </xf>
    <xf numFmtId="0" fontId="61" fillId="18" borderId="9" xfId="0" applyFont="1" applyFill="1" applyBorder="1" applyAlignment="1">
      <alignment horizontal="justify" vertical="top" wrapText="1"/>
    </xf>
    <xf numFmtId="0" fontId="61" fillId="18" borderId="0" xfId="0" applyFont="1" applyFill="1" applyAlignment="1">
      <alignment horizontal="justify" vertical="top" wrapText="1"/>
    </xf>
    <xf numFmtId="0" fontId="61" fillId="18" borderId="10" xfId="0" applyFont="1" applyFill="1" applyBorder="1" applyAlignment="1">
      <alignment horizontal="justify" vertical="top" wrapText="1"/>
    </xf>
    <xf numFmtId="0" fontId="61" fillId="18" borderId="11" xfId="0" applyFont="1" applyFill="1" applyBorder="1" applyAlignment="1">
      <alignment horizontal="justify" vertical="top" wrapText="1"/>
    </xf>
    <xf numFmtId="0" fontId="61" fillId="18" borderId="12" xfId="0" applyFont="1" applyFill="1" applyBorder="1" applyAlignment="1">
      <alignment horizontal="justify" vertical="top" wrapText="1"/>
    </xf>
    <xf numFmtId="0" fontId="61" fillId="18" borderId="13" xfId="0" applyFont="1" applyFill="1" applyBorder="1" applyAlignment="1">
      <alignment horizontal="justify" vertical="top" wrapText="1"/>
    </xf>
    <xf numFmtId="0" fontId="2" fillId="18" borderId="9" xfId="0" applyFont="1" applyFill="1" applyBorder="1" applyAlignment="1" applyProtection="1">
      <alignment horizontal="left" vertical="center" shrinkToFit="1"/>
      <protection hidden="1"/>
    </xf>
    <xf numFmtId="0" fontId="2" fillId="18" borderId="0" xfId="0" applyFont="1" applyFill="1" applyAlignment="1" applyProtection="1">
      <alignment horizontal="left" vertical="center" shrinkToFit="1"/>
      <protection hidden="1"/>
    </xf>
    <xf numFmtId="0" fontId="2" fillId="18" borderId="10" xfId="0" applyFont="1" applyFill="1" applyBorder="1" applyAlignment="1" applyProtection="1">
      <alignment horizontal="left" vertical="center" shrinkToFit="1"/>
      <protection hidden="1"/>
    </xf>
    <xf numFmtId="0" fontId="2" fillId="18" borderId="11" xfId="0" applyFont="1" applyFill="1" applyBorder="1" applyAlignment="1" applyProtection="1">
      <alignment horizontal="left" vertical="center" shrinkToFit="1"/>
      <protection hidden="1"/>
    </xf>
    <xf numFmtId="0" fontId="2" fillId="18" borderId="12" xfId="0" applyFont="1" applyFill="1" applyBorder="1" applyAlignment="1" applyProtection="1">
      <alignment horizontal="left" vertical="center" shrinkToFit="1"/>
      <protection hidden="1"/>
    </xf>
    <xf numFmtId="0" fontId="2" fillId="18" borderId="13" xfId="0" applyFont="1" applyFill="1" applyBorder="1" applyAlignment="1" applyProtection="1">
      <alignment horizontal="left" vertical="center" shrinkToFit="1"/>
      <protection hidden="1"/>
    </xf>
    <xf numFmtId="0" fontId="2" fillId="18" borderId="9" xfId="0" applyFont="1" applyFill="1" applyBorder="1" applyAlignment="1" applyProtection="1">
      <alignment horizontal="left" vertical="center"/>
      <protection hidden="1"/>
    </xf>
    <xf numFmtId="0" fontId="2" fillId="18" borderId="0" xfId="0" applyFont="1" applyFill="1" applyAlignment="1" applyProtection="1">
      <alignment horizontal="left" vertical="center"/>
      <protection hidden="1"/>
    </xf>
    <xf numFmtId="0" fontId="2" fillId="18" borderId="10" xfId="0" applyFont="1" applyFill="1" applyBorder="1" applyAlignment="1" applyProtection="1">
      <alignment horizontal="left" vertical="center"/>
      <protection hidden="1"/>
    </xf>
    <xf numFmtId="0" fontId="0" fillId="18" borderId="3" xfId="0" applyFill="1" applyBorder="1" applyAlignment="1" applyProtection="1">
      <alignment horizontal="center" vertical="center"/>
      <protection locked="0"/>
    </xf>
    <xf numFmtId="0" fontId="0" fillId="18" borderId="5" xfId="0" applyFill="1" applyBorder="1" applyAlignment="1" applyProtection="1">
      <alignment horizontal="center" vertical="center"/>
      <protection locked="0"/>
    </xf>
    <xf numFmtId="14" fontId="24" fillId="18" borderId="3" xfId="0" applyNumberFormat="1" applyFont="1" applyFill="1" applyBorder="1" applyAlignment="1" applyProtection="1">
      <alignment horizontal="center"/>
      <protection locked="0"/>
    </xf>
    <xf numFmtId="14" fontId="24" fillId="18" borderId="4" xfId="0" applyNumberFormat="1" applyFont="1" applyFill="1" applyBorder="1" applyAlignment="1" applyProtection="1">
      <alignment horizontal="center"/>
      <protection locked="0"/>
    </xf>
    <xf numFmtId="14" fontId="24" fillId="18" borderId="5" xfId="0" applyNumberFormat="1" applyFont="1" applyFill="1" applyBorder="1" applyAlignment="1" applyProtection="1">
      <alignment horizontal="center"/>
      <protection locked="0"/>
    </xf>
    <xf numFmtId="0" fontId="0" fillId="18" borderId="4" xfId="0" applyFill="1" applyBorder="1" applyAlignment="1">
      <alignment horizontal="center"/>
    </xf>
    <xf numFmtId="0" fontId="2" fillId="18" borderId="3" xfId="0" applyFont="1" applyFill="1" applyBorder="1" applyAlignment="1" applyProtection="1">
      <alignment horizontal="left" shrinkToFit="1"/>
      <protection locked="0" hidden="1"/>
    </xf>
    <xf numFmtId="0" fontId="2" fillId="18" borderId="4" xfId="0" applyFont="1" applyFill="1" applyBorder="1" applyAlignment="1" applyProtection="1">
      <alignment horizontal="left" shrinkToFit="1"/>
      <protection locked="0" hidden="1"/>
    </xf>
    <xf numFmtId="0" fontId="2" fillId="18" borderId="5" xfId="0" applyFont="1" applyFill="1" applyBorder="1" applyAlignment="1" applyProtection="1">
      <alignment horizontal="left" shrinkToFit="1"/>
      <protection locked="0" hidden="1"/>
    </xf>
    <xf numFmtId="0" fontId="2" fillId="18" borderId="3" xfId="0" applyFont="1" applyFill="1" applyBorder="1" applyAlignment="1" applyProtection="1">
      <alignment horizontal="left" vertical="center"/>
      <protection locked="0" hidden="1"/>
    </xf>
    <xf numFmtId="0" fontId="2" fillId="18" borderId="5" xfId="0" applyFont="1" applyFill="1" applyBorder="1" applyAlignment="1" applyProtection="1">
      <alignment horizontal="left" vertical="center"/>
      <protection locked="0" hidden="1"/>
    </xf>
    <xf numFmtId="0" fontId="47" fillId="18" borderId="6" xfId="0" applyFont="1" applyFill="1" applyBorder="1" applyAlignment="1" applyProtection="1">
      <alignment horizontal="left" vertical="top" wrapText="1"/>
      <protection locked="0"/>
    </xf>
    <xf numFmtId="0" fontId="47" fillId="18" borderId="7" xfId="0" applyFont="1" applyFill="1" applyBorder="1" applyAlignment="1" applyProtection="1">
      <alignment horizontal="left" vertical="top" wrapText="1"/>
      <protection locked="0"/>
    </xf>
    <xf numFmtId="0" fontId="47" fillId="18" borderId="8" xfId="0" applyFont="1" applyFill="1" applyBorder="1" applyAlignment="1" applyProtection="1">
      <alignment horizontal="left" vertical="top" wrapText="1"/>
      <protection locked="0"/>
    </xf>
    <xf numFmtId="0" fontId="47" fillId="18" borderId="11" xfId="0" applyFont="1" applyFill="1" applyBorder="1" applyAlignment="1" applyProtection="1">
      <alignment horizontal="left" vertical="top" wrapText="1"/>
      <protection locked="0"/>
    </xf>
    <xf numFmtId="0" fontId="47" fillId="18" borderId="12" xfId="0" applyFont="1" applyFill="1" applyBorder="1" applyAlignment="1" applyProtection="1">
      <alignment horizontal="left" vertical="top" wrapText="1"/>
      <protection locked="0"/>
    </xf>
    <xf numFmtId="0" fontId="47" fillId="18" borderId="13" xfId="0" applyFont="1" applyFill="1" applyBorder="1" applyAlignment="1" applyProtection="1">
      <alignment horizontal="left" vertical="top" wrapText="1"/>
      <protection locked="0"/>
    </xf>
    <xf numFmtId="0" fontId="0" fillId="18" borderId="6" xfId="0" applyFill="1" applyBorder="1" applyAlignment="1" applyProtection="1">
      <alignment horizontal="left" vertical="top" wrapText="1"/>
      <protection locked="0" hidden="1"/>
    </xf>
    <xf numFmtId="0" fontId="0" fillId="18" borderId="7" xfId="0" applyFill="1" applyBorder="1" applyAlignment="1" applyProtection="1">
      <alignment horizontal="left" vertical="top" wrapText="1"/>
      <protection locked="0" hidden="1"/>
    </xf>
    <xf numFmtId="0" fontId="0" fillId="18" borderId="8" xfId="0" applyFill="1" applyBorder="1" applyAlignment="1" applyProtection="1">
      <alignment horizontal="left" vertical="top" wrapText="1"/>
      <protection locked="0" hidden="1"/>
    </xf>
    <xf numFmtId="0" fontId="0" fillId="18" borderId="9" xfId="0" applyFill="1" applyBorder="1" applyAlignment="1" applyProtection="1">
      <alignment horizontal="left" vertical="top" wrapText="1"/>
      <protection locked="0" hidden="1"/>
    </xf>
    <xf numFmtId="0" fontId="0" fillId="18" borderId="0" xfId="0" applyFill="1" applyAlignment="1" applyProtection="1">
      <alignment horizontal="left" vertical="top" wrapText="1"/>
      <protection locked="0" hidden="1"/>
    </xf>
    <xf numFmtId="0" fontId="0" fillId="18" borderId="10" xfId="0" applyFill="1" applyBorder="1" applyAlignment="1" applyProtection="1">
      <alignment horizontal="left" vertical="top" wrapText="1"/>
      <protection locked="0" hidden="1"/>
    </xf>
    <xf numFmtId="0" fontId="0" fillId="18" borderId="11" xfId="0" applyFill="1" applyBorder="1" applyAlignment="1" applyProtection="1">
      <alignment horizontal="left" vertical="top" wrapText="1"/>
      <protection locked="0" hidden="1"/>
    </xf>
    <xf numFmtId="0" fontId="0" fillId="18" borderId="12" xfId="0" applyFill="1" applyBorder="1" applyAlignment="1" applyProtection="1">
      <alignment horizontal="left" vertical="top" wrapText="1"/>
      <protection locked="0" hidden="1"/>
    </xf>
    <xf numFmtId="0" fontId="0" fillId="18" borderId="13" xfId="0" applyFill="1" applyBorder="1" applyAlignment="1" applyProtection="1">
      <alignment horizontal="left" vertical="top" wrapText="1"/>
      <protection locked="0" hidden="1"/>
    </xf>
    <xf numFmtId="0" fontId="37" fillId="18" borderId="29" xfId="0" applyFont="1" applyFill="1" applyBorder="1" applyAlignment="1" applyProtection="1">
      <alignment horizontal="left" vertical="top" wrapText="1"/>
      <protection locked="0"/>
    </xf>
    <xf numFmtId="176" fontId="42" fillId="18" borderId="1" xfId="0" applyNumberFormat="1" applyFont="1" applyFill="1" applyBorder="1" applyAlignment="1">
      <alignment horizontal="center" vertical="center"/>
    </xf>
    <xf numFmtId="176" fontId="42" fillId="18" borderId="2" xfId="0" applyNumberFormat="1" applyFont="1" applyFill="1" applyBorder="1" applyAlignment="1">
      <alignment horizontal="center" vertical="center"/>
    </xf>
    <xf numFmtId="49" fontId="0" fillId="18" borderId="15" xfId="0" applyNumberFormat="1" applyFill="1" applyBorder="1" applyAlignment="1">
      <alignment horizontal="right" vertical="center" wrapText="1"/>
    </xf>
    <xf numFmtId="0" fontId="2" fillId="18" borderId="3" xfId="0" applyFont="1" applyFill="1" applyBorder="1" applyAlignment="1" applyProtection="1">
      <alignment horizontal="left" vertical="center" shrinkToFit="1"/>
      <protection hidden="1"/>
    </xf>
    <xf numFmtId="0" fontId="2" fillId="18" borderId="4" xfId="0" applyFont="1" applyFill="1" applyBorder="1" applyAlignment="1" applyProtection="1">
      <alignment horizontal="left" vertical="center" shrinkToFit="1"/>
      <protection hidden="1"/>
    </xf>
    <xf numFmtId="0" fontId="2" fillId="18" borderId="5" xfId="0" applyFont="1" applyFill="1" applyBorder="1" applyAlignment="1" applyProtection="1">
      <alignment horizontal="left" vertical="center" shrinkToFit="1"/>
      <protection hidden="1"/>
    </xf>
    <xf numFmtId="0" fontId="2" fillId="18" borderId="6" xfId="0" applyFont="1" applyFill="1" applyBorder="1" applyAlignment="1" applyProtection="1">
      <alignment horizontal="left" vertical="center" shrinkToFit="1"/>
      <protection hidden="1"/>
    </xf>
    <xf numFmtId="0" fontId="2" fillId="18" borderId="7" xfId="0" applyFont="1" applyFill="1" applyBorder="1" applyAlignment="1" applyProtection="1">
      <alignment horizontal="left" vertical="center" shrinkToFit="1"/>
      <protection hidden="1"/>
    </xf>
    <xf numFmtId="0" fontId="2" fillId="18" borderId="8" xfId="0" applyFont="1" applyFill="1" applyBorder="1" applyAlignment="1" applyProtection="1">
      <alignment horizontal="left" vertical="center" shrinkToFit="1"/>
      <protection hidden="1"/>
    </xf>
    <xf numFmtId="0" fontId="2" fillId="18" borderId="11" xfId="0" applyFont="1" applyFill="1" applyBorder="1" applyAlignment="1" applyProtection="1">
      <alignment horizontal="left" vertical="center"/>
      <protection hidden="1"/>
    </xf>
    <xf numFmtId="0" fontId="2" fillId="18" borderId="12" xfId="0" applyFont="1" applyFill="1" applyBorder="1" applyAlignment="1" applyProtection="1">
      <alignment horizontal="left" vertical="center"/>
      <protection hidden="1"/>
    </xf>
    <xf numFmtId="0" fontId="2" fillId="18" borderId="13" xfId="0" applyFont="1" applyFill="1" applyBorder="1" applyAlignment="1" applyProtection="1">
      <alignment horizontal="left" vertical="center"/>
      <protection hidden="1"/>
    </xf>
    <xf numFmtId="0" fontId="2" fillId="18" borderId="6" xfId="0" applyFont="1" applyFill="1" applyBorder="1" applyAlignment="1" applyProtection="1">
      <alignment horizontal="left" vertical="top" wrapText="1"/>
      <protection hidden="1"/>
    </xf>
    <xf numFmtId="0" fontId="2" fillId="18" borderId="7" xfId="0" applyFont="1" applyFill="1" applyBorder="1" applyAlignment="1" applyProtection="1">
      <alignment horizontal="left" vertical="top" wrapText="1"/>
      <protection hidden="1"/>
    </xf>
    <xf numFmtId="0" fontId="2" fillId="18" borderId="8" xfId="0" applyFont="1" applyFill="1" applyBorder="1" applyAlignment="1" applyProtection="1">
      <alignment horizontal="left" vertical="top" wrapText="1"/>
      <protection hidden="1"/>
    </xf>
    <xf numFmtId="0" fontId="2" fillId="18" borderId="9" xfId="0" applyFont="1" applyFill="1" applyBorder="1" applyAlignment="1" applyProtection="1">
      <alignment horizontal="left" vertical="top" wrapText="1"/>
      <protection hidden="1"/>
    </xf>
    <xf numFmtId="0" fontId="2" fillId="18" borderId="0" xfId="0" applyFont="1" applyFill="1" applyAlignment="1" applyProtection="1">
      <alignment horizontal="left" vertical="top" wrapText="1"/>
      <protection hidden="1"/>
    </xf>
    <xf numFmtId="0" fontId="2" fillId="18" borderId="10" xfId="0" applyFont="1" applyFill="1" applyBorder="1" applyAlignment="1" applyProtection="1">
      <alignment horizontal="left" vertical="top" wrapText="1"/>
      <protection hidden="1"/>
    </xf>
    <xf numFmtId="0" fontId="2" fillId="18" borderId="11" xfId="0" applyFont="1" applyFill="1" applyBorder="1" applyAlignment="1" applyProtection="1">
      <alignment horizontal="left" vertical="top" wrapText="1"/>
      <protection hidden="1"/>
    </xf>
    <xf numFmtId="0" fontId="2" fillId="18" borderId="12" xfId="0" applyFont="1" applyFill="1" applyBorder="1" applyAlignment="1" applyProtection="1">
      <alignment horizontal="left" vertical="top" wrapText="1"/>
      <protection hidden="1"/>
    </xf>
    <xf numFmtId="0" fontId="2" fillId="18" borderId="13" xfId="0" applyFont="1" applyFill="1" applyBorder="1" applyAlignment="1" applyProtection="1">
      <alignment horizontal="left" vertical="top" wrapText="1"/>
      <protection hidden="1"/>
    </xf>
    <xf numFmtId="0" fontId="2" fillId="18" borderId="3" xfId="0" applyFont="1" applyFill="1" applyBorder="1" applyAlignment="1" applyProtection="1">
      <alignment horizontal="left" vertical="center"/>
      <protection hidden="1"/>
    </xf>
    <xf numFmtId="0" fontId="2" fillId="18" borderId="4" xfId="0" applyFont="1" applyFill="1" applyBorder="1" applyAlignment="1" applyProtection="1">
      <alignment horizontal="left" vertical="center"/>
      <protection hidden="1"/>
    </xf>
    <xf numFmtId="0" fontId="2" fillId="18" borderId="5" xfId="0" applyFont="1" applyFill="1" applyBorder="1" applyAlignment="1" applyProtection="1">
      <alignment horizontal="left" vertical="center"/>
      <protection hidden="1"/>
    </xf>
    <xf numFmtId="0" fontId="37" fillId="35" borderId="32" xfId="0" applyFont="1" applyFill="1" applyBorder="1" applyAlignment="1">
      <alignment horizontal="center" vertical="center" wrapText="1"/>
    </xf>
    <xf numFmtId="0" fontId="37" fillId="35" borderId="37" xfId="0" applyFont="1" applyFill="1" applyBorder="1" applyAlignment="1">
      <alignment horizontal="center" vertical="center" wrapText="1"/>
    </xf>
    <xf numFmtId="0" fontId="37" fillId="35" borderId="33" xfId="0" applyFont="1" applyFill="1" applyBorder="1" applyAlignment="1">
      <alignment horizontal="center" vertical="center" wrapText="1"/>
    </xf>
    <xf numFmtId="0" fontId="37" fillId="35" borderId="38" xfId="0" applyFont="1" applyFill="1" applyBorder="1" applyAlignment="1">
      <alignment horizontal="center" vertical="center" wrapText="1"/>
    </xf>
    <xf numFmtId="0" fontId="49" fillId="18" borderId="6" xfId="0" applyFont="1" applyFill="1" applyBorder="1" applyAlignment="1" applyProtection="1">
      <alignment horizontal="justify" vertical="top" wrapText="1"/>
      <protection locked="0"/>
    </xf>
    <xf numFmtId="0" fontId="49" fillId="18" borderId="7" xfId="0" applyFont="1" applyFill="1" applyBorder="1" applyAlignment="1" applyProtection="1">
      <alignment horizontal="justify" vertical="top" wrapText="1"/>
      <protection locked="0"/>
    </xf>
    <xf numFmtId="0" fontId="49" fillId="18" borderId="8" xfId="0" applyFont="1" applyFill="1" applyBorder="1" applyAlignment="1" applyProtection="1">
      <alignment horizontal="justify" vertical="top" wrapText="1"/>
      <protection locked="0"/>
    </xf>
    <xf numFmtId="0" fontId="49" fillId="18" borderId="11" xfId="0" applyFont="1" applyFill="1" applyBorder="1" applyAlignment="1" applyProtection="1">
      <alignment horizontal="justify" vertical="top" wrapText="1"/>
      <protection locked="0"/>
    </xf>
    <xf numFmtId="0" fontId="49" fillId="18" borderId="12" xfId="0" applyFont="1" applyFill="1" applyBorder="1" applyAlignment="1" applyProtection="1">
      <alignment horizontal="justify" vertical="top" wrapText="1"/>
      <protection locked="0"/>
    </xf>
    <xf numFmtId="0" fontId="49" fillId="18" borderId="13" xfId="0" applyFont="1" applyFill="1" applyBorder="1" applyAlignment="1" applyProtection="1">
      <alignment horizontal="justify" vertical="top" wrapText="1"/>
      <protection locked="0"/>
    </xf>
    <xf numFmtId="0" fontId="0" fillId="18" borderId="15" xfId="0" applyFill="1" applyBorder="1" applyAlignment="1">
      <alignment horizontal="center" vertical="center" wrapText="1"/>
    </xf>
    <xf numFmtId="0" fontId="0" fillId="18" borderId="15" xfId="0" applyFill="1" applyBorder="1" applyAlignment="1">
      <alignment horizontal="center" vertical="center"/>
    </xf>
    <xf numFmtId="0" fontId="37" fillId="35" borderId="32" xfId="0" applyFont="1" applyFill="1" applyBorder="1" applyAlignment="1">
      <alignment horizontal="center" vertical="center"/>
    </xf>
    <xf numFmtId="0" fontId="37" fillId="35" borderId="37" xfId="0" applyFont="1" applyFill="1" applyBorder="1" applyAlignment="1">
      <alignment horizontal="center" vertical="center"/>
    </xf>
    <xf numFmtId="0" fontId="37" fillId="35" borderId="31" xfId="0" applyFont="1" applyFill="1" applyBorder="1" applyAlignment="1">
      <alignment horizontal="center" vertical="center"/>
    </xf>
    <xf numFmtId="0" fontId="37" fillId="35" borderId="36" xfId="0" applyFont="1" applyFill="1" applyBorder="1" applyAlignment="1">
      <alignment horizontal="center" vertical="center"/>
    </xf>
    <xf numFmtId="191" fontId="24" fillId="36" borderId="60" xfId="351" applyNumberFormat="1" applyFont="1" applyFill="1" applyBorder="1" applyAlignment="1" applyProtection="1">
      <alignment horizontal="center" vertical="center"/>
      <protection locked="0" hidden="1"/>
    </xf>
    <xf numFmtId="191" fontId="1" fillId="36" borderId="60" xfId="351" applyNumberFormat="1" applyFont="1" applyFill="1" applyBorder="1" applyAlignment="1" applyProtection="1">
      <alignment horizontal="center"/>
      <protection locked="0" hidden="1"/>
    </xf>
    <xf numFmtId="191" fontId="1" fillId="36" borderId="71" xfId="351" applyNumberFormat="1" applyFont="1" applyFill="1" applyBorder="1" applyAlignment="1" applyProtection="1">
      <alignment horizontal="center"/>
      <protection locked="0" hidden="1"/>
    </xf>
    <xf numFmtId="191" fontId="24" fillId="36" borderId="71" xfId="351" applyNumberFormat="1" applyFont="1" applyFill="1" applyBorder="1" applyAlignment="1" applyProtection="1">
      <alignment horizontal="center" vertical="center"/>
      <protection locked="0" hidden="1"/>
    </xf>
    <xf numFmtId="191" fontId="1" fillId="36" borderId="64" xfId="351" applyNumberFormat="1" applyFont="1" applyFill="1" applyBorder="1" applyAlignment="1" applyProtection="1">
      <alignment horizontal="center"/>
      <protection locked="0" hidden="1"/>
    </xf>
    <xf numFmtId="191" fontId="1" fillId="36" borderId="47" xfId="0" applyNumberFormat="1" applyFont="1" applyFill="1" applyBorder="1" applyAlignment="1" applyProtection="1">
      <alignment horizontal="center"/>
      <protection locked="0" hidden="1"/>
    </xf>
    <xf numFmtId="191" fontId="1" fillId="36" borderId="47" xfId="0" applyNumberFormat="1" applyFont="1" applyFill="1" applyBorder="1" applyProtection="1">
      <protection locked="0" hidden="1"/>
    </xf>
    <xf numFmtId="191" fontId="1" fillId="36" borderId="22" xfId="0" applyNumberFormat="1" applyFont="1" applyFill="1" applyBorder="1" applyAlignment="1" applyProtection="1">
      <alignment horizontal="center"/>
      <protection locked="0" hidden="1"/>
    </xf>
    <xf numFmtId="191" fontId="1" fillId="36" borderId="60" xfId="0" applyNumberFormat="1" applyFont="1" applyFill="1" applyBorder="1" applyProtection="1">
      <protection locked="0" hidden="1"/>
    </xf>
    <xf numFmtId="191" fontId="1" fillId="36" borderId="64" xfId="0" applyNumberFormat="1" applyFont="1" applyFill="1" applyBorder="1" applyProtection="1">
      <protection locked="0" hidden="1"/>
    </xf>
    <xf numFmtId="191" fontId="1" fillId="35" borderId="71" xfId="0" applyNumberFormat="1" applyFont="1" applyFill="1" applyBorder="1" applyAlignment="1" applyProtection="1">
      <alignment horizontal="right" vertical="center"/>
      <protection locked="0" hidden="1"/>
    </xf>
    <xf numFmtId="191" fontId="1" fillId="35" borderId="60" xfId="0" applyNumberFormat="1" applyFont="1" applyFill="1" applyBorder="1" applyAlignment="1" applyProtection="1">
      <alignment horizontal="right" vertical="center"/>
      <protection locked="0" hidden="1"/>
    </xf>
    <xf numFmtId="191" fontId="1" fillId="35" borderId="64" xfId="0" applyNumberFormat="1" applyFont="1" applyFill="1" applyBorder="1" applyAlignment="1" applyProtection="1">
      <alignment horizontal="right" vertical="center"/>
      <protection locked="0" hidden="1"/>
    </xf>
    <xf numFmtId="191" fontId="50" fillId="0" borderId="29" xfId="0" applyNumberFormat="1" applyFont="1" applyBorder="1"/>
    <xf numFmtId="191" fontId="2" fillId="0" borderId="29" xfId="0" applyNumberFormat="1" applyFont="1" applyBorder="1"/>
  </cellXfs>
  <cellStyles count="352">
    <cellStyle name="20% - Accent1 2" xfId="46" xr:uid="{00000000-0005-0000-0000-000000000000}"/>
    <cellStyle name="20% - Accent1 2 2" xfId="47" xr:uid="{00000000-0005-0000-0000-000001000000}"/>
    <cellStyle name="20% - Accent1 3" xfId="48" xr:uid="{00000000-0005-0000-0000-000002000000}"/>
    <cellStyle name="20% - Accent1 4" xfId="49" xr:uid="{00000000-0005-0000-0000-000003000000}"/>
    <cellStyle name="20% - Accent2 2" xfId="50" xr:uid="{00000000-0005-0000-0000-000004000000}"/>
    <cellStyle name="20% - Accent2 2 2" xfId="51" xr:uid="{00000000-0005-0000-0000-000005000000}"/>
    <cellStyle name="20% - Accent2 3" xfId="52" xr:uid="{00000000-0005-0000-0000-000006000000}"/>
    <cellStyle name="20% - Accent2 4" xfId="53" xr:uid="{00000000-0005-0000-0000-000007000000}"/>
    <cellStyle name="20% - Accent3 2" xfId="54" xr:uid="{00000000-0005-0000-0000-000008000000}"/>
    <cellStyle name="20% - Accent3 2 2" xfId="55" xr:uid="{00000000-0005-0000-0000-000009000000}"/>
    <cellStyle name="20% - Accent3 3" xfId="56" xr:uid="{00000000-0005-0000-0000-00000A000000}"/>
    <cellStyle name="20% - Accent3 4" xfId="57" xr:uid="{00000000-0005-0000-0000-00000B000000}"/>
    <cellStyle name="20% - Accent4 2" xfId="58" xr:uid="{00000000-0005-0000-0000-00000C000000}"/>
    <cellStyle name="20% - Accent4 2 2" xfId="59" xr:uid="{00000000-0005-0000-0000-00000D000000}"/>
    <cellStyle name="20% - Accent4 3" xfId="60" xr:uid="{00000000-0005-0000-0000-00000E000000}"/>
    <cellStyle name="20% - Accent4 4" xfId="61" xr:uid="{00000000-0005-0000-0000-00000F000000}"/>
    <cellStyle name="20% - Accent5 2" xfId="62" xr:uid="{00000000-0005-0000-0000-000010000000}"/>
    <cellStyle name="20% - Accent5 2 2" xfId="63" xr:uid="{00000000-0005-0000-0000-000011000000}"/>
    <cellStyle name="20% - Accent5 3" xfId="64" xr:uid="{00000000-0005-0000-0000-000012000000}"/>
    <cellStyle name="20% - Accent5 4" xfId="65" xr:uid="{00000000-0005-0000-0000-000013000000}"/>
    <cellStyle name="20% - Accent6 2" xfId="66" xr:uid="{00000000-0005-0000-0000-000014000000}"/>
    <cellStyle name="20% - Accent6 2 2" xfId="67" xr:uid="{00000000-0005-0000-0000-000015000000}"/>
    <cellStyle name="20% - Accent6 3" xfId="68" xr:uid="{00000000-0005-0000-0000-000016000000}"/>
    <cellStyle name="20% - Accent6 4" xfId="69" xr:uid="{00000000-0005-0000-0000-000017000000}"/>
    <cellStyle name="40% - Accent1 2" xfId="70" xr:uid="{00000000-0005-0000-0000-000018000000}"/>
    <cellStyle name="40% - Accent1 2 2" xfId="71" xr:uid="{00000000-0005-0000-0000-000019000000}"/>
    <cellStyle name="40% - Accent1 3" xfId="72" xr:uid="{00000000-0005-0000-0000-00001A000000}"/>
    <cellStyle name="40% - Accent1 4" xfId="73" xr:uid="{00000000-0005-0000-0000-00001B000000}"/>
    <cellStyle name="40% - Accent2 2" xfId="74" xr:uid="{00000000-0005-0000-0000-00001C000000}"/>
    <cellStyle name="40% - Accent2 2 2" xfId="75" xr:uid="{00000000-0005-0000-0000-00001D000000}"/>
    <cellStyle name="40% - Accent2 3" xfId="76" xr:uid="{00000000-0005-0000-0000-00001E000000}"/>
    <cellStyle name="40% - Accent2 4" xfId="77" xr:uid="{00000000-0005-0000-0000-00001F000000}"/>
    <cellStyle name="40% - Accent3 2" xfId="78" xr:uid="{00000000-0005-0000-0000-000020000000}"/>
    <cellStyle name="40% - Accent3 2 2" xfId="79" xr:uid="{00000000-0005-0000-0000-000021000000}"/>
    <cellStyle name="40% - Accent3 3" xfId="80" xr:uid="{00000000-0005-0000-0000-000022000000}"/>
    <cellStyle name="40% - Accent3 4" xfId="81" xr:uid="{00000000-0005-0000-0000-000023000000}"/>
    <cellStyle name="40% - Accent4 2" xfId="82" xr:uid="{00000000-0005-0000-0000-000024000000}"/>
    <cellStyle name="40% - Accent4 2 2" xfId="83" xr:uid="{00000000-0005-0000-0000-000025000000}"/>
    <cellStyle name="40% - Accent4 3" xfId="84" xr:uid="{00000000-0005-0000-0000-000026000000}"/>
    <cellStyle name="40% - Accent4 4" xfId="85" xr:uid="{00000000-0005-0000-0000-000027000000}"/>
    <cellStyle name="40% - Accent5 2" xfId="86" xr:uid="{00000000-0005-0000-0000-000028000000}"/>
    <cellStyle name="40% - Accent5 2 2" xfId="87" xr:uid="{00000000-0005-0000-0000-000029000000}"/>
    <cellStyle name="40% - Accent5 3" xfId="88" xr:uid="{00000000-0005-0000-0000-00002A000000}"/>
    <cellStyle name="40% - Accent5 4" xfId="89" xr:uid="{00000000-0005-0000-0000-00002B000000}"/>
    <cellStyle name="40% - Accent6 2" xfId="90" xr:uid="{00000000-0005-0000-0000-00002C000000}"/>
    <cellStyle name="40% - Accent6 2 2" xfId="91" xr:uid="{00000000-0005-0000-0000-00002D000000}"/>
    <cellStyle name="40% - Accent6 3" xfId="92" xr:uid="{00000000-0005-0000-0000-00002E000000}"/>
    <cellStyle name="40% - Accent6 4" xfId="93" xr:uid="{00000000-0005-0000-0000-00002F000000}"/>
    <cellStyle name="autoPopulatedData" xfId="94" xr:uid="{00000000-0005-0000-0000-000030000000}"/>
    <cellStyle name="Bad 2" xfId="95" xr:uid="{00000000-0005-0000-0000-000031000000}"/>
    <cellStyle name="Bad 2 2" xfId="96" xr:uid="{00000000-0005-0000-0000-000032000000}"/>
    <cellStyle name="Bad 3" xfId="97" xr:uid="{00000000-0005-0000-0000-000033000000}"/>
    <cellStyle name="Bad 4" xfId="98" xr:uid="{00000000-0005-0000-0000-000034000000}"/>
    <cellStyle name="Bad 4 2" xfId="99" xr:uid="{00000000-0005-0000-0000-000035000000}"/>
    <cellStyle name="Bad1" xfId="100" xr:uid="{00000000-0005-0000-0000-000036000000}"/>
    <cellStyle name="Bad1 2" xfId="101" xr:uid="{00000000-0005-0000-0000-000037000000}"/>
    <cellStyle name="Comma 10" xfId="102" xr:uid="{00000000-0005-0000-0000-000038000000}"/>
    <cellStyle name="Comma 10 2" xfId="103" xr:uid="{00000000-0005-0000-0000-000039000000}"/>
    <cellStyle name="Comma 10 2 2" xfId="104" xr:uid="{00000000-0005-0000-0000-00003A000000}"/>
    <cellStyle name="Comma 10 3" xfId="105" xr:uid="{00000000-0005-0000-0000-00003B000000}"/>
    <cellStyle name="Comma 11" xfId="106" xr:uid="{00000000-0005-0000-0000-00003C000000}"/>
    <cellStyle name="Comma 11 2" xfId="107" xr:uid="{00000000-0005-0000-0000-00003D000000}"/>
    <cellStyle name="Comma 12" xfId="108" xr:uid="{00000000-0005-0000-0000-00003E000000}"/>
    <cellStyle name="Comma 12 2" xfId="109" xr:uid="{00000000-0005-0000-0000-00003F000000}"/>
    <cellStyle name="Comma 2" xfId="7" xr:uid="{00000000-0005-0000-0000-000040000000}"/>
    <cellStyle name="Comma 2 2" xfId="110" xr:uid="{00000000-0005-0000-0000-000041000000}"/>
    <cellStyle name="Comma 2 2 2" xfId="111" xr:uid="{00000000-0005-0000-0000-000042000000}"/>
    <cellStyle name="Comma 2 3" xfId="112" xr:uid="{00000000-0005-0000-0000-000043000000}"/>
    <cellStyle name="Comma 3" xfId="8" xr:uid="{00000000-0005-0000-0000-000044000000}"/>
    <cellStyle name="Comma 3 2" xfId="113" xr:uid="{00000000-0005-0000-0000-000045000000}"/>
    <cellStyle name="Comma 3 2 2" xfId="114" xr:uid="{00000000-0005-0000-0000-000046000000}"/>
    <cellStyle name="Comma 3 3" xfId="115" xr:uid="{00000000-0005-0000-0000-000047000000}"/>
    <cellStyle name="Comma 4" xfId="9" xr:uid="{00000000-0005-0000-0000-000048000000}"/>
    <cellStyle name="Comma 4 2" xfId="116" xr:uid="{00000000-0005-0000-0000-000049000000}"/>
    <cellStyle name="Comma 4 2 2" xfId="117" xr:uid="{00000000-0005-0000-0000-00004A000000}"/>
    <cellStyle name="Comma 4 3" xfId="118" xr:uid="{00000000-0005-0000-0000-00004B000000}"/>
    <cellStyle name="Comma 5" xfId="119" xr:uid="{00000000-0005-0000-0000-00004C000000}"/>
    <cellStyle name="Comma 5 2" xfId="120" xr:uid="{00000000-0005-0000-0000-00004D000000}"/>
    <cellStyle name="Comma 6" xfId="121" xr:uid="{00000000-0005-0000-0000-00004E000000}"/>
    <cellStyle name="Comma 6 2" xfId="122" xr:uid="{00000000-0005-0000-0000-00004F000000}"/>
    <cellStyle name="Comma 6 2 2" xfId="123" xr:uid="{00000000-0005-0000-0000-000050000000}"/>
    <cellStyle name="Comma 6 3" xfId="124" xr:uid="{00000000-0005-0000-0000-000051000000}"/>
    <cellStyle name="Comma 7" xfId="125" xr:uid="{00000000-0005-0000-0000-000052000000}"/>
    <cellStyle name="Comma 7 2" xfId="126" xr:uid="{00000000-0005-0000-0000-000053000000}"/>
    <cellStyle name="Comma 7 2 2" xfId="127" xr:uid="{00000000-0005-0000-0000-000054000000}"/>
    <cellStyle name="Comma 7 3" xfId="128" xr:uid="{00000000-0005-0000-0000-000055000000}"/>
    <cellStyle name="Comma 8" xfId="129" xr:uid="{00000000-0005-0000-0000-000056000000}"/>
    <cellStyle name="Comma 8 2" xfId="130" xr:uid="{00000000-0005-0000-0000-000057000000}"/>
    <cellStyle name="Comma 8 2 2" xfId="131" xr:uid="{00000000-0005-0000-0000-000058000000}"/>
    <cellStyle name="Comma 8 3" xfId="132" xr:uid="{00000000-0005-0000-0000-000059000000}"/>
    <cellStyle name="Comma 9" xfId="133" xr:uid="{00000000-0005-0000-0000-00005A000000}"/>
    <cellStyle name="Comma 9 2" xfId="134" xr:uid="{00000000-0005-0000-0000-00005B000000}"/>
    <cellStyle name="Comma 9 2 2" xfId="135" xr:uid="{00000000-0005-0000-0000-00005C000000}"/>
    <cellStyle name="Comma 9 3" xfId="136" xr:uid="{00000000-0005-0000-0000-00005D000000}"/>
    <cellStyle name="Completed" xfId="137" xr:uid="{00000000-0005-0000-0000-00005E000000}"/>
    <cellStyle name="Coppo" xfId="138" xr:uid="{00000000-0005-0000-0000-00005F000000}"/>
    <cellStyle name="Currency 2" xfId="10" xr:uid="{00000000-0005-0000-0000-000060000000}"/>
    <cellStyle name="Currency 2 2" xfId="139" xr:uid="{00000000-0005-0000-0000-000061000000}"/>
    <cellStyle name="Currency 2 2 2" xfId="140" xr:uid="{00000000-0005-0000-0000-000062000000}"/>
    <cellStyle name="Currency 2 3" xfId="141" xr:uid="{00000000-0005-0000-0000-000063000000}"/>
    <cellStyle name="Currency 3" xfId="142" xr:uid="{00000000-0005-0000-0000-000064000000}"/>
    <cellStyle name="Currency 3 2" xfId="143" xr:uid="{00000000-0005-0000-0000-000065000000}"/>
    <cellStyle name="Currency 3 2 2" xfId="144" xr:uid="{00000000-0005-0000-0000-000066000000}"/>
    <cellStyle name="Currency 3 3" xfId="145" xr:uid="{00000000-0005-0000-0000-000067000000}"/>
    <cellStyle name="Currency 4" xfId="146" xr:uid="{00000000-0005-0000-0000-000068000000}"/>
    <cellStyle name="Currency 4 2" xfId="147" xr:uid="{00000000-0005-0000-0000-000069000000}"/>
    <cellStyle name="Currency 4 2 2" xfId="148" xr:uid="{00000000-0005-0000-0000-00006A000000}"/>
    <cellStyle name="Currency 4 3" xfId="149" xr:uid="{00000000-0005-0000-0000-00006B000000}"/>
    <cellStyle name="Currency 5" xfId="150" xr:uid="{00000000-0005-0000-0000-00006C000000}"/>
    <cellStyle name="Currency 5 2" xfId="151" xr:uid="{00000000-0005-0000-0000-00006D000000}"/>
    <cellStyle name="Currency 6" xfId="152" xr:uid="{00000000-0005-0000-0000-00006E000000}"/>
    <cellStyle name="Euro" xfId="153" xr:uid="{00000000-0005-0000-0000-00006F000000}"/>
    <cellStyle name="Euro 2" xfId="154" xr:uid="{00000000-0005-0000-0000-000070000000}"/>
    <cellStyle name="Euro 3" xfId="155" xr:uid="{00000000-0005-0000-0000-000071000000}"/>
    <cellStyle name="Existing" xfId="156" xr:uid="{00000000-0005-0000-0000-000072000000}"/>
    <cellStyle name="Good 2" xfId="157" xr:uid="{00000000-0005-0000-0000-000073000000}"/>
    <cellStyle name="Good 3" xfId="158" xr:uid="{00000000-0005-0000-0000-000074000000}"/>
    <cellStyle name="Good 4" xfId="159" xr:uid="{00000000-0005-0000-0000-000075000000}"/>
    <cellStyle name="Komma 2" xfId="160" xr:uid="{00000000-0005-0000-0000-000076000000}"/>
    <cellStyle name="Komma 2 2" xfId="161" xr:uid="{00000000-0005-0000-0000-000077000000}"/>
    <cellStyle name="LineItemError" xfId="162" xr:uid="{00000000-0005-0000-0000-000078000000}"/>
    <cellStyle name="Migliaia" xfId="347" builtinId="3"/>
    <cellStyle name="Migliaia [0] 2" xfId="4" xr:uid="{00000000-0005-0000-0000-00007A000000}"/>
    <cellStyle name="Migliaia 10" xfId="11" xr:uid="{00000000-0005-0000-0000-00007B000000}"/>
    <cellStyle name="Migliaia 11" xfId="12" xr:uid="{00000000-0005-0000-0000-00007C000000}"/>
    <cellStyle name="Migliaia 12" xfId="13" xr:uid="{00000000-0005-0000-0000-00007D000000}"/>
    <cellStyle name="Migliaia 13" xfId="14" xr:uid="{00000000-0005-0000-0000-00007E000000}"/>
    <cellStyle name="Migliaia 14" xfId="15" xr:uid="{00000000-0005-0000-0000-00007F000000}"/>
    <cellStyle name="Migliaia 15" xfId="16" xr:uid="{00000000-0005-0000-0000-000080000000}"/>
    <cellStyle name="Migliaia 16" xfId="43" xr:uid="{00000000-0005-0000-0000-000081000000}"/>
    <cellStyle name="Migliaia 17" xfId="345" xr:uid="{00000000-0005-0000-0000-000082000000}"/>
    <cellStyle name="Migliaia 18" xfId="346" xr:uid="{00000000-0005-0000-0000-000083000000}"/>
    <cellStyle name="Migliaia 19" xfId="350" xr:uid="{00000000-0005-0000-0000-000084000000}"/>
    <cellStyle name="Migliaia 2" xfId="1" xr:uid="{00000000-0005-0000-0000-000085000000}"/>
    <cellStyle name="Migliaia 2 2" xfId="17" xr:uid="{00000000-0005-0000-0000-000086000000}"/>
    <cellStyle name="Migliaia 2 2 2" xfId="18" xr:uid="{00000000-0005-0000-0000-000087000000}"/>
    <cellStyle name="Migliaia 2 3" xfId="39" xr:uid="{00000000-0005-0000-0000-000088000000}"/>
    <cellStyle name="Migliaia 3" xfId="19" xr:uid="{00000000-0005-0000-0000-000089000000}"/>
    <cellStyle name="Migliaia 4" xfId="20" xr:uid="{00000000-0005-0000-0000-00008A000000}"/>
    <cellStyle name="Migliaia 4 2" xfId="21" xr:uid="{00000000-0005-0000-0000-00008B000000}"/>
    <cellStyle name="Migliaia 4 3" xfId="42" xr:uid="{00000000-0005-0000-0000-00008C000000}"/>
    <cellStyle name="Migliaia 5" xfId="22" xr:uid="{00000000-0005-0000-0000-00008D000000}"/>
    <cellStyle name="Migliaia 6" xfId="23" xr:uid="{00000000-0005-0000-0000-00008E000000}"/>
    <cellStyle name="Migliaia 6 2" xfId="24" xr:uid="{00000000-0005-0000-0000-00008F000000}"/>
    <cellStyle name="Migliaia 7" xfId="25" xr:uid="{00000000-0005-0000-0000-000090000000}"/>
    <cellStyle name="Migliaia 7 2" xfId="26" xr:uid="{00000000-0005-0000-0000-000091000000}"/>
    <cellStyle name="Migliaia 8" xfId="27" xr:uid="{00000000-0005-0000-0000-000092000000}"/>
    <cellStyle name="Migliaia 9" xfId="28" xr:uid="{00000000-0005-0000-0000-000093000000}"/>
    <cellStyle name="Neutral 2" xfId="163" xr:uid="{00000000-0005-0000-0000-000094000000}"/>
    <cellStyle name="Neutral 3" xfId="164" xr:uid="{00000000-0005-0000-0000-000095000000}"/>
    <cellStyle name="Neutral 4" xfId="165" xr:uid="{00000000-0005-0000-0000-000096000000}"/>
    <cellStyle name="Normal 10" xfId="166" xr:uid="{00000000-0005-0000-0000-000097000000}"/>
    <cellStyle name="Normal 10 2" xfId="167" xr:uid="{00000000-0005-0000-0000-000098000000}"/>
    <cellStyle name="Normal 10 2 2" xfId="168" xr:uid="{00000000-0005-0000-0000-000099000000}"/>
    <cellStyle name="Normal 10 2 3" xfId="169" xr:uid="{00000000-0005-0000-0000-00009A000000}"/>
    <cellStyle name="Normal 10 2 4" xfId="170" xr:uid="{00000000-0005-0000-0000-00009B000000}"/>
    <cellStyle name="Normal 10 2 4 2" xfId="171" xr:uid="{00000000-0005-0000-0000-00009C000000}"/>
    <cellStyle name="Normal 10 2 5" xfId="172" xr:uid="{00000000-0005-0000-0000-00009D000000}"/>
    <cellStyle name="Normal 10 3" xfId="173" xr:uid="{00000000-0005-0000-0000-00009E000000}"/>
    <cellStyle name="Normal 10 4" xfId="174" xr:uid="{00000000-0005-0000-0000-00009F000000}"/>
    <cellStyle name="Normal 11" xfId="175" xr:uid="{00000000-0005-0000-0000-0000A0000000}"/>
    <cellStyle name="Normal 11 2" xfId="176" xr:uid="{00000000-0005-0000-0000-0000A1000000}"/>
    <cellStyle name="Normal 11 3" xfId="177" xr:uid="{00000000-0005-0000-0000-0000A2000000}"/>
    <cellStyle name="Normal 12" xfId="178" xr:uid="{00000000-0005-0000-0000-0000A3000000}"/>
    <cellStyle name="Normal 12 2" xfId="179" xr:uid="{00000000-0005-0000-0000-0000A4000000}"/>
    <cellStyle name="Normal 12 3" xfId="180" xr:uid="{00000000-0005-0000-0000-0000A5000000}"/>
    <cellStyle name="Normal 12 3 2" xfId="181" xr:uid="{00000000-0005-0000-0000-0000A6000000}"/>
    <cellStyle name="Normal 13" xfId="182" xr:uid="{00000000-0005-0000-0000-0000A7000000}"/>
    <cellStyle name="Normal 13 2" xfId="183" xr:uid="{00000000-0005-0000-0000-0000A8000000}"/>
    <cellStyle name="Normal 13 3" xfId="184" xr:uid="{00000000-0005-0000-0000-0000A9000000}"/>
    <cellStyle name="Normal 14" xfId="185" xr:uid="{00000000-0005-0000-0000-0000AA000000}"/>
    <cellStyle name="Normal 14 2" xfId="186" xr:uid="{00000000-0005-0000-0000-0000AB000000}"/>
    <cellStyle name="Normal 15" xfId="187" xr:uid="{00000000-0005-0000-0000-0000AC000000}"/>
    <cellStyle name="Normal 15 2" xfId="188" xr:uid="{00000000-0005-0000-0000-0000AD000000}"/>
    <cellStyle name="Normal 15 3" xfId="189" xr:uid="{00000000-0005-0000-0000-0000AE000000}"/>
    <cellStyle name="Normal 15 3 2" xfId="190" xr:uid="{00000000-0005-0000-0000-0000AF000000}"/>
    <cellStyle name="Normal 16" xfId="191" xr:uid="{00000000-0005-0000-0000-0000B0000000}"/>
    <cellStyle name="Normal 16 2" xfId="192" xr:uid="{00000000-0005-0000-0000-0000B1000000}"/>
    <cellStyle name="Normal 17" xfId="193" xr:uid="{00000000-0005-0000-0000-0000B2000000}"/>
    <cellStyle name="Normal 17 2" xfId="194" xr:uid="{00000000-0005-0000-0000-0000B3000000}"/>
    <cellStyle name="Normal 17 2 2" xfId="195" xr:uid="{00000000-0005-0000-0000-0000B4000000}"/>
    <cellStyle name="Normal 17 2 3" xfId="196" xr:uid="{00000000-0005-0000-0000-0000B5000000}"/>
    <cellStyle name="Normal 17 3" xfId="197" xr:uid="{00000000-0005-0000-0000-0000B6000000}"/>
    <cellStyle name="Normal 17 4" xfId="198" xr:uid="{00000000-0005-0000-0000-0000B7000000}"/>
    <cellStyle name="Normal 18" xfId="199" xr:uid="{00000000-0005-0000-0000-0000B8000000}"/>
    <cellStyle name="Normal 18 2" xfId="200" xr:uid="{00000000-0005-0000-0000-0000B9000000}"/>
    <cellStyle name="Normal 18 3" xfId="201" xr:uid="{00000000-0005-0000-0000-0000BA000000}"/>
    <cellStyle name="Normal 18 4" xfId="202" xr:uid="{00000000-0005-0000-0000-0000BB000000}"/>
    <cellStyle name="Normal 19" xfId="203" xr:uid="{00000000-0005-0000-0000-0000BC000000}"/>
    <cellStyle name="Normal 19 2" xfId="204" xr:uid="{00000000-0005-0000-0000-0000BD000000}"/>
    <cellStyle name="Normal 19 3" xfId="205" xr:uid="{00000000-0005-0000-0000-0000BE000000}"/>
    <cellStyle name="Normal 19 4" xfId="206" xr:uid="{00000000-0005-0000-0000-0000BF000000}"/>
    <cellStyle name="Normal 19 5" xfId="207" xr:uid="{00000000-0005-0000-0000-0000C0000000}"/>
    <cellStyle name="Normal 19 5 2" xfId="208" xr:uid="{00000000-0005-0000-0000-0000C1000000}"/>
    <cellStyle name="Normal 19 5 2 2" xfId="209" xr:uid="{00000000-0005-0000-0000-0000C2000000}"/>
    <cellStyle name="Normal 19 5 3" xfId="210" xr:uid="{00000000-0005-0000-0000-0000C3000000}"/>
    <cellStyle name="Normal 19 6" xfId="211" xr:uid="{00000000-0005-0000-0000-0000C4000000}"/>
    <cellStyle name="Normal 19 7" xfId="212" xr:uid="{00000000-0005-0000-0000-0000C5000000}"/>
    <cellStyle name="Normal 19 7 2" xfId="213" xr:uid="{00000000-0005-0000-0000-0000C6000000}"/>
    <cellStyle name="Normal 2" xfId="214" xr:uid="{00000000-0005-0000-0000-0000C7000000}"/>
    <cellStyle name="Normal 2 2" xfId="215" xr:uid="{00000000-0005-0000-0000-0000C8000000}"/>
    <cellStyle name="Normal 2 2 2" xfId="216" xr:uid="{00000000-0005-0000-0000-0000C9000000}"/>
    <cellStyle name="Normal 2 2 2 2" xfId="217" xr:uid="{00000000-0005-0000-0000-0000CA000000}"/>
    <cellStyle name="Normal 2 2 2 3" xfId="218" xr:uid="{00000000-0005-0000-0000-0000CB000000}"/>
    <cellStyle name="Normal 2 2 3" xfId="219" xr:uid="{00000000-0005-0000-0000-0000CC000000}"/>
    <cellStyle name="Normal 2 2 4" xfId="220" xr:uid="{00000000-0005-0000-0000-0000CD000000}"/>
    <cellStyle name="Normal 2 2 5" xfId="221" xr:uid="{00000000-0005-0000-0000-0000CE000000}"/>
    <cellStyle name="Normal 2 3" xfId="222" xr:uid="{00000000-0005-0000-0000-0000CF000000}"/>
    <cellStyle name="Normal 2 3 2" xfId="223" xr:uid="{00000000-0005-0000-0000-0000D0000000}"/>
    <cellStyle name="Normal 2 3 3" xfId="224" xr:uid="{00000000-0005-0000-0000-0000D1000000}"/>
    <cellStyle name="Normal 2 4" xfId="225" xr:uid="{00000000-0005-0000-0000-0000D2000000}"/>
    <cellStyle name="Normal 2 5" xfId="226" xr:uid="{00000000-0005-0000-0000-0000D3000000}"/>
    <cellStyle name="Normal 2 6" xfId="227" xr:uid="{00000000-0005-0000-0000-0000D4000000}"/>
    <cellStyle name="Normal 2 7" xfId="228" xr:uid="{00000000-0005-0000-0000-0000D5000000}"/>
    <cellStyle name="Normal 20" xfId="229" xr:uid="{00000000-0005-0000-0000-0000D6000000}"/>
    <cellStyle name="Normal 20 2" xfId="230" xr:uid="{00000000-0005-0000-0000-0000D7000000}"/>
    <cellStyle name="Normal 20 3" xfId="231" xr:uid="{00000000-0005-0000-0000-0000D8000000}"/>
    <cellStyle name="Normal 21" xfId="232" xr:uid="{00000000-0005-0000-0000-0000D9000000}"/>
    <cellStyle name="Normal 21 2" xfId="233" xr:uid="{00000000-0005-0000-0000-0000DA000000}"/>
    <cellStyle name="Normal 21 3" xfId="234" xr:uid="{00000000-0005-0000-0000-0000DB000000}"/>
    <cellStyle name="Normal 22" xfId="235" xr:uid="{00000000-0005-0000-0000-0000DC000000}"/>
    <cellStyle name="Normal 22 2" xfId="236" xr:uid="{00000000-0005-0000-0000-0000DD000000}"/>
    <cellStyle name="Normal 23" xfId="237" xr:uid="{00000000-0005-0000-0000-0000DE000000}"/>
    <cellStyle name="Normal 23 2" xfId="238" xr:uid="{00000000-0005-0000-0000-0000DF000000}"/>
    <cellStyle name="Normal 23 3" xfId="239" xr:uid="{00000000-0005-0000-0000-0000E0000000}"/>
    <cellStyle name="Normal 24" xfId="240" xr:uid="{00000000-0005-0000-0000-0000E1000000}"/>
    <cellStyle name="Normal 24 2" xfId="241" xr:uid="{00000000-0005-0000-0000-0000E2000000}"/>
    <cellStyle name="Normal 25" xfId="242" xr:uid="{00000000-0005-0000-0000-0000E3000000}"/>
    <cellStyle name="Normal 25 2" xfId="243" xr:uid="{00000000-0005-0000-0000-0000E4000000}"/>
    <cellStyle name="Normal 25 3" xfId="244" xr:uid="{00000000-0005-0000-0000-0000E5000000}"/>
    <cellStyle name="Normal 25 3 2" xfId="245" xr:uid="{00000000-0005-0000-0000-0000E6000000}"/>
    <cellStyle name="Normal 25 3 2 2" xfId="246" xr:uid="{00000000-0005-0000-0000-0000E7000000}"/>
    <cellStyle name="Normal 25 3 3" xfId="247" xr:uid="{00000000-0005-0000-0000-0000E8000000}"/>
    <cellStyle name="Normal 25 4" xfId="248" xr:uid="{00000000-0005-0000-0000-0000E9000000}"/>
    <cellStyle name="Normal 25 4 2" xfId="249" xr:uid="{00000000-0005-0000-0000-0000EA000000}"/>
    <cellStyle name="Normal 26" xfId="250" xr:uid="{00000000-0005-0000-0000-0000EB000000}"/>
    <cellStyle name="Normal 26 2" xfId="251" xr:uid="{00000000-0005-0000-0000-0000EC000000}"/>
    <cellStyle name="Normal 27" xfId="252" xr:uid="{00000000-0005-0000-0000-0000ED000000}"/>
    <cellStyle name="Normal 27 2" xfId="253" xr:uid="{00000000-0005-0000-0000-0000EE000000}"/>
    <cellStyle name="Normal 28" xfId="254" xr:uid="{00000000-0005-0000-0000-0000EF000000}"/>
    <cellStyle name="Normal 29" xfId="255" xr:uid="{00000000-0005-0000-0000-0000F0000000}"/>
    <cellStyle name="Normal 3" xfId="29" xr:uid="{00000000-0005-0000-0000-0000F1000000}"/>
    <cellStyle name="Normal 3 2" xfId="256" xr:uid="{00000000-0005-0000-0000-0000F2000000}"/>
    <cellStyle name="Normal 3 2 2" xfId="257" xr:uid="{00000000-0005-0000-0000-0000F3000000}"/>
    <cellStyle name="Normal 3 2 3" xfId="258" xr:uid="{00000000-0005-0000-0000-0000F4000000}"/>
    <cellStyle name="Normal 3 3" xfId="259" xr:uid="{00000000-0005-0000-0000-0000F5000000}"/>
    <cellStyle name="Normal 3 4" xfId="260" xr:uid="{00000000-0005-0000-0000-0000F6000000}"/>
    <cellStyle name="Normal 3 5" xfId="261" xr:uid="{00000000-0005-0000-0000-0000F7000000}"/>
    <cellStyle name="Normal 3 6" xfId="262" xr:uid="{00000000-0005-0000-0000-0000F8000000}"/>
    <cellStyle name="Normal 30" xfId="263" xr:uid="{00000000-0005-0000-0000-0000F9000000}"/>
    <cellStyle name="Normal 30 2" xfId="264" xr:uid="{00000000-0005-0000-0000-0000FA000000}"/>
    <cellStyle name="Normal 4" xfId="265" xr:uid="{00000000-0005-0000-0000-0000FB000000}"/>
    <cellStyle name="Normal 4 2" xfId="266" xr:uid="{00000000-0005-0000-0000-0000FC000000}"/>
    <cellStyle name="Normal 4 2 2" xfId="267" xr:uid="{00000000-0005-0000-0000-0000FD000000}"/>
    <cellStyle name="Normal 4 2 3" xfId="268" xr:uid="{00000000-0005-0000-0000-0000FE000000}"/>
    <cellStyle name="Normal 4 3" xfId="269" xr:uid="{00000000-0005-0000-0000-0000FF000000}"/>
    <cellStyle name="Normal 4 4" xfId="270" xr:uid="{00000000-0005-0000-0000-000000010000}"/>
    <cellStyle name="Normal 5" xfId="271" xr:uid="{00000000-0005-0000-0000-000001010000}"/>
    <cellStyle name="Normal 5 2" xfId="272" xr:uid="{00000000-0005-0000-0000-000002010000}"/>
    <cellStyle name="Normal 5 2 2" xfId="273" xr:uid="{00000000-0005-0000-0000-000003010000}"/>
    <cellStyle name="Normal 5 2 3" xfId="274" xr:uid="{00000000-0005-0000-0000-000004010000}"/>
    <cellStyle name="Normal 5 3" xfId="275" xr:uid="{00000000-0005-0000-0000-000005010000}"/>
    <cellStyle name="Normal 5 4" xfId="276" xr:uid="{00000000-0005-0000-0000-000006010000}"/>
    <cellStyle name="Normal 6" xfId="277" xr:uid="{00000000-0005-0000-0000-000007010000}"/>
    <cellStyle name="Normal 6 2" xfId="278" xr:uid="{00000000-0005-0000-0000-000008010000}"/>
    <cellStyle name="Normal 6 2 2" xfId="279" xr:uid="{00000000-0005-0000-0000-000009010000}"/>
    <cellStyle name="Normal 6 2 3" xfId="280" xr:uid="{00000000-0005-0000-0000-00000A010000}"/>
    <cellStyle name="Normal 6 3" xfId="281" xr:uid="{00000000-0005-0000-0000-00000B010000}"/>
    <cellStyle name="Normal 6 4" xfId="282" xr:uid="{00000000-0005-0000-0000-00000C010000}"/>
    <cellStyle name="Normal 7" xfId="283" xr:uid="{00000000-0005-0000-0000-00000D010000}"/>
    <cellStyle name="Normal 7 2" xfId="284" xr:uid="{00000000-0005-0000-0000-00000E010000}"/>
    <cellStyle name="Normal 7 2 2" xfId="285" xr:uid="{00000000-0005-0000-0000-00000F010000}"/>
    <cellStyle name="Normal 7 2 3" xfId="286" xr:uid="{00000000-0005-0000-0000-000010010000}"/>
    <cellStyle name="Normal 7 3" xfId="287" xr:uid="{00000000-0005-0000-0000-000011010000}"/>
    <cellStyle name="Normal 7 4" xfId="288" xr:uid="{00000000-0005-0000-0000-000012010000}"/>
    <cellStyle name="Normal 8" xfId="289" xr:uid="{00000000-0005-0000-0000-000013010000}"/>
    <cellStyle name="Normal 8 2" xfId="290" xr:uid="{00000000-0005-0000-0000-000014010000}"/>
    <cellStyle name="Normal 8 2 2" xfId="291" xr:uid="{00000000-0005-0000-0000-000015010000}"/>
    <cellStyle name="Normal 8 2 3" xfId="292" xr:uid="{00000000-0005-0000-0000-000016010000}"/>
    <cellStyle name="Normal 8 3" xfId="293" xr:uid="{00000000-0005-0000-0000-000017010000}"/>
    <cellStyle name="Normal 8 4" xfId="294" xr:uid="{00000000-0005-0000-0000-000018010000}"/>
    <cellStyle name="Normal 9" xfId="295" xr:uid="{00000000-0005-0000-0000-000019010000}"/>
    <cellStyle name="Normal 9 2" xfId="296" xr:uid="{00000000-0005-0000-0000-00001A010000}"/>
    <cellStyle name="Normal 9 2 2" xfId="297" xr:uid="{00000000-0005-0000-0000-00001B010000}"/>
    <cellStyle name="Normal 9 2 2 2" xfId="298" xr:uid="{00000000-0005-0000-0000-00001C010000}"/>
    <cellStyle name="Normal 9 2 2 3" xfId="299" xr:uid="{00000000-0005-0000-0000-00001D010000}"/>
    <cellStyle name="Normal 9 2 2 4" xfId="300" xr:uid="{00000000-0005-0000-0000-00001E010000}"/>
    <cellStyle name="Normal 9 2 2 4 2" xfId="301" xr:uid="{00000000-0005-0000-0000-00001F010000}"/>
    <cellStyle name="Normal 9 2 2 5" xfId="302" xr:uid="{00000000-0005-0000-0000-000020010000}"/>
    <cellStyle name="Normal 9 2 3" xfId="303" xr:uid="{00000000-0005-0000-0000-000021010000}"/>
    <cellStyle name="Normal 9 2 4" xfId="304" xr:uid="{00000000-0005-0000-0000-000022010000}"/>
    <cellStyle name="Normal 9 3" xfId="305" xr:uid="{00000000-0005-0000-0000-000023010000}"/>
    <cellStyle name="Normal 9 4" xfId="306" xr:uid="{00000000-0005-0000-0000-000024010000}"/>
    <cellStyle name="Normal1" xfId="307" xr:uid="{00000000-0005-0000-0000-000025010000}"/>
    <cellStyle name="Normale" xfId="0" builtinId="0"/>
    <cellStyle name="Normale 2" xfId="2" xr:uid="{00000000-0005-0000-0000-000027010000}"/>
    <cellStyle name="Normale 3" xfId="30" xr:uid="{00000000-0005-0000-0000-000028010000}"/>
    <cellStyle name="Normale 3 2" xfId="31" xr:uid="{00000000-0005-0000-0000-000029010000}"/>
    <cellStyle name="Normale 3 3" xfId="40" xr:uid="{00000000-0005-0000-0000-00002A010000}"/>
    <cellStyle name="Normale 3 3 2" xfId="41" xr:uid="{00000000-0005-0000-0000-00002B010000}"/>
    <cellStyle name="Normale 4" xfId="6" xr:uid="{00000000-0005-0000-0000-00002C010000}"/>
    <cellStyle name="Normale 5" xfId="32" xr:uid="{00000000-0005-0000-0000-00002D010000}"/>
    <cellStyle name="Normale 6" xfId="44" xr:uid="{00000000-0005-0000-0000-00002E010000}"/>
    <cellStyle name="Normale 7" xfId="343" xr:uid="{00000000-0005-0000-0000-00002F010000}"/>
    <cellStyle name="Normale 8" xfId="348" xr:uid="{00000000-0005-0000-0000-000030010000}"/>
    <cellStyle name="Note 2" xfId="308" xr:uid="{00000000-0005-0000-0000-000031010000}"/>
    <cellStyle name="Note 2 2" xfId="309" xr:uid="{00000000-0005-0000-0000-000032010000}"/>
    <cellStyle name="Note 3" xfId="310" xr:uid="{00000000-0005-0000-0000-000033010000}"/>
    <cellStyle name="Note 4" xfId="311" xr:uid="{00000000-0005-0000-0000-000034010000}"/>
    <cellStyle name="notUpdatable" xfId="312" xr:uid="{00000000-0005-0000-0000-000035010000}"/>
    <cellStyle name="Optional" xfId="313" xr:uid="{00000000-0005-0000-0000-000036010000}"/>
    <cellStyle name="Optional 2" xfId="314" xr:uid="{00000000-0005-0000-0000-000037010000}"/>
    <cellStyle name="Optional2" xfId="315" xr:uid="{00000000-0005-0000-0000-000038010000}"/>
    <cellStyle name="Optional2 2" xfId="316" xr:uid="{00000000-0005-0000-0000-000039010000}"/>
    <cellStyle name="OptionalForCommit" xfId="317" xr:uid="{00000000-0005-0000-0000-00003A010000}"/>
    <cellStyle name="OverridingAllowed" xfId="318" xr:uid="{00000000-0005-0000-0000-00003B010000}"/>
    <cellStyle name="OverridingAllowed 2" xfId="319" xr:uid="{00000000-0005-0000-0000-00003C010000}"/>
    <cellStyle name="Percent 2" xfId="33" xr:uid="{00000000-0005-0000-0000-00003D010000}"/>
    <cellStyle name="Percent 2 2" xfId="320" xr:uid="{00000000-0005-0000-0000-00003E010000}"/>
    <cellStyle name="Percent 3" xfId="321" xr:uid="{00000000-0005-0000-0000-00003F010000}"/>
    <cellStyle name="Percent 3 2" xfId="322" xr:uid="{00000000-0005-0000-0000-000040010000}"/>
    <cellStyle name="Percent 4" xfId="323" xr:uid="{00000000-0005-0000-0000-000041010000}"/>
    <cellStyle name="Percent 4 2" xfId="324" xr:uid="{00000000-0005-0000-0000-000042010000}"/>
    <cellStyle name="Percent 5" xfId="325" xr:uid="{00000000-0005-0000-0000-000043010000}"/>
    <cellStyle name="Percent 5 2" xfId="326" xr:uid="{00000000-0005-0000-0000-000044010000}"/>
    <cellStyle name="Percent 6" xfId="327" xr:uid="{00000000-0005-0000-0000-000045010000}"/>
    <cellStyle name="Percent 6 2" xfId="328" xr:uid="{00000000-0005-0000-0000-000046010000}"/>
    <cellStyle name="Percent 7" xfId="329" xr:uid="{00000000-0005-0000-0000-000047010000}"/>
    <cellStyle name="Percent 8" xfId="330" xr:uid="{00000000-0005-0000-0000-000048010000}"/>
    <cellStyle name="Percentuale" xfId="344" builtinId="5"/>
    <cellStyle name="Percentuale 2" xfId="34" xr:uid="{00000000-0005-0000-0000-00004A010000}"/>
    <cellStyle name="Percentuale 2 2" xfId="35" xr:uid="{00000000-0005-0000-0000-00004B010000}"/>
    <cellStyle name="Percentuale 3" xfId="36" xr:uid="{00000000-0005-0000-0000-00004C010000}"/>
    <cellStyle name="Percentuale 4" xfId="45" xr:uid="{00000000-0005-0000-0000-00004D010000}"/>
    <cellStyle name="Required" xfId="331" xr:uid="{00000000-0005-0000-0000-00004E010000}"/>
    <cellStyle name="Required2" xfId="332" xr:uid="{00000000-0005-0000-0000-00004F010000}"/>
    <cellStyle name="Sample" xfId="333" xr:uid="{00000000-0005-0000-0000-000050010000}"/>
    <cellStyle name="SkipRequired" xfId="334" xr:uid="{00000000-0005-0000-0000-000051010000}"/>
    <cellStyle name="Standaard 2" xfId="335" xr:uid="{00000000-0005-0000-0000-000052010000}"/>
    <cellStyle name="Standard 4" xfId="336" xr:uid="{00000000-0005-0000-0000-000053010000}"/>
    <cellStyle name="StringOnly" xfId="337" xr:uid="{00000000-0005-0000-0000-000054010000}"/>
    <cellStyle name="Title 2" xfId="338" xr:uid="{00000000-0005-0000-0000-000055010000}"/>
    <cellStyle name="Valuta" xfId="351" builtinId="4"/>
    <cellStyle name="Valuta 2" xfId="3" xr:uid="{00000000-0005-0000-0000-000057010000}"/>
    <cellStyle name="Valuta 2 2" xfId="37" xr:uid="{00000000-0005-0000-0000-000058010000}"/>
    <cellStyle name="Valuta 2 3" xfId="38" xr:uid="{00000000-0005-0000-0000-000059010000}"/>
    <cellStyle name="Valuta 3" xfId="5" xr:uid="{00000000-0005-0000-0000-00005A010000}"/>
    <cellStyle name="Valuta 4" xfId="339" xr:uid="{00000000-0005-0000-0000-00005B010000}"/>
    <cellStyle name="Valuta 5" xfId="349" xr:uid="{00000000-0005-0000-0000-00005C010000}"/>
    <cellStyle name="Warnings" xfId="340" xr:uid="{00000000-0005-0000-0000-00005D010000}"/>
    <cellStyle name="Warnings 2" xfId="341" xr:uid="{00000000-0005-0000-0000-00005E010000}"/>
    <cellStyle name="Κανονικό 2" xfId="342" xr:uid="{00000000-0005-0000-0000-00005F010000}"/>
  </cellStyles>
  <dxfs count="205">
    <dxf>
      <font>
        <b/>
        <i val="0"/>
        <color auto="1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/>
      </font>
    </dxf>
    <dxf>
      <font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b/>
        <i val="0"/>
        <color theme="0" tint="-0.499984740745262"/>
      </font>
    </dxf>
    <dxf>
      <font>
        <b/>
        <i val="0"/>
        <color theme="4" tint="-0.499984740745262"/>
      </font>
    </dxf>
    <dxf>
      <font>
        <b/>
        <i val="0"/>
        <color theme="5" tint="-0.499984740745262"/>
      </font>
    </dxf>
    <dxf>
      <font>
        <b/>
        <i val="0"/>
        <color rgb="FF00B050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b/>
        <i val="0"/>
        <color rgb="FF00B050"/>
      </font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auto="1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color theme="0"/>
      </font>
    </dxf>
    <dxf>
      <font>
        <color theme="0"/>
      </font>
    </dxf>
    <dxf>
      <font>
        <b/>
        <i val="0"/>
        <u/>
        <color rgb="FF00B050"/>
      </font>
    </dxf>
    <dxf>
      <font>
        <b/>
        <i val="0"/>
        <color rgb="FF00B050"/>
      </font>
    </dxf>
    <dxf>
      <font>
        <b/>
        <i val="0"/>
        <u/>
        <color theme="5"/>
      </font>
    </dxf>
    <dxf>
      <font>
        <b/>
        <i val="0"/>
        <u/>
        <color theme="7" tint="-0.24994659260841701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AA6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00B050"/>
      </font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color theme="0"/>
      </font>
    </dxf>
    <dxf>
      <numFmt numFmtId="170" formatCode="#,##0.00\ &quot;€&quot;"/>
      <alignment horizontal="center" vertical="center" textRotation="0" wrapText="0" relativeIndent="0" justifyLastLine="0" shrinkToFit="0" readingOrder="0"/>
    </dxf>
    <dxf>
      <numFmt numFmtId="170" formatCode="#,##0.00\ &quot;€&quot;"/>
      <alignment horizontal="center" vertical="center" textRotation="0" wrapText="0" relativeIndent="0" justifyLastLine="0" shrinkToFit="0" readingOrder="0"/>
    </dxf>
    <dxf>
      <numFmt numFmtId="185" formatCode="#,##0.000\ &quot;€&quot;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2" formatCode="0.0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0" formatCode="#,##0.00\ &quot;€&quot;"/>
      <alignment horizontal="right" vertical="center" textRotation="0" wrapText="0" relativeIndent="0" justifyLastLine="0" shrinkToFit="0" readingOrder="0"/>
    </dxf>
    <dxf>
      <numFmt numFmtId="1" formatCode="0"/>
      <alignment horizontal="right" vertical="center" textRotation="0" wrapText="0" relativeIndent="0" justifyLastLine="0" shrinkToFit="0" readingOrder="0"/>
    </dxf>
    <dxf>
      <numFmt numFmtId="170" formatCode="#,##0.00\ &quot;€&quot;"/>
      <alignment horizontal="right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bottom" textRotation="0" wrapText="0" indent="0" justifyLastLine="0" shrinkToFit="0" readingOrder="0"/>
    </dxf>
    <dxf>
      <numFmt numFmtId="188" formatCode="m/d/yyyy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6"/>
        <color theme="1"/>
        <name val="Calibri"/>
        <scheme val="minor"/>
      </font>
      <numFmt numFmtId="170" formatCode="#,##0.00\ &quot;€&quot;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188" formatCode="m/d/yyyy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88" formatCode="m/d/yyyy"/>
      <alignment horizontal="center" vertical="bottom" textRotation="0" wrapText="0" relativeIndent="0" justifyLastLine="0" shrinkToFit="0" readingOrder="0"/>
    </dxf>
    <dxf>
      <numFmt numFmtId="188" formatCode="m/d/yyyy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justifyLastLine="0" shrinkToFit="1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81" formatCode="0.0000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88" formatCode="m/d/yyyy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relative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top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color theme="5"/>
      </font>
    </dxf>
    <dxf>
      <font>
        <b/>
        <i val="0"/>
        <color theme="5"/>
      </font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30" formatCode="@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bottom" textRotation="0" wrapText="0" relativeIndent="0" justifyLastLine="0" shrinkToFit="0" readingOrder="0"/>
    </dxf>
    <dxf>
      <alignment horizontal="left" vertical="bottom" textRotation="0" wrapText="0" relativeIndent="0" justifyLastLine="0" shrinkToFit="0" readingOrder="0"/>
    </dxf>
    <dxf>
      <alignment horizontal="left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left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b/>
        <i val="0"/>
        <color theme="5"/>
      </font>
    </dxf>
    <dxf>
      <font>
        <b/>
        <i val="0"/>
        <color theme="5"/>
      </font>
    </dxf>
  </dxfs>
  <tableStyles count="0" defaultTableStyle="TableStyleMedium9" defaultPivotStyle="PivotStyleLight16"/>
  <colors>
    <mruColors>
      <color rgb="FF33CC33"/>
      <color rgb="FFFF0000"/>
      <color rgb="FF000000"/>
      <color rgb="FFDAA600"/>
      <color rgb="FFCC0099"/>
      <color rgb="FF660066"/>
      <color rgb="FF9900CC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Scroll" dx="16" fmlaLink="B3" max="1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ppo1896shop.it/chi-siamo" TargetMode="External"/><Relationship Id="rId2" Type="http://schemas.openxmlformats.org/officeDocument/2006/relationships/image" Target="../media/image4.png"/><Relationship Id="rId1" Type="http://schemas.openxmlformats.org/officeDocument/2006/relationships/hyperlink" Target="https://bhpcfragrance.com/" TargetMode="External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50799</xdr:colOff>
      <xdr:row>0</xdr:row>
      <xdr:rowOff>79376</xdr:rowOff>
    </xdr:from>
    <xdr:to>
      <xdr:col>6</xdr:col>
      <xdr:colOff>247699</xdr:colOff>
      <xdr:row>6</xdr:row>
      <xdr:rowOff>108164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799" y="79376"/>
          <a:ext cx="4680000" cy="10955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53973</xdr:colOff>
      <xdr:row>0</xdr:row>
      <xdr:rowOff>50801</xdr:rowOff>
    </xdr:from>
    <xdr:to>
      <xdr:col>6</xdr:col>
      <xdr:colOff>193723</xdr:colOff>
      <xdr:row>6</xdr:row>
      <xdr:rowOff>116848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3973" y="50801"/>
          <a:ext cx="4680000" cy="1056647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</xdr:colOff>
      <xdr:row>154</xdr:row>
      <xdr:rowOff>15875</xdr:rowOff>
    </xdr:from>
    <xdr:to>
      <xdr:col>10</xdr:col>
      <xdr:colOff>390525</xdr:colOff>
      <xdr:row>159</xdr:row>
      <xdr:rowOff>170462</xdr:rowOff>
    </xdr:to>
    <xdr:pic>
      <xdr:nvPicPr>
        <xdr:cNvPr id="3" name="Immagine 2" descr="Firma.JP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867275" y="10902950"/>
          <a:ext cx="1819275" cy="10213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11</xdr:row>
          <xdr:rowOff>133350</xdr:rowOff>
        </xdr:from>
        <xdr:to>
          <xdr:col>5</xdr:col>
          <xdr:colOff>0</xdr:colOff>
          <xdr:row>13</xdr:row>
          <xdr:rowOff>44450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742FF925-81C3-7D8E-7EC2-569707C5EE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0</xdr:rowOff>
        </xdr:from>
        <xdr:to>
          <xdr:col>7</xdr:col>
          <xdr:colOff>260350</xdr:colOff>
          <xdr:row>24</xdr:row>
          <xdr:rowOff>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3B738694-9AFB-E194-8FD7-21547A40A1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25</xdr:row>
          <xdr:rowOff>12700</xdr:rowOff>
        </xdr:from>
        <xdr:to>
          <xdr:col>5</xdr:col>
          <xdr:colOff>355600</xdr:colOff>
          <xdr:row>25</xdr:row>
          <xdr:rowOff>152400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3BDBBFB7-A9FA-983A-8B10-82BE188ABA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546100</xdr:colOff>
          <xdr:row>25</xdr:row>
          <xdr:rowOff>6350</xdr:rowOff>
        </xdr:from>
        <xdr:to>
          <xdr:col>7</xdr:col>
          <xdr:colOff>44450</xdr:colOff>
          <xdr:row>26</xdr:row>
          <xdr:rowOff>0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AE860398-F056-61C3-F9C9-23C662CD6C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25</xdr:row>
          <xdr:rowOff>0</xdr:rowOff>
        </xdr:from>
        <xdr:to>
          <xdr:col>7</xdr:col>
          <xdr:colOff>730250</xdr:colOff>
          <xdr:row>26</xdr:row>
          <xdr:rowOff>6350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78F2E4D1-566B-0712-21CD-994D14E01E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577850</xdr:colOff>
          <xdr:row>25</xdr:row>
          <xdr:rowOff>0</xdr:rowOff>
        </xdr:from>
        <xdr:to>
          <xdr:col>9</xdr:col>
          <xdr:colOff>38100</xdr:colOff>
          <xdr:row>26</xdr:row>
          <xdr:rowOff>6350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973AF4A2-C658-8385-5E0C-2770F7C02E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0</xdr:row>
      <xdr:rowOff>38100</xdr:rowOff>
    </xdr:from>
    <xdr:to>
      <xdr:col>21</xdr:col>
      <xdr:colOff>552450</xdr:colOff>
      <xdr:row>7</xdr:row>
      <xdr:rowOff>152400</xdr:rowOff>
    </xdr:to>
    <xdr:sp macro="" textlink="">
      <xdr:nvSpPr>
        <xdr:cNvPr id="102" name="rettangolo_filtri">
          <a:extLst>
            <a:ext uri="{FF2B5EF4-FFF2-40B4-BE49-F238E27FC236}">
              <a16:creationId xmlns:a16="http://schemas.microsoft.com/office/drawing/2014/main" id="{00000000-0008-0000-0F00-000066000000}"/>
            </a:ext>
          </a:extLst>
        </xdr:cNvPr>
        <xdr:cNvSpPr/>
      </xdr:nvSpPr>
      <xdr:spPr>
        <a:xfrm>
          <a:off x="11249025" y="38100"/>
          <a:ext cx="5334000" cy="10858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>
    <xdr:from>
      <xdr:col>44</xdr:col>
      <xdr:colOff>31750</xdr:colOff>
      <xdr:row>29</xdr:row>
      <xdr:rowOff>12700</xdr:rowOff>
    </xdr:from>
    <xdr:to>
      <xdr:col>44</xdr:col>
      <xdr:colOff>88900</xdr:colOff>
      <xdr:row>30</xdr:row>
      <xdr:rowOff>182200</xdr:rowOff>
    </xdr:to>
    <xdr:sp macro="" textlink="">
      <xdr:nvSpPr>
        <xdr:cNvPr id="11" name="graphDgn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4057650" y="5422900"/>
          <a:ext cx="57150" cy="360000"/>
        </a:xfrm>
        <a:prstGeom prst="rightBrace">
          <a:avLst/>
        </a:prstGeom>
        <a:ln w="9525">
          <a:solidFill>
            <a:schemeClr val="accent5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absolute">
    <xdr:from>
      <xdr:col>3</xdr:col>
      <xdr:colOff>150069</xdr:colOff>
      <xdr:row>16</xdr:row>
      <xdr:rowOff>29168</xdr:rowOff>
    </xdr:from>
    <xdr:to>
      <xdr:col>4</xdr:col>
      <xdr:colOff>39399</xdr:colOff>
      <xdr:row>18</xdr:row>
      <xdr:rowOff>183283</xdr:rowOff>
    </xdr:to>
    <xdr:sp macro="[0]!showClientTab" textlink="">
      <xdr:nvSpPr>
        <xdr:cNvPr id="16" name="backArrow" hidden="1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397933" y="2589683"/>
          <a:ext cx="1351492" cy="54146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oneCell">
    <xdr:from>
      <xdr:col>52</xdr:col>
      <xdr:colOff>44044</xdr:colOff>
      <xdr:row>8</xdr:row>
      <xdr:rowOff>12453</xdr:rowOff>
    </xdr:from>
    <xdr:to>
      <xdr:col>56</xdr:col>
      <xdr:colOff>80332</xdr:colOff>
      <xdr:row>16</xdr:row>
      <xdr:rowOff>454</xdr:rowOff>
    </xdr:to>
    <xdr:pic>
      <xdr:nvPicPr>
        <xdr:cNvPr id="32" name="bhpc_logo" descr="bhpc logo-Photoroom.png-Photoroom.png" hidden="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089744" y="1492003"/>
          <a:ext cx="1401839" cy="1483426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0</xdr:row>
      <xdr:rowOff>1</xdr:rowOff>
    </xdr:from>
    <xdr:to>
      <xdr:col>4</xdr:col>
      <xdr:colOff>218638</xdr:colOff>
      <xdr:row>5</xdr:row>
      <xdr:rowOff>145655</xdr:rowOff>
    </xdr:to>
    <xdr:pic>
      <xdr:nvPicPr>
        <xdr:cNvPr id="36" name="logoCoppo" descr="logo coppo-Photoroom.png-Photoroom.png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" y="1"/>
          <a:ext cx="2017346" cy="660248"/>
        </a:xfrm>
        <a:prstGeom prst="rect">
          <a:avLst/>
        </a:prstGeom>
      </xdr:spPr>
    </xdr:pic>
    <xdr:clientData/>
  </xdr:twoCellAnchor>
  <xdr:twoCellAnchor editAs="oneCell">
    <xdr:from>
      <xdr:col>49</xdr:col>
      <xdr:colOff>27751</xdr:colOff>
      <xdr:row>32</xdr:row>
      <xdr:rowOff>145807</xdr:rowOff>
    </xdr:from>
    <xdr:to>
      <xdr:col>60</xdr:col>
      <xdr:colOff>1906182</xdr:colOff>
      <xdr:row>39</xdr:row>
      <xdr:rowOff>15517</xdr:rowOff>
    </xdr:to>
    <xdr:grpSp>
      <xdr:nvGrpSpPr>
        <xdr:cNvPr id="60" name="statusBar" hidden="1">
          <a:extLst>
            <a:ext uri="{FF2B5EF4-FFF2-40B4-BE49-F238E27FC236}">
              <a16:creationId xmlns:a16="http://schemas.microsoft.com/office/drawing/2014/main" id="{00000000-0008-0000-0F00-00003C000000}"/>
            </a:ext>
          </a:extLst>
        </xdr:cNvPr>
        <xdr:cNvGrpSpPr/>
      </xdr:nvGrpSpPr>
      <xdr:grpSpPr>
        <a:xfrm>
          <a:off x="34578101" y="5835407"/>
          <a:ext cx="9885781" cy="1203210"/>
          <a:chOff x="6605709" y="6356352"/>
          <a:chExt cx="10282202" cy="1192098"/>
        </a:xfrm>
      </xdr:grpSpPr>
      <xdr:sp macro="[0]!setStatus1" textlink="">
        <xdr:nvSpPr>
          <xdr:cNvPr id="41" name="confirmed" hidden="1">
            <a:extLst>
              <a:ext uri="{FF2B5EF4-FFF2-40B4-BE49-F238E27FC236}">
                <a16:creationId xmlns:a16="http://schemas.microsoft.com/office/drawing/2014/main" id="{00000000-0008-0000-0F00-000029000000}"/>
              </a:ext>
            </a:extLst>
          </xdr:cNvPr>
          <xdr:cNvSpPr/>
        </xdr:nvSpPr>
        <xdr:spPr>
          <a:xfrm>
            <a:off x="6605709" y="6356352"/>
            <a:ext cx="867175" cy="1192098"/>
          </a:xfrm>
          <a:prstGeom prst="homePlate">
            <a:avLst>
              <a:gd name="adj" fmla="val 28771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000" b="1"/>
              <a:t>Order </a:t>
            </a:r>
          </a:p>
          <a:p>
            <a:pPr algn="ctr"/>
            <a:r>
              <a:rPr lang="it-IT" sz="1000" b="1"/>
              <a:t>Confirmed</a:t>
            </a:r>
          </a:p>
        </xdr:txBody>
      </xdr:sp>
      <xdr:sp macro="[0]!setStatus2" textlink="">
        <xdr:nvSpPr>
          <xdr:cNvPr id="42" name="warehouseAvailability" hidden="1">
            <a:extLst>
              <a:ext uri="{FF2B5EF4-FFF2-40B4-BE49-F238E27FC236}">
                <a16:creationId xmlns:a16="http://schemas.microsoft.com/office/drawing/2014/main" id="{00000000-0008-0000-0F00-00002A000000}"/>
              </a:ext>
            </a:extLst>
          </xdr:cNvPr>
          <xdr:cNvSpPr/>
        </xdr:nvSpPr>
        <xdr:spPr>
          <a:xfrm>
            <a:off x="7249964" y="6356352"/>
            <a:ext cx="1260000" cy="1192098"/>
          </a:xfrm>
          <a:prstGeom prst="chevron">
            <a:avLst>
              <a:gd name="adj" fmla="val 20712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Products Available in Warehouse</a:t>
            </a:r>
          </a:p>
        </xdr:txBody>
      </xdr:sp>
      <xdr:sp macro="[0]!setStatusPayed" textlink="">
        <xdr:nvSpPr>
          <xdr:cNvPr id="52" name="payment" hidden="1">
            <a:extLst>
              <a:ext uri="{FF2B5EF4-FFF2-40B4-BE49-F238E27FC236}">
                <a16:creationId xmlns:a16="http://schemas.microsoft.com/office/drawing/2014/main" id="{00000000-0008-0000-0F00-000034000000}"/>
              </a:ext>
            </a:extLst>
          </xdr:cNvPr>
          <xdr:cNvSpPr/>
        </xdr:nvSpPr>
        <xdr:spPr>
          <a:xfrm>
            <a:off x="9256509" y="6356352"/>
            <a:ext cx="1296000" cy="1192098"/>
          </a:xfrm>
          <a:prstGeom prst="chevron">
            <a:avLst>
              <a:gd name="adj" fmla="val 21378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Payment Received!</a:t>
            </a:r>
          </a:p>
        </xdr:txBody>
      </xdr:sp>
      <xdr:sp macro="[0]!setStatus3" textlink="">
        <xdr:nvSpPr>
          <xdr:cNvPr id="53" name="pallet" hidden="1">
            <a:extLst>
              <a:ext uri="{FF2B5EF4-FFF2-40B4-BE49-F238E27FC236}">
                <a16:creationId xmlns:a16="http://schemas.microsoft.com/office/drawing/2014/main" id="{00000000-0008-0000-0F00-000035000000}"/>
              </a:ext>
            </a:extLst>
          </xdr:cNvPr>
          <xdr:cNvSpPr/>
        </xdr:nvSpPr>
        <xdr:spPr>
          <a:xfrm>
            <a:off x="8289748" y="6356352"/>
            <a:ext cx="1188000" cy="1192098"/>
          </a:xfrm>
          <a:prstGeom prst="chevron">
            <a:avLst>
              <a:gd name="adj" fmla="val 20710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Pallet Ready</a:t>
            </a:r>
          </a:p>
        </xdr:txBody>
      </xdr:sp>
      <xdr:sp macro="[0]!setStatus4" textlink="">
        <xdr:nvSpPr>
          <xdr:cNvPr id="54" name="transport" hidden="1">
            <a:extLst>
              <a:ext uri="{FF2B5EF4-FFF2-40B4-BE49-F238E27FC236}">
                <a16:creationId xmlns:a16="http://schemas.microsoft.com/office/drawing/2014/main" id="{00000000-0008-0000-0F00-000036000000}"/>
              </a:ext>
            </a:extLst>
          </xdr:cNvPr>
          <xdr:cNvSpPr/>
        </xdr:nvSpPr>
        <xdr:spPr>
          <a:xfrm>
            <a:off x="10315353" y="6356352"/>
            <a:ext cx="1152000" cy="1192098"/>
          </a:xfrm>
          <a:prstGeom prst="chevron">
            <a:avLst>
              <a:gd name="adj" fmla="val 22044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Carrier Found</a:t>
            </a:r>
          </a:p>
        </xdr:txBody>
      </xdr:sp>
      <xdr:sp macro="[0]!setStatus5" textlink="">
        <xdr:nvSpPr>
          <xdr:cNvPr id="55" name="docs" hidden="1">
            <a:extLst>
              <a:ext uri="{FF2B5EF4-FFF2-40B4-BE49-F238E27FC236}">
                <a16:creationId xmlns:a16="http://schemas.microsoft.com/office/drawing/2014/main" id="{00000000-0008-0000-0F00-000037000000}"/>
              </a:ext>
            </a:extLst>
          </xdr:cNvPr>
          <xdr:cNvSpPr/>
        </xdr:nvSpPr>
        <xdr:spPr>
          <a:xfrm>
            <a:off x="11242425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Documents Ready</a:t>
            </a:r>
          </a:p>
        </xdr:txBody>
      </xdr:sp>
      <xdr:sp macro="[0]!setStatus6" textlink="">
        <xdr:nvSpPr>
          <xdr:cNvPr id="56" name="allReady" hidden="1">
            <a:extLst>
              <a:ext uri="{FF2B5EF4-FFF2-40B4-BE49-F238E27FC236}">
                <a16:creationId xmlns:a16="http://schemas.microsoft.com/office/drawing/2014/main" id="{00000000-0008-0000-0F00-000038000000}"/>
              </a:ext>
            </a:extLst>
          </xdr:cNvPr>
          <xdr:cNvSpPr/>
        </xdr:nvSpPr>
        <xdr:spPr>
          <a:xfrm>
            <a:off x="12271103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All</a:t>
            </a:r>
            <a:r>
              <a:rPr lang="it-IT" sz="1100" b="1" u="sng" baseline="0">
                <a:solidFill>
                  <a:srgbClr val="FFFF00"/>
                </a:solidFill>
              </a:rPr>
              <a:t> Ready!</a:t>
            </a:r>
            <a:endParaRPr lang="it-IT" sz="1100" b="1" u="sng">
              <a:solidFill>
                <a:srgbClr val="FFFF00"/>
              </a:solidFill>
            </a:endParaRPr>
          </a:p>
        </xdr:txBody>
      </xdr:sp>
      <xdr:sp macro="[0]!setStatus7" textlink="">
        <xdr:nvSpPr>
          <xdr:cNvPr id="57" name="shipped" hidden="1">
            <a:extLst>
              <a:ext uri="{FF2B5EF4-FFF2-40B4-BE49-F238E27FC236}">
                <a16:creationId xmlns:a16="http://schemas.microsoft.com/office/drawing/2014/main" id="{00000000-0008-0000-0F00-000039000000}"/>
              </a:ext>
            </a:extLst>
          </xdr:cNvPr>
          <xdr:cNvSpPr/>
        </xdr:nvSpPr>
        <xdr:spPr>
          <a:xfrm>
            <a:off x="13310894" y="6357146"/>
            <a:ext cx="1152000" cy="1190511"/>
          </a:xfrm>
          <a:prstGeom prst="chevron">
            <a:avLst>
              <a:gd name="adj" fmla="val 21373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Shipped</a:t>
            </a:r>
          </a:p>
        </xdr:txBody>
      </xdr:sp>
      <xdr:sp macro="[0]!setStatus8" textlink="">
        <xdr:nvSpPr>
          <xdr:cNvPr id="58" name="delivered" hidden="1">
            <a:extLst>
              <a:ext uri="{FF2B5EF4-FFF2-40B4-BE49-F238E27FC236}">
                <a16:creationId xmlns:a16="http://schemas.microsoft.com/office/drawing/2014/main" id="{00000000-0008-0000-0F00-00003A000000}"/>
              </a:ext>
            </a:extLst>
          </xdr:cNvPr>
          <xdr:cNvSpPr/>
        </xdr:nvSpPr>
        <xdr:spPr>
          <a:xfrm>
            <a:off x="14236544" y="6358401"/>
            <a:ext cx="1224000" cy="1190016"/>
          </a:xfrm>
          <a:prstGeom prst="chevron">
            <a:avLst>
              <a:gd name="adj" fmla="val 19747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Delivered</a:t>
            </a:r>
          </a:p>
        </xdr:txBody>
      </xdr:sp>
      <xdr:sp macro="[0]!setStatus9" textlink="">
        <xdr:nvSpPr>
          <xdr:cNvPr id="59" name="closed" hidden="1">
            <a:extLst>
              <a:ext uri="{FF2B5EF4-FFF2-40B4-BE49-F238E27FC236}">
                <a16:creationId xmlns:a16="http://schemas.microsoft.com/office/drawing/2014/main" id="{00000000-0008-0000-0F00-00003B000000}"/>
              </a:ext>
            </a:extLst>
          </xdr:cNvPr>
          <xdr:cNvSpPr/>
        </xdr:nvSpPr>
        <xdr:spPr>
          <a:xfrm>
            <a:off x="15235052" y="6356601"/>
            <a:ext cx="1652859" cy="1191600"/>
          </a:xfrm>
          <a:prstGeom prst="chevron">
            <a:avLst>
              <a:gd name="adj" fmla="val 21357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Closed</a:t>
            </a:r>
            <a:endParaRPr lang="it-IT" sz="900" b="1" u="sng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77</xdr:col>
      <xdr:colOff>454106</xdr:colOff>
      <xdr:row>4</xdr:row>
      <xdr:rowOff>44064</xdr:rowOff>
    </xdr:from>
    <xdr:to>
      <xdr:col>78</xdr:col>
      <xdr:colOff>2945556</xdr:colOff>
      <xdr:row>6</xdr:row>
      <xdr:rowOff>101364</xdr:rowOff>
    </xdr:to>
    <xdr:grpSp>
      <xdr:nvGrpSpPr>
        <xdr:cNvPr id="48" name="product_order_panel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GrpSpPr/>
      </xdr:nvGrpSpPr>
      <xdr:grpSpPr>
        <a:xfrm>
          <a:off x="64874856" y="545714"/>
          <a:ext cx="3361400" cy="292250"/>
          <a:chOff x="2467055" y="804331"/>
          <a:chExt cx="2947781" cy="322395"/>
        </a:xfrm>
      </xdr:grpSpPr>
      <xdr:sp macro="[0]!updateOrderContent" textlink="">
        <xdr:nvSpPr>
          <xdr:cNvPr id="39" name="updateOrderContent" hidden="1">
            <a:extLst>
              <a:ext uri="{FF2B5EF4-FFF2-40B4-BE49-F238E27FC236}">
                <a16:creationId xmlns:a16="http://schemas.microsoft.com/office/drawing/2014/main" id="{00000000-0008-0000-0F00-000027000000}"/>
              </a:ext>
            </a:extLst>
          </xdr:cNvPr>
          <xdr:cNvSpPr/>
        </xdr:nvSpPr>
        <xdr:spPr>
          <a:xfrm>
            <a:off x="2467055" y="804331"/>
            <a:ext cx="1440000" cy="322395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BASKET</a:t>
            </a:r>
          </a:p>
        </xdr:txBody>
      </xdr:sp>
      <xdr:sp macro="[0]!emptyOrderContent" textlink="">
        <xdr:nvSpPr>
          <xdr:cNvPr id="46" name="updateOrderContent">
            <a:extLst>
              <a:ext uri="{FF2B5EF4-FFF2-40B4-BE49-F238E27FC236}">
                <a16:creationId xmlns:a16="http://schemas.microsoft.com/office/drawing/2014/main" id="{00000000-0008-0000-0F00-00002E000000}"/>
              </a:ext>
            </a:extLst>
          </xdr:cNvPr>
          <xdr:cNvSpPr/>
        </xdr:nvSpPr>
        <xdr:spPr>
          <a:xfrm>
            <a:off x="3974836" y="804331"/>
            <a:ext cx="1440000" cy="322395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EMPTY BASKET</a:t>
            </a:r>
          </a:p>
        </xdr:txBody>
      </xdr:sp>
    </xdr:grpSp>
    <xdr:clientData/>
  </xdr:twoCellAnchor>
  <xdr:twoCellAnchor editAs="oneCell">
    <xdr:from>
      <xdr:col>6</xdr:col>
      <xdr:colOff>149305</xdr:colOff>
      <xdr:row>5</xdr:row>
      <xdr:rowOff>2113</xdr:rowOff>
    </xdr:from>
    <xdr:to>
      <xdr:col>11</xdr:col>
      <xdr:colOff>516416</xdr:colOff>
      <xdr:row>6</xdr:row>
      <xdr:rowOff>129263</xdr:rowOff>
    </xdr:to>
    <xdr:grpSp>
      <xdr:nvGrpSpPr>
        <xdr:cNvPr id="62" name="dashboard_order_control_panel">
          <a:extLst>
            <a:ext uri="{FF2B5EF4-FFF2-40B4-BE49-F238E27FC236}">
              <a16:creationId xmlns:a16="http://schemas.microsoft.com/office/drawing/2014/main" id="{00000000-0008-0000-0F00-00003D000000}"/>
            </a:ext>
          </a:extLst>
        </xdr:cNvPr>
        <xdr:cNvGrpSpPr/>
      </xdr:nvGrpSpPr>
      <xdr:grpSpPr>
        <a:xfrm>
          <a:off x="2371805" y="548213"/>
          <a:ext cx="3478611" cy="317650"/>
          <a:chOff x="2469942" y="846666"/>
          <a:chExt cx="2962355" cy="325155"/>
        </a:xfrm>
      </xdr:grpSpPr>
      <xdr:sp macro="[0]!neworderUsrFormLauncher" textlink="">
        <xdr:nvSpPr>
          <xdr:cNvPr id="63" name="newOrder">
            <a:extLst>
              <a:ext uri="{FF2B5EF4-FFF2-40B4-BE49-F238E27FC236}">
                <a16:creationId xmlns:a16="http://schemas.microsoft.com/office/drawing/2014/main" id="{00000000-0008-0000-0F00-00003E000000}"/>
              </a:ext>
            </a:extLst>
          </xdr:cNvPr>
          <xdr:cNvSpPr/>
        </xdr:nvSpPr>
        <xdr:spPr>
          <a:xfrm>
            <a:off x="2469942" y="846666"/>
            <a:ext cx="1438846" cy="325155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delOrder" textlink="">
        <xdr:nvSpPr>
          <xdr:cNvPr id="67" name="deleteOrder">
            <a:extLst>
              <a:ext uri="{FF2B5EF4-FFF2-40B4-BE49-F238E27FC236}">
                <a16:creationId xmlns:a16="http://schemas.microsoft.com/office/drawing/2014/main" id="{00000000-0008-0000-0F00-00003F000000}"/>
              </a:ext>
            </a:extLst>
          </xdr:cNvPr>
          <xdr:cNvSpPr/>
        </xdr:nvSpPr>
        <xdr:spPr>
          <a:xfrm>
            <a:off x="3993452" y="846666"/>
            <a:ext cx="1438845" cy="325155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</xdr:grpSp>
    <xdr:clientData/>
  </xdr:twoCellAnchor>
  <xdr:twoCellAnchor editAs="oneCell">
    <xdr:from>
      <xdr:col>107</xdr:col>
      <xdr:colOff>29633</xdr:colOff>
      <xdr:row>15</xdr:row>
      <xdr:rowOff>98287</xdr:rowOff>
    </xdr:from>
    <xdr:to>
      <xdr:col>108</xdr:col>
      <xdr:colOff>932555</xdr:colOff>
      <xdr:row>19</xdr:row>
      <xdr:rowOff>28822</xdr:rowOff>
    </xdr:to>
    <xdr:sp macro="" textlink="">
      <xdr:nvSpPr>
        <xdr:cNvPr id="70" name="printAllPdf" hidden="1">
          <a:extLst>
            <a:ext uri="{FF2B5EF4-FFF2-40B4-BE49-F238E27FC236}">
              <a16:creationId xmlns:a16="http://schemas.microsoft.com/office/drawing/2014/main" id="{00000000-0008-0000-0F00-000046000000}"/>
            </a:ext>
          </a:extLst>
        </xdr:cNvPr>
        <xdr:cNvSpPr/>
      </xdr:nvSpPr>
      <xdr:spPr>
        <a:xfrm>
          <a:off x="215248" y="2916710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PDF</a:t>
          </a:r>
        </a:p>
      </xdr:txBody>
    </xdr:sp>
    <xdr:clientData/>
  </xdr:twoCellAnchor>
  <xdr:twoCellAnchor editAs="oneCell">
    <xdr:from>
      <xdr:col>107</xdr:col>
      <xdr:colOff>14979</xdr:colOff>
      <xdr:row>19</xdr:row>
      <xdr:rowOff>117826</xdr:rowOff>
    </xdr:from>
    <xdr:to>
      <xdr:col>108</xdr:col>
      <xdr:colOff>832176</xdr:colOff>
      <xdr:row>23</xdr:row>
      <xdr:rowOff>61060</xdr:rowOff>
    </xdr:to>
    <xdr:sp macro="" textlink="">
      <xdr:nvSpPr>
        <xdr:cNvPr id="71" name="printAll" hidden="1">
          <a:extLst>
            <a:ext uri="{FF2B5EF4-FFF2-40B4-BE49-F238E27FC236}">
              <a16:creationId xmlns:a16="http://schemas.microsoft.com/office/drawing/2014/main" id="{00000000-0008-0000-0F00-000047000000}"/>
            </a:ext>
          </a:extLst>
        </xdr:cNvPr>
        <xdr:cNvSpPr/>
      </xdr:nvSpPr>
      <xdr:spPr>
        <a:xfrm>
          <a:off x="200594" y="3693364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PRINTER</a:t>
          </a:r>
        </a:p>
      </xdr:txBody>
    </xdr:sp>
    <xdr:clientData/>
  </xdr:twoCellAnchor>
  <xdr:twoCellAnchor editAs="absolute">
    <xdr:from>
      <xdr:col>3</xdr:col>
      <xdr:colOff>14274</xdr:colOff>
      <xdr:row>32</xdr:row>
      <xdr:rowOff>174950</xdr:rowOff>
    </xdr:from>
    <xdr:to>
      <xdr:col>5</xdr:col>
      <xdr:colOff>63538</xdr:colOff>
      <xdr:row>36</xdr:row>
      <xdr:rowOff>63581</xdr:rowOff>
    </xdr:to>
    <xdr:sp macro="" textlink="">
      <xdr:nvSpPr>
        <xdr:cNvPr id="49" name="shipIt" hidden="1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SpPr/>
      </xdr:nvSpPr>
      <xdr:spPr>
        <a:xfrm>
          <a:off x="228251" y="5683575"/>
          <a:ext cx="1897200" cy="625231"/>
        </a:xfrm>
        <a:prstGeom prst="roundRect">
          <a:avLst/>
        </a:prstGeom>
        <a:ln w="57150">
          <a:solidFill>
            <a:schemeClr val="accent6">
              <a:lumMod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2000" b="1" u="none">
              <a:solidFill>
                <a:schemeClr val="bg1"/>
              </a:solidFill>
            </a:rPr>
            <a:t>SHIP IT !!</a:t>
          </a:r>
        </a:p>
      </xdr:txBody>
    </xdr:sp>
    <xdr:clientData/>
  </xdr:twoCellAnchor>
  <xdr:twoCellAnchor editAs="absolute">
    <xdr:from>
      <xdr:col>11</xdr:col>
      <xdr:colOff>1007106</xdr:colOff>
      <xdr:row>0</xdr:row>
      <xdr:rowOff>73025</xdr:rowOff>
    </xdr:from>
    <xdr:to>
      <xdr:col>11</xdr:col>
      <xdr:colOff>1989694</xdr:colOff>
      <xdr:row>3</xdr:row>
      <xdr:rowOff>76200</xdr:rowOff>
    </xdr:to>
    <xdr:sp macro="" textlink="">
      <xdr:nvSpPr>
        <xdr:cNvPr id="15" name="docPressed" hidden="1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6490236" y="73025"/>
          <a:ext cx="1298891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DOCUMENTS</a:t>
          </a:r>
        </a:p>
      </xdr:txBody>
    </xdr:sp>
    <xdr:clientData/>
  </xdr:twoCellAnchor>
  <xdr:twoCellAnchor editAs="absolute">
    <xdr:from>
      <xdr:col>11</xdr:col>
      <xdr:colOff>1985866</xdr:colOff>
      <xdr:row>0</xdr:row>
      <xdr:rowOff>73025</xdr:rowOff>
    </xdr:from>
    <xdr:to>
      <xdr:col>14</xdr:col>
      <xdr:colOff>5230</xdr:colOff>
      <xdr:row>3</xdr:row>
      <xdr:rowOff>76200</xdr:rowOff>
    </xdr:to>
    <xdr:sp macro="" textlink="">
      <xdr:nvSpPr>
        <xdr:cNvPr id="28" name="contactPressed" hidden="1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/>
      </xdr:nvSpPr>
      <xdr:spPr>
        <a:xfrm>
          <a:off x="7804349" y="73025"/>
          <a:ext cx="1388560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CONTACTS</a:t>
          </a:r>
        </a:p>
      </xdr:txBody>
    </xdr:sp>
    <xdr:clientData/>
  </xdr:twoCellAnchor>
  <xdr:twoCellAnchor editAs="absolute">
    <xdr:from>
      <xdr:col>6</xdr:col>
      <xdr:colOff>166495</xdr:colOff>
      <xdr:row>0</xdr:row>
      <xdr:rowOff>73025</xdr:rowOff>
    </xdr:from>
    <xdr:to>
      <xdr:col>15</xdr:col>
      <xdr:colOff>781359</xdr:colOff>
      <xdr:row>3</xdr:row>
      <xdr:rowOff>76200</xdr:rowOff>
    </xdr:to>
    <xdr:grpSp>
      <xdr:nvGrpSpPr>
        <xdr:cNvPr id="95" name="main_menu">
          <a:extLst>
            <a:ext uri="{FF2B5EF4-FFF2-40B4-BE49-F238E27FC236}">
              <a16:creationId xmlns:a16="http://schemas.microsoft.com/office/drawing/2014/main" id="{00000000-0008-0000-0F00-00005F000000}"/>
            </a:ext>
          </a:extLst>
        </xdr:cNvPr>
        <xdr:cNvGrpSpPr/>
      </xdr:nvGrpSpPr>
      <xdr:grpSpPr>
        <a:xfrm>
          <a:off x="2388995" y="73025"/>
          <a:ext cx="8526964" cy="403225"/>
          <a:chOff x="2399553" y="73025"/>
          <a:chExt cx="8656402" cy="390525"/>
        </a:xfrm>
      </xdr:grpSpPr>
      <xdr:sp macro="[0]!showClientTab" textlink="">
        <xdr:nvSpPr>
          <xdr:cNvPr id="6" name="client" hidden="1">
            <a:extLst>
              <a:ext uri="{FF2B5EF4-FFF2-40B4-BE49-F238E27FC236}">
                <a16:creationId xmlns:a16="http://schemas.microsoft.com/office/drawing/2014/main" id="{00000000-0008-0000-0F00-000006000000}"/>
              </a:ext>
            </a:extLst>
          </xdr:cNvPr>
          <xdr:cNvSpPr/>
        </xdr:nvSpPr>
        <xdr:spPr>
          <a:xfrm>
            <a:off x="2399553" y="73025"/>
            <a:ext cx="1704657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600" b="1"/>
          </a:p>
        </xdr:txBody>
      </xdr:sp>
      <xdr:sp macro="" textlink="">
        <xdr:nvSpPr>
          <xdr:cNvPr id="13" name="clientPressed"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SpPr/>
        </xdr:nvSpPr>
        <xdr:spPr>
          <a:xfrm>
            <a:off x="2399553" y="73025"/>
            <a:ext cx="1704657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200" b="1"/>
          </a:p>
        </xdr:txBody>
      </xdr:sp>
      <xdr:sp macro="[0]!showProdTab" textlink="">
        <xdr:nvSpPr>
          <xdr:cNvPr id="21" name="product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SpPr/>
        </xdr:nvSpPr>
        <xdr:spPr>
          <a:xfrm>
            <a:off x="4118485" y="73025"/>
            <a:ext cx="1704657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" textlink="">
        <xdr:nvSpPr>
          <xdr:cNvPr id="22" name="productPressed" hidden="1">
            <a:extLst>
              <a:ext uri="{FF2B5EF4-FFF2-40B4-BE49-F238E27FC236}">
                <a16:creationId xmlns:a16="http://schemas.microsoft.com/office/drawing/2014/main" id="{00000000-0008-0000-0F00-000016000000}"/>
              </a:ext>
            </a:extLst>
          </xdr:cNvPr>
          <xdr:cNvSpPr/>
        </xdr:nvSpPr>
        <xdr:spPr>
          <a:xfrm>
            <a:off x="4128311" y="73025"/>
            <a:ext cx="1704657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[0]!showWarehouseTab" textlink="">
        <xdr:nvSpPr>
          <xdr:cNvPr id="30" name="warehouse">
            <a:extLst>
              <a:ext uri="{FF2B5EF4-FFF2-40B4-BE49-F238E27FC236}">
                <a16:creationId xmlns:a16="http://schemas.microsoft.com/office/drawing/2014/main" id="{00000000-0008-0000-0F00-00001E000000}"/>
              </a:ext>
            </a:extLst>
          </xdr:cNvPr>
          <xdr:cNvSpPr/>
        </xdr:nvSpPr>
        <xdr:spPr>
          <a:xfrm>
            <a:off x="5853609" y="73025"/>
            <a:ext cx="1704657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WAREHOUSE</a:t>
            </a:r>
            <a:endParaRPr lang="it-IT" sz="1400" b="1"/>
          </a:p>
        </xdr:txBody>
      </xdr:sp>
      <xdr:sp macro="[0]!showAdminTab" textlink="">
        <xdr:nvSpPr>
          <xdr:cNvPr id="90" name="admin">
            <a:extLst>
              <a:ext uri="{FF2B5EF4-FFF2-40B4-BE49-F238E27FC236}">
                <a16:creationId xmlns:a16="http://schemas.microsoft.com/office/drawing/2014/main" id="{00000000-0008-0000-0F00-00005A000000}"/>
              </a:ext>
            </a:extLst>
          </xdr:cNvPr>
          <xdr:cNvSpPr/>
        </xdr:nvSpPr>
        <xdr:spPr>
          <a:xfrm>
            <a:off x="9341554" y="73025"/>
            <a:ext cx="1704659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ADMINISTRATION</a:t>
            </a:r>
          </a:p>
        </xdr:txBody>
      </xdr:sp>
      <xdr:sp macro="" textlink="">
        <xdr:nvSpPr>
          <xdr:cNvPr id="82" name="adminPressed" hidden="1">
            <a:extLst>
              <a:ext uri="{FF2B5EF4-FFF2-40B4-BE49-F238E27FC236}">
                <a16:creationId xmlns:a16="http://schemas.microsoft.com/office/drawing/2014/main" id="{00000000-0008-0000-0F00-000052000000}"/>
              </a:ext>
            </a:extLst>
          </xdr:cNvPr>
          <xdr:cNvSpPr/>
        </xdr:nvSpPr>
        <xdr:spPr>
          <a:xfrm>
            <a:off x="9351296" y="73025"/>
            <a:ext cx="1704659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ADMINISTRATION</a:t>
            </a:r>
          </a:p>
        </xdr:txBody>
      </xdr:sp>
      <xdr:sp macro="" textlink="">
        <xdr:nvSpPr>
          <xdr:cNvPr id="83" name="warehousePressed" hidden="1">
            <a:extLst>
              <a:ext uri="{FF2B5EF4-FFF2-40B4-BE49-F238E27FC236}">
                <a16:creationId xmlns:a16="http://schemas.microsoft.com/office/drawing/2014/main" id="{00000000-0008-0000-0F00-000053000000}"/>
              </a:ext>
            </a:extLst>
          </xdr:cNvPr>
          <xdr:cNvSpPr/>
        </xdr:nvSpPr>
        <xdr:spPr>
          <a:xfrm>
            <a:off x="5863432" y="73025"/>
            <a:ext cx="1704657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WAREHOSE</a:t>
            </a:r>
          </a:p>
        </xdr:txBody>
      </xdr:sp>
      <xdr:sp macro="[0]!showReportingTab" textlink="">
        <xdr:nvSpPr>
          <xdr:cNvPr id="92" name="reporting">
            <a:extLst>
              <a:ext uri="{FF2B5EF4-FFF2-40B4-BE49-F238E27FC236}">
                <a16:creationId xmlns:a16="http://schemas.microsoft.com/office/drawing/2014/main" id="{00000000-0008-0000-0F00-00005C000000}"/>
              </a:ext>
            </a:extLst>
          </xdr:cNvPr>
          <xdr:cNvSpPr/>
        </xdr:nvSpPr>
        <xdr:spPr>
          <a:xfrm>
            <a:off x="7597589" y="73025"/>
            <a:ext cx="1704658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REPORTING</a:t>
            </a:r>
          </a:p>
        </xdr:txBody>
      </xdr:sp>
      <xdr:sp macro="" textlink="">
        <xdr:nvSpPr>
          <xdr:cNvPr id="98" name="reportingPressed" hidden="1">
            <a:extLst>
              <a:ext uri="{FF2B5EF4-FFF2-40B4-BE49-F238E27FC236}">
                <a16:creationId xmlns:a16="http://schemas.microsoft.com/office/drawing/2014/main" id="{00000000-0008-0000-0F00-000062000000}"/>
              </a:ext>
            </a:extLst>
          </xdr:cNvPr>
          <xdr:cNvSpPr/>
        </xdr:nvSpPr>
        <xdr:spPr>
          <a:xfrm>
            <a:off x="7607331" y="73025"/>
            <a:ext cx="1704658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REPORTING</a:t>
            </a:r>
          </a:p>
        </xdr:txBody>
      </xdr:sp>
    </xdr:grpSp>
    <xdr:clientData/>
  </xdr:twoCellAnchor>
  <xdr:twoCellAnchor>
    <xdr:from>
      <xdr:col>3</xdr:col>
      <xdr:colOff>19050</xdr:colOff>
      <xdr:row>31</xdr:row>
      <xdr:rowOff>146053</xdr:rowOff>
    </xdr:from>
    <xdr:to>
      <xdr:col>3</xdr:col>
      <xdr:colOff>1567050</xdr:colOff>
      <xdr:row>35</xdr:row>
      <xdr:rowOff>104053</xdr:rowOff>
    </xdr:to>
    <xdr:sp macro="[0]!editUsrFormLauncher" textlink="">
      <xdr:nvSpPr>
        <xdr:cNvPr id="4" name="editClient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260350" y="5645153"/>
          <a:ext cx="1548000" cy="720000"/>
        </a:xfrm>
        <a:prstGeom prst="roundRect">
          <a:avLst/>
        </a:prstGeom>
        <a:solidFill>
          <a:srgbClr val="0070C0"/>
        </a:solidFill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EDIT</a:t>
          </a:r>
          <a:r>
            <a:rPr lang="it-IT" sz="1600" b="1" baseline="0">
              <a:solidFill>
                <a:schemeClr val="bg1"/>
              </a:solidFill>
              <a:latin typeface="+mn-lt"/>
            </a:rPr>
            <a:t> ORDER'S</a:t>
          </a:r>
        </a:p>
        <a:p>
          <a:pPr algn="ctr"/>
          <a:r>
            <a:rPr lang="it-IT" sz="1600" b="1" baseline="0">
              <a:solidFill>
                <a:schemeClr val="bg1"/>
              </a:solidFill>
              <a:latin typeface="+mn-lt"/>
            </a:rPr>
            <a:t>DETAILS</a:t>
          </a:r>
          <a:endParaRPr lang="it-IT" sz="16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16</xdr:col>
      <xdr:colOff>120651</xdr:colOff>
      <xdr:row>0</xdr:row>
      <xdr:rowOff>93134</xdr:rowOff>
    </xdr:from>
    <xdr:to>
      <xdr:col>17</xdr:col>
      <xdr:colOff>892926</xdr:colOff>
      <xdr:row>5</xdr:row>
      <xdr:rowOff>0</xdr:rowOff>
    </xdr:to>
    <xdr:sp macro="[0]!noFilter" textlink="">
      <xdr:nvSpPr>
        <xdr:cNvPr id="66" name="clearFiltersBtn">
          <a:extLst>
            <a:ext uri="{FF2B5EF4-FFF2-40B4-BE49-F238E27FC236}">
              <a16:creationId xmlns:a16="http://schemas.microsoft.com/office/drawing/2014/main" id="{00000000-0008-0000-0F00-000042000000}"/>
            </a:ext>
          </a:extLst>
        </xdr:cNvPr>
        <xdr:cNvSpPr/>
      </xdr:nvSpPr>
      <xdr:spPr>
        <a:xfrm>
          <a:off x="10721976" y="93134"/>
          <a:ext cx="1620000" cy="449791"/>
        </a:xfrm>
        <a:prstGeom prst="roundRect">
          <a:avLst/>
        </a:prstGeom>
        <a:solidFill>
          <a:srgbClr val="C00000"/>
        </a:solidFill>
        <a:ln w="19050"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>
              <a:solidFill>
                <a:schemeClr val="bg1"/>
              </a:solidFill>
            </a:rPr>
            <a:t>CLEAR  FILTERS</a:t>
          </a:r>
        </a:p>
      </xdr:txBody>
    </xdr:sp>
    <xdr:clientData/>
  </xdr:twoCellAnchor>
  <xdr:twoCellAnchor>
    <xdr:from>
      <xdr:col>42</xdr:col>
      <xdr:colOff>200106</xdr:colOff>
      <xdr:row>4</xdr:row>
      <xdr:rowOff>69465</xdr:rowOff>
    </xdr:from>
    <xdr:to>
      <xdr:col>52</xdr:col>
      <xdr:colOff>317500</xdr:colOff>
      <xdr:row>6</xdr:row>
      <xdr:rowOff>107715</xdr:rowOff>
    </xdr:to>
    <xdr:grpSp>
      <xdr:nvGrpSpPr>
        <xdr:cNvPr id="93" name="order_control_panel" hidden="1">
          <a:extLst>
            <a:ext uri="{FF2B5EF4-FFF2-40B4-BE49-F238E27FC236}">
              <a16:creationId xmlns:a16="http://schemas.microsoft.com/office/drawing/2014/main" id="{00000000-0008-0000-0F00-00005D000000}"/>
            </a:ext>
          </a:extLst>
        </xdr:cNvPr>
        <xdr:cNvGrpSpPr/>
      </xdr:nvGrpSpPr>
      <xdr:grpSpPr>
        <a:xfrm>
          <a:off x="29702206" y="545715"/>
          <a:ext cx="8004094" cy="298600"/>
          <a:chOff x="2467056" y="847340"/>
          <a:chExt cx="7896144" cy="317652"/>
        </a:xfrm>
      </xdr:grpSpPr>
      <xdr:sp macro="[0]!neworderUsrFormLauncher" textlink="">
        <xdr:nvSpPr>
          <xdr:cNvPr id="18" name="new" hidden="1">
            <a:extLst>
              <a:ext uri="{FF2B5EF4-FFF2-40B4-BE49-F238E27FC236}">
                <a16:creationId xmlns:a16="http://schemas.microsoft.com/office/drawing/2014/main" id="{00000000-0008-0000-0F00-000012000000}"/>
              </a:ext>
            </a:extLst>
          </xdr:cNvPr>
          <xdr:cNvSpPr/>
        </xdr:nvSpPr>
        <xdr:spPr>
          <a:xfrm>
            <a:off x="2467056" y="847340"/>
            <a:ext cx="1507904" cy="317652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saveOrder" textlink="">
        <xdr:nvSpPr>
          <xdr:cNvPr id="19" name="save" hidden="1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SpPr/>
        </xdr:nvSpPr>
        <xdr:spPr>
          <a:xfrm>
            <a:off x="4042625" y="847340"/>
            <a:ext cx="1507904" cy="317652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ORDER</a:t>
            </a:r>
          </a:p>
        </xdr:txBody>
      </xdr:sp>
      <xdr:sp macro="[0]!delOrder" textlink="">
        <xdr:nvSpPr>
          <xdr:cNvPr id="20" name="delete" hidden="1">
            <a:extLst>
              <a:ext uri="{FF2B5EF4-FFF2-40B4-BE49-F238E27FC236}">
                <a16:creationId xmlns:a16="http://schemas.microsoft.com/office/drawing/2014/main" id="{00000000-0008-0000-0F00-000014000000}"/>
              </a:ext>
            </a:extLst>
          </xdr:cNvPr>
          <xdr:cNvSpPr/>
        </xdr:nvSpPr>
        <xdr:spPr>
          <a:xfrm>
            <a:off x="5618194" y="847340"/>
            <a:ext cx="1507904" cy="317652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[0]!convertToEur" textlink="">
        <xdr:nvSpPr>
          <xdr:cNvPr id="89" name="convertEur" hidden="1">
            <a:extLst>
              <a:ext uri="{FF2B5EF4-FFF2-40B4-BE49-F238E27FC236}">
                <a16:creationId xmlns:a16="http://schemas.microsoft.com/office/drawing/2014/main" id="{00000000-0008-0000-0F00-000059000000}"/>
              </a:ext>
            </a:extLst>
          </xdr:cNvPr>
          <xdr:cNvSpPr/>
        </xdr:nvSpPr>
        <xdr:spPr>
          <a:xfrm>
            <a:off x="7193763" y="847340"/>
            <a:ext cx="1507922" cy="317652"/>
          </a:xfrm>
          <a:prstGeom prst="roundRect">
            <a:avLst/>
          </a:prstGeom>
          <a:solidFill>
            <a:srgbClr val="0070C0"/>
          </a:solidFill>
          <a:ln w="38100">
            <a:solidFill>
              <a:schemeClr val="accent5">
                <a:lumMod val="50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baseline="0">
                <a:solidFill>
                  <a:schemeClr val="bg1"/>
                </a:solidFill>
              </a:rPr>
              <a:t>CONVERT TO EUR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[0]!printUsrFormLauncherOrderTab" textlink="">
        <xdr:nvSpPr>
          <xdr:cNvPr id="84" name="printBtn" hidden="1">
            <a:extLst>
              <a:ext uri="{FF2B5EF4-FFF2-40B4-BE49-F238E27FC236}">
                <a16:creationId xmlns:a16="http://schemas.microsoft.com/office/drawing/2014/main" id="{00000000-0008-0000-0F00-000054000000}"/>
              </a:ext>
            </a:extLst>
          </xdr:cNvPr>
          <xdr:cNvSpPr/>
        </xdr:nvSpPr>
        <xdr:spPr>
          <a:xfrm>
            <a:off x="8769351" y="847340"/>
            <a:ext cx="1593849" cy="306868"/>
          </a:xfrm>
          <a:prstGeom prst="roundRect">
            <a:avLst/>
          </a:prstGeom>
          <a:solidFill>
            <a:schemeClr val="bg2">
              <a:lumMod val="50000"/>
            </a:schemeClr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ORDER'S DOCS</a:t>
            </a:r>
          </a:p>
        </xdr:txBody>
      </xdr:sp>
    </xdr:grpSp>
    <xdr:clientData/>
  </xdr:twoCellAnchor>
  <xdr:twoCellAnchor>
    <xdr:from>
      <xdr:col>681</xdr:col>
      <xdr:colOff>38100</xdr:colOff>
      <xdr:row>9</xdr:row>
      <xdr:rowOff>180975</xdr:rowOff>
    </xdr:from>
    <xdr:to>
      <xdr:col>684</xdr:col>
      <xdr:colOff>9525</xdr:colOff>
      <xdr:row>12</xdr:row>
      <xdr:rowOff>104775</xdr:rowOff>
    </xdr:to>
    <xdr:sp macro="[0]!ToggleAutoSync" textlink="">
      <xdr:nvSpPr>
        <xdr:cNvPr id="115" name="autoSyncOff" hidden="1">
          <a:extLst>
            <a:ext uri="{FF2B5EF4-FFF2-40B4-BE49-F238E27FC236}">
              <a16:creationId xmlns:a16="http://schemas.microsoft.com/office/drawing/2014/main" id="{00000000-0008-0000-0F00-000073000000}"/>
            </a:ext>
          </a:extLst>
        </xdr:cNvPr>
        <xdr:cNvSpPr/>
      </xdr:nvSpPr>
      <xdr:spPr>
        <a:xfrm>
          <a:off x="2471153" y="1848686"/>
          <a:ext cx="1796214" cy="475247"/>
        </a:xfrm>
        <a:prstGeom prst="roundRect">
          <a:avLst/>
        </a:prstGeom>
        <a:ln w="285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STOP</a:t>
          </a:r>
          <a:r>
            <a:rPr lang="it-IT" sz="1400" b="1" baseline="0"/>
            <a:t> AUTO-SYNC</a:t>
          </a:r>
          <a:endParaRPr lang="it-IT" sz="1400" b="1"/>
        </a:p>
      </xdr:txBody>
    </xdr:sp>
    <xdr:clientData/>
  </xdr:twoCellAnchor>
  <xdr:twoCellAnchor>
    <xdr:from>
      <xdr:col>16</xdr:col>
      <xdr:colOff>137683</xdr:colOff>
      <xdr:row>0</xdr:row>
      <xdr:rowOff>98775</xdr:rowOff>
    </xdr:from>
    <xdr:to>
      <xdr:col>21</xdr:col>
      <xdr:colOff>438899</xdr:colOff>
      <xdr:row>7</xdr:row>
      <xdr:rowOff>85722</xdr:rowOff>
    </xdr:to>
    <xdr:grpSp>
      <xdr:nvGrpSpPr>
        <xdr:cNvPr id="100" name="filtri_rapidi">
          <a:extLst>
            <a:ext uri="{FF2B5EF4-FFF2-40B4-BE49-F238E27FC236}">
              <a16:creationId xmlns:a16="http://schemas.microsoft.com/office/drawing/2014/main" id="{00000000-0008-0000-0F00-000064000000}"/>
            </a:ext>
          </a:extLst>
        </xdr:cNvPr>
        <xdr:cNvGrpSpPr/>
      </xdr:nvGrpSpPr>
      <xdr:grpSpPr>
        <a:xfrm>
          <a:off x="11142233" y="98775"/>
          <a:ext cx="5152616" cy="914047"/>
          <a:chOff x="13176060" y="149726"/>
          <a:chExt cx="5093640" cy="1020875"/>
        </a:xfrm>
      </xdr:grpSpPr>
      <xdr:sp macro="[0]!filtro1" textlink="">
        <xdr:nvSpPr>
          <xdr:cNvPr id="81" name="onlyOut_invoiced">
            <a:extLst>
              <a:ext uri="{FF2B5EF4-FFF2-40B4-BE49-F238E27FC236}">
                <a16:creationId xmlns:a16="http://schemas.microsoft.com/office/drawing/2014/main" id="{00000000-0008-0000-0F00-000051000000}"/>
              </a:ext>
            </a:extLst>
          </xdr:cNvPr>
          <xdr:cNvSpPr/>
        </xdr:nvSpPr>
        <xdr:spPr>
          <a:xfrm>
            <a:off x="14948160" y="149726"/>
            <a:ext cx="1619188" cy="209551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FATTURATO IN USCITA</a:t>
            </a:r>
          </a:p>
        </xdr:txBody>
      </xdr:sp>
      <xdr:sp macro="[0]!filtro4" textlink="">
        <xdr:nvSpPr>
          <xdr:cNvPr id="86" name="onlyOut_inPreparation">
            <a:extLst>
              <a:ext uri="{FF2B5EF4-FFF2-40B4-BE49-F238E27FC236}">
                <a16:creationId xmlns:a16="http://schemas.microsoft.com/office/drawing/2014/main" id="{00000000-0008-0000-0F00-000056000000}"/>
              </a:ext>
            </a:extLst>
          </xdr:cNvPr>
          <xdr:cNvSpPr/>
        </xdr:nvSpPr>
        <xdr:spPr>
          <a:xfrm>
            <a:off x="14948160" y="416620"/>
            <a:ext cx="1620000" cy="209551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IN PREPARATION</a:t>
            </a:r>
            <a:r>
              <a:rPr lang="it-IT" sz="800" b="1" baseline="0">
                <a:solidFill>
                  <a:sysClr val="windowText" lastClr="000000"/>
                </a:solidFill>
              </a:rPr>
              <a:t> SALES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5" textlink="">
        <xdr:nvSpPr>
          <xdr:cNvPr id="91" name="onlyOut_standBy">
            <a:extLst>
              <a:ext uri="{FF2B5EF4-FFF2-40B4-BE49-F238E27FC236}">
                <a16:creationId xmlns:a16="http://schemas.microsoft.com/office/drawing/2014/main" id="{00000000-0008-0000-0F00-00005B000000}"/>
              </a:ext>
            </a:extLst>
          </xdr:cNvPr>
          <xdr:cNvSpPr/>
        </xdr:nvSpPr>
        <xdr:spPr>
          <a:xfrm>
            <a:off x="14948160" y="683513"/>
            <a:ext cx="1620000" cy="209551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IN STAND BY</a:t>
            </a:r>
            <a:r>
              <a:rPr lang="it-IT" sz="800" b="1" baseline="0">
                <a:solidFill>
                  <a:sysClr val="windowText" lastClr="000000"/>
                </a:solidFill>
              </a:rPr>
              <a:t> </a:t>
            </a:r>
            <a:r>
              <a:rPr lang="it-IT" sz="800" b="1">
                <a:solidFill>
                  <a:sysClr val="windowText" lastClr="000000"/>
                </a:solidFill>
              </a:rPr>
              <a:t>SALES</a:t>
            </a:r>
          </a:p>
        </xdr:txBody>
      </xdr:sp>
      <xdr:sp macro="[0]!filtro3" textlink="">
        <xdr:nvSpPr>
          <xdr:cNvPr id="101" name="onlySampling">
            <a:extLst>
              <a:ext uri="{FF2B5EF4-FFF2-40B4-BE49-F238E27FC236}">
                <a16:creationId xmlns:a16="http://schemas.microsoft.com/office/drawing/2014/main" id="{00000000-0008-0000-0F00-000065000000}"/>
              </a:ext>
            </a:extLst>
          </xdr:cNvPr>
          <xdr:cNvSpPr/>
        </xdr:nvSpPr>
        <xdr:spPr>
          <a:xfrm>
            <a:off x="13176060" y="700471"/>
            <a:ext cx="1620000" cy="209550"/>
          </a:xfrm>
          <a:prstGeom prst="roundRect">
            <a:avLst/>
          </a:prstGeom>
          <a:solidFill>
            <a:srgbClr val="92D050"/>
          </a:solidFill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SAMPLING</a:t>
            </a:r>
          </a:p>
        </xdr:txBody>
      </xdr:sp>
      <xdr:sp macro="[0]!noYearFiler" textlink="">
        <xdr:nvSpPr>
          <xdr:cNvPr id="110" name="noYearFilter">
            <a:extLst>
              <a:ext uri="{FF2B5EF4-FFF2-40B4-BE49-F238E27FC236}">
                <a16:creationId xmlns:a16="http://schemas.microsoft.com/office/drawing/2014/main" id="{00000000-0008-0000-0F00-00006E000000}"/>
              </a:ext>
            </a:extLst>
          </xdr:cNvPr>
          <xdr:cNvSpPr/>
        </xdr:nvSpPr>
        <xdr:spPr>
          <a:xfrm>
            <a:off x="16646079" y="961051"/>
            <a:ext cx="586913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NO YEAR</a:t>
            </a:r>
          </a:p>
        </xdr:txBody>
      </xdr:sp>
      <xdr:sp macro="[0]!filtroAnnoPrecedente" textlink="$U$7">
        <xdr:nvSpPr>
          <xdr:cNvPr id="111" name="annoprec">
            <a:extLst>
              <a:ext uri="{FF2B5EF4-FFF2-40B4-BE49-F238E27FC236}">
                <a16:creationId xmlns:a16="http://schemas.microsoft.com/office/drawing/2014/main" id="{00000000-0008-0000-0F00-00006F000000}"/>
              </a:ext>
            </a:extLst>
          </xdr:cNvPr>
          <xdr:cNvSpPr/>
        </xdr:nvSpPr>
        <xdr:spPr>
          <a:xfrm>
            <a:off x="17311682" y="961051"/>
            <a:ext cx="448816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fld id="{EDC0F9B5-F88F-43E7-B204-AD5F7756D9A8}" type="TxLink">
              <a:rPr lang="en-US" sz="8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2023</a:t>
            </a:fld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AnnoInCorso" textlink="$T$7">
        <xdr:nvSpPr>
          <xdr:cNvPr id="112" name="annoCorr">
            <a:extLst>
              <a:ext uri="{FF2B5EF4-FFF2-40B4-BE49-F238E27FC236}">
                <a16:creationId xmlns:a16="http://schemas.microsoft.com/office/drawing/2014/main" id="{00000000-0008-0000-0F00-000070000000}"/>
              </a:ext>
            </a:extLst>
          </xdr:cNvPr>
          <xdr:cNvSpPr/>
        </xdr:nvSpPr>
        <xdr:spPr>
          <a:xfrm>
            <a:off x="17815781" y="961051"/>
            <a:ext cx="448816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fld id="{350B91DB-165E-4D59-8702-4C8B978FBD98}" type="TxLink">
              <a:rPr lang="en-US" sz="8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2024</a:t>
            </a:fld>
            <a:endParaRPr lang="it-IT" sz="400" b="1">
              <a:solidFill>
                <a:sysClr val="windowText" lastClr="000000"/>
              </a:solidFill>
            </a:endParaRPr>
          </a:p>
        </xdr:txBody>
      </xdr:sp>
      <xdr:sp macro="[0]!filtro6" textlink="">
        <xdr:nvSpPr>
          <xdr:cNvPr id="106" name="onlyIn_toLoad">
            <a:extLst>
              <a:ext uri="{FF2B5EF4-FFF2-40B4-BE49-F238E27FC236}">
                <a16:creationId xmlns:a16="http://schemas.microsoft.com/office/drawing/2014/main" id="{00000000-0008-0000-0F00-00006A000000}"/>
              </a:ext>
            </a:extLst>
          </xdr:cNvPr>
          <xdr:cNvSpPr/>
        </xdr:nvSpPr>
        <xdr:spPr>
          <a:xfrm>
            <a:off x="16649700" y="683515"/>
            <a:ext cx="1620000" cy="209549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TO</a:t>
            </a:r>
            <a:r>
              <a:rPr lang="it-IT" sz="800" b="1" baseline="0">
                <a:solidFill>
                  <a:sysClr val="windowText" lastClr="000000"/>
                </a:solidFill>
              </a:rPr>
              <a:t> LOAD SUPPLIES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7" textlink="">
        <xdr:nvSpPr>
          <xdr:cNvPr id="109" name="onlyIn_inTransit">
            <a:extLst>
              <a:ext uri="{FF2B5EF4-FFF2-40B4-BE49-F238E27FC236}">
                <a16:creationId xmlns:a16="http://schemas.microsoft.com/office/drawing/2014/main" id="{00000000-0008-0000-0F00-00006D000000}"/>
              </a:ext>
            </a:extLst>
          </xdr:cNvPr>
          <xdr:cNvSpPr/>
        </xdr:nvSpPr>
        <xdr:spPr>
          <a:xfrm>
            <a:off x="16649700" y="416649"/>
            <a:ext cx="1620000" cy="209549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IN TRANSIT</a:t>
            </a:r>
            <a:r>
              <a:rPr lang="it-IT" sz="800" b="1" baseline="0">
                <a:solidFill>
                  <a:sysClr val="windowText" lastClr="000000"/>
                </a:solidFill>
              </a:rPr>
              <a:t> SUPPLIES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8" textlink="">
        <xdr:nvSpPr>
          <xdr:cNvPr id="113" name="onlyIn_delivered">
            <a:extLst>
              <a:ext uri="{FF2B5EF4-FFF2-40B4-BE49-F238E27FC236}">
                <a16:creationId xmlns:a16="http://schemas.microsoft.com/office/drawing/2014/main" id="{00000000-0008-0000-0F00-000071000000}"/>
              </a:ext>
            </a:extLst>
          </xdr:cNvPr>
          <xdr:cNvSpPr/>
        </xdr:nvSpPr>
        <xdr:spPr>
          <a:xfrm>
            <a:off x="16649700" y="149726"/>
            <a:ext cx="1620000" cy="209549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DELIVERED </a:t>
            </a:r>
            <a:r>
              <a:rPr lang="it-IT" sz="800" b="1" baseline="0">
                <a:solidFill>
                  <a:sysClr val="windowText" lastClr="000000"/>
                </a:solidFill>
              </a:rPr>
              <a:t>SUPPLIES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9" textlink="">
        <xdr:nvSpPr>
          <xdr:cNvPr id="7" name="onlyProduction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SpPr/>
        </xdr:nvSpPr>
        <xdr:spPr>
          <a:xfrm>
            <a:off x="13176060" y="960876"/>
            <a:ext cx="1620000" cy="209550"/>
          </a:xfrm>
          <a:prstGeom prst="roundRect">
            <a:avLst/>
          </a:prstGeom>
          <a:solidFill>
            <a:schemeClr val="accent5"/>
          </a:solidFill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chemeClr val="bg1"/>
                </a:solidFill>
              </a:rPr>
              <a:t>PRODUCTION</a:t>
            </a:r>
          </a:p>
        </xdr:txBody>
      </xdr:sp>
      <xdr:sp macro="[0]!filtro10" textlink="">
        <xdr:nvSpPr>
          <xdr:cNvPr id="9" name="allReady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SpPr/>
        </xdr:nvSpPr>
        <xdr:spPr>
          <a:xfrm>
            <a:off x="14948160" y="950406"/>
            <a:ext cx="1620000" cy="209551"/>
          </a:xfrm>
          <a:prstGeom prst="roundRect">
            <a:avLst/>
          </a:prstGeom>
          <a:solidFill>
            <a:srgbClr val="C00000"/>
          </a:solidFill>
          <a:ln w="19050">
            <a:solidFill>
              <a:srgbClr val="000000"/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050" b="1">
                <a:solidFill>
                  <a:schemeClr val="bg1"/>
                </a:solidFill>
              </a:rPr>
              <a:t>ALL READY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6</xdr:col>
      <xdr:colOff>50581</xdr:colOff>
      <xdr:row>6</xdr:row>
      <xdr:rowOff>59304</xdr:rowOff>
    </xdr:to>
    <xdr:pic macro="[0]!reloadHome">
      <xdr:nvPicPr>
        <xdr:cNvPr id="103" name="logoCoppoListone" descr="Immagine che contiene testo, Carattere, Elementi grafici, logo&#10;&#10;Descrizione generata automaticamente">
          <a:extLst>
            <a:ext uri="{FF2B5EF4-FFF2-40B4-BE49-F238E27FC236}">
              <a16:creationId xmlns:a16="http://schemas.microsoft.com/office/drawing/2014/main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81225" cy="799079"/>
        </a:xfrm>
        <a:prstGeom prst="rect">
          <a:avLst/>
        </a:prstGeom>
      </xdr:spPr>
    </xdr:pic>
    <xdr:clientData/>
  </xdr:twoCellAnchor>
  <xdr:twoCellAnchor>
    <xdr:from>
      <xdr:col>132</xdr:col>
      <xdr:colOff>38100</xdr:colOff>
      <xdr:row>13</xdr:row>
      <xdr:rowOff>120650</xdr:rowOff>
    </xdr:from>
    <xdr:to>
      <xdr:col>132</xdr:col>
      <xdr:colOff>1765300</xdr:colOff>
      <xdr:row>14</xdr:row>
      <xdr:rowOff>152400</xdr:rowOff>
    </xdr:to>
    <xdr:sp macro="[0]!noFilterWarehouse" textlink="">
      <xdr:nvSpPr>
        <xdr:cNvPr id="3" name="Rettangolo con angoli arrotondati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28600" y="2235200"/>
          <a:ext cx="1727200" cy="222250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 b="1"/>
            <a:t>CLEAR FILTER</a:t>
          </a:r>
        </a:p>
      </xdr:txBody>
    </xdr:sp>
    <xdr:clientData/>
  </xdr:twoCellAnchor>
  <xdr:twoCellAnchor>
    <xdr:from>
      <xdr:col>3</xdr:col>
      <xdr:colOff>19049</xdr:colOff>
      <xdr:row>35</xdr:row>
      <xdr:rowOff>165100</xdr:rowOff>
    </xdr:from>
    <xdr:to>
      <xdr:col>3</xdr:col>
      <xdr:colOff>1567049</xdr:colOff>
      <xdr:row>40</xdr:row>
      <xdr:rowOff>165100</xdr:rowOff>
    </xdr:to>
    <xdr:sp macro="[0]!printUsrFormLauncher" textlink="">
      <xdr:nvSpPr>
        <xdr:cNvPr id="94" name="deleteOrder">
          <a:extLst>
            <a:ext uri="{FF2B5EF4-FFF2-40B4-BE49-F238E27FC236}">
              <a16:creationId xmlns:a16="http://schemas.microsoft.com/office/drawing/2014/main" id="{00000000-0008-0000-0F00-00005E000000}"/>
            </a:ext>
          </a:extLst>
        </xdr:cNvPr>
        <xdr:cNvSpPr/>
      </xdr:nvSpPr>
      <xdr:spPr>
        <a:xfrm>
          <a:off x="260349" y="6426200"/>
          <a:ext cx="1548000" cy="952500"/>
        </a:xfrm>
        <a:prstGeom prst="roundRect">
          <a:avLst/>
        </a:prstGeom>
        <a:solidFill>
          <a:schemeClr val="bg2">
            <a:lumMod val="25000"/>
          </a:schemeClr>
        </a:solidFill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PRINT ORDER'S DOCS</a:t>
          </a:r>
        </a:p>
      </xdr:txBody>
    </xdr:sp>
    <xdr:clientData/>
  </xdr:twoCellAnchor>
  <xdr:twoCellAnchor>
    <xdr:from>
      <xdr:col>75</xdr:col>
      <xdr:colOff>0</xdr:colOff>
      <xdr:row>28</xdr:row>
      <xdr:rowOff>31750</xdr:rowOff>
    </xdr:from>
    <xdr:to>
      <xdr:col>75</xdr:col>
      <xdr:colOff>1761791</xdr:colOff>
      <xdr:row>31</xdr:row>
      <xdr:rowOff>139701</xdr:rowOff>
    </xdr:to>
    <xdr:sp macro="[0]!editUsrFormLauncher" textlink="">
      <xdr:nvSpPr>
        <xdr:cNvPr id="96" name="editClient">
          <a:extLst>
            <a:ext uri="{FF2B5EF4-FFF2-40B4-BE49-F238E27FC236}">
              <a16:creationId xmlns:a16="http://schemas.microsoft.com/office/drawing/2014/main" id="{00000000-0008-0000-0F00-000060000000}"/>
            </a:ext>
          </a:extLst>
        </xdr:cNvPr>
        <xdr:cNvSpPr/>
      </xdr:nvSpPr>
      <xdr:spPr>
        <a:xfrm>
          <a:off x="177800" y="5003800"/>
          <a:ext cx="1761791" cy="679451"/>
        </a:xfrm>
        <a:prstGeom prst="roundRect">
          <a:avLst/>
        </a:prstGeom>
        <a:solidFill>
          <a:srgbClr val="0070C0"/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EDIT</a:t>
          </a:r>
          <a:r>
            <a:rPr lang="it-IT" sz="1600" b="1" baseline="0">
              <a:solidFill>
                <a:schemeClr val="bg1"/>
              </a:solidFill>
              <a:latin typeface="+mn-lt"/>
            </a:rPr>
            <a:t> ORDER'S</a:t>
          </a:r>
        </a:p>
        <a:p>
          <a:pPr algn="ctr"/>
          <a:r>
            <a:rPr lang="it-IT" sz="1600" b="1" baseline="0">
              <a:solidFill>
                <a:schemeClr val="bg1"/>
              </a:solidFill>
              <a:latin typeface="+mn-lt"/>
            </a:rPr>
            <a:t>DETAILS</a:t>
          </a:r>
          <a:endParaRPr lang="it-IT" sz="16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75</xdr:col>
      <xdr:colOff>1391</xdr:colOff>
      <xdr:row>32</xdr:row>
      <xdr:rowOff>12696</xdr:rowOff>
    </xdr:from>
    <xdr:to>
      <xdr:col>75</xdr:col>
      <xdr:colOff>1761791</xdr:colOff>
      <xdr:row>35</xdr:row>
      <xdr:rowOff>121596</xdr:rowOff>
    </xdr:to>
    <xdr:sp macro="[0]!printUsrFormLauncher" textlink="">
      <xdr:nvSpPr>
        <xdr:cNvPr id="97" name="deleteOrder">
          <a:extLst>
            <a:ext uri="{FF2B5EF4-FFF2-40B4-BE49-F238E27FC236}">
              <a16:creationId xmlns:a16="http://schemas.microsoft.com/office/drawing/2014/main" id="{00000000-0008-0000-0F00-000061000000}"/>
            </a:ext>
          </a:extLst>
        </xdr:cNvPr>
        <xdr:cNvSpPr/>
      </xdr:nvSpPr>
      <xdr:spPr>
        <a:xfrm>
          <a:off x="179191" y="5746746"/>
          <a:ext cx="1760400" cy="680400"/>
        </a:xfrm>
        <a:prstGeom prst="round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PRINT ORDER'S DOCS</a:t>
          </a:r>
        </a:p>
      </xdr:txBody>
    </xdr:sp>
    <xdr:clientData/>
  </xdr:twoCellAnchor>
  <xdr:twoCellAnchor>
    <xdr:from>
      <xdr:col>3</xdr:col>
      <xdr:colOff>19050</xdr:colOff>
      <xdr:row>27</xdr:row>
      <xdr:rowOff>133353</xdr:rowOff>
    </xdr:from>
    <xdr:to>
      <xdr:col>3</xdr:col>
      <xdr:colOff>1567050</xdr:colOff>
      <xdr:row>31</xdr:row>
      <xdr:rowOff>91353</xdr:rowOff>
    </xdr:to>
    <xdr:sp macro="[0]!editCustomerUsrFormLauncher" textlink="">
      <xdr:nvSpPr>
        <xdr:cNvPr id="72" name="editClient">
          <a:extLst>
            <a:ext uri="{FF2B5EF4-FFF2-40B4-BE49-F238E27FC236}">
              <a16:creationId xmlns:a16="http://schemas.microsoft.com/office/drawing/2014/main" id="{00000000-0008-0000-0F00-000048000000}"/>
            </a:ext>
          </a:extLst>
        </xdr:cNvPr>
        <xdr:cNvSpPr/>
      </xdr:nvSpPr>
      <xdr:spPr>
        <a:xfrm>
          <a:off x="260350" y="4870453"/>
          <a:ext cx="1548000" cy="720000"/>
        </a:xfrm>
        <a:prstGeom prst="roundRect">
          <a:avLst/>
        </a:prstGeom>
        <a:solidFill>
          <a:srgbClr val="0070C0"/>
        </a:solidFill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EDIT</a:t>
          </a:r>
        </a:p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CUSTOMER</a:t>
          </a:r>
        </a:p>
      </xdr:txBody>
    </xdr:sp>
    <xdr:clientData/>
  </xdr:twoCellAnchor>
  <xdr:twoCellAnchor>
    <xdr:from>
      <xdr:col>103</xdr:col>
      <xdr:colOff>212725</xdr:colOff>
      <xdr:row>33</xdr:row>
      <xdr:rowOff>88896</xdr:rowOff>
    </xdr:from>
    <xdr:to>
      <xdr:col>106</xdr:col>
      <xdr:colOff>7100</xdr:colOff>
      <xdr:row>37</xdr:row>
      <xdr:rowOff>46896</xdr:rowOff>
    </xdr:to>
    <xdr:sp macro="[0]!callProductionFalse" textlink="">
      <xdr:nvSpPr>
        <xdr:cNvPr id="2" name="giftsetProduction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6290925" y="6032496"/>
          <a:ext cx="1527925" cy="720000"/>
        </a:xfrm>
        <a:prstGeom prst="round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PRODUCTION</a:t>
          </a:r>
        </a:p>
      </xdr:txBody>
    </xdr:sp>
    <xdr:clientData/>
  </xdr:twoCellAnchor>
  <xdr:twoCellAnchor>
    <xdr:from>
      <xdr:col>99</xdr:col>
      <xdr:colOff>33141</xdr:colOff>
      <xdr:row>30</xdr:row>
      <xdr:rowOff>139696</xdr:rowOff>
    </xdr:from>
    <xdr:to>
      <xdr:col>101</xdr:col>
      <xdr:colOff>491791</xdr:colOff>
      <xdr:row>34</xdr:row>
      <xdr:rowOff>58096</xdr:rowOff>
    </xdr:to>
    <xdr:sp macro="" textlink="">
      <xdr:nvSpPr>
        <xdr:cNvPr id="5" name="revertProduction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14790541" y="5492746"/>
          <a:ext cx="1760400" cy="680400"/>
        </a:xfrm>
        <a:prstGeom prst="roundRect">
          <a:avLst/>
        </a:prstGeom>
        <a:solidFill>
          <a:srgbClr val="C00000"/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REVERT</a:t>
          </a:r>
          <a:endParaRPr lang="it-IT" sz="1600" b="1" baseline="0">
            <a:solidFill>
              <a:schemeClr val="bg1"/>
            </a:solidFill>
            <a:latin typeface="+mn-lt"/>
          </a:endParaRPr>
        </a:p>
        <a:p>
          <a:pPr algn="ctr"/>
          <a:r>
            <a:rPr lang="it-IT" sz="1600" b="1" baseline="0">
              <a:solidFill>
                <a:schemeClr val="bg1"/>
              </a:solidFill>
              <a:latin typeface="+mn-lt"/>
            </a:rPr>
            <a:t>PRODUCTION</a:t>
          </a:r>
          <a:endParaRPr lang="it-IT" sz="16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132</xdr:col>
      <xdr:colOff>31750</xdr:colOff>
      <xdr:row>15</xdr:row>
      <xdr:rowOff>25400</xdr:rowOff>
    </xdr:from>
    <xdr:to>
      <xdr:col>132</xdr:col>
      <xdr:colOff>1758950</xdr:colOff>
      <xdr:row>18</xdr:row>
      <xdr:rowOff>95250</xdr:rowOff>
    </xdr:to>
    <xdr:sp macro="[0]!calculateWarehouseValues" textlink="">
      <xdr:nvSpPr>
        <xdr:cNvPr id="8" name="Rettangolo con angoli arrotondati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222250" y="2476500"/>
          <a:ext cx="1727200" cy="641350"/>
        </a:xfrm>
        <a:prstGeom prst="roundRect">
          <a:avLst/>
        </a:prstGeom>
        <a:solidFill>
          <a:schemeClr val="accent6">
            <a:lumMod val="75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 b="1"/>
            <a:t>RICALCOLA</a:t>
          </a:r>
        </a:p>
        <a:p>
          <a:pPr algn="ctr"/>
          <a:r>
            <a:rPr lang="it-IT" sz="1400" b="1"/>
            <a:t>STOCK DISPONIBILE</a:t>
          </a:r>
        </a:p>
      </xdr:txBody>
    </xdr:sp>
    <xdr:clientData/>
  </xdr:twoCellAnchor>
  <xdr:twoCellAnchor>
    <xdr:from>
      <xdr:col>100</xdr:col>
      <xdr:colOff>25400</xdr:colOff>
      <xdr:row>37</xdr:row>
      <xdr:rowOff>127000</xdr:rowOff>
    </xdr:from>
    <xdr:to>
      <xdr:col>102</xdr:col>
      <xdr:colOff>534150</xdr:colOff>
      <xdr:row>41</xdr:row>
      <xdr:rowOff>85000</xdr:rowOff>
    </xdr:to>
    <xdr:sp macro="[0]!calculateWarehouseValues" textlink="">
      <xdr:nvSpPr>
        <xdr:cNvPr id="14" name="Rettangolo con angoli arrotondati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15328900" y="6826250"/>
          <a:ext cx="1620000" cy="720000"/>
        </a:xfrm>
        <a:prstGeom prst="roundRect">
          <a:avLst/>
        </a:prstGeom>
        <a:solidFill>
          <a:schemeClr val="accent6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UPDATE</a:t>
          </a:r>
        </a:p>
        <a:p>
          <a:pPr algn="ctr"/>
          <a:r>
            <a:rPr lang="it-IT" sz="1600" b="1"/>
            <a:t>AVAILABILITIES</a:t>
          </a:r>
          <a:endParaRPr lang="it-IT" sz="1400" b="1"/>
        </a:p>
      </xdr:txBody>
    </xdr:sp>
    <xdr:clientData/>
  </xdr:twoCellAnchor>
  <xdr:twoCellAnchor>
    <xdr:from>
      <xdr:col>100</xdr:col>
      <xdr:colOff>31750</xdr:colOff>
      <xdr:row>33</xdr:row>
      <xdr:rowOff>88896</xdr:rowOff>
    </xdr:from>
    <xdr:to>
      <xdr:col>102</xdr:col>
      <xdr:colOff>540500</xdr:colOff>
      <xdr:row>37</xdr:row>
      <xdr:rowOff>46896</xdr:rowOff>
    </xdr:to>
    <xdr:sp macro="[0]!callProductionTrue" textlink="">
      <xdr:nvSpPr>
        <xdr:cNvPr id="12" name="giftsetProduction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15335250" y="6026146"/>
          <a:ext cx="1620000" cy="720000"/>
        </a:xfrm>
        <a:prstGeom prst="round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PRODUCTION</a:t>
          </a:r>
        </a:p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PREVIEW</a:t>
          </a:r>
        </a:p>
      </xdr:txBody>
    </xdr:sp>
    <xdr:clientData/>
  </xdr:twoCellAnchor>
  <xdr:twoCellAnchor>
    <xdr:from>
      <xdr:col>102</xdr:col>
      <xdr:colOff>590550</xdr:colOff>
      <xdr:row>35</xdr:row>
      <xdr:rowOff>67896</xdr:rowOff>
    </xdr:from>
    <xdr:to>
      <xdr:col>103</xdr:col>
      <xdr:colOff>174625</xdr:colOff>
      <xdr:row>35</xdr:row>
      <xdr:rowOff>76200</xdr:rowOff>
    </xdr:to>
    <xdr:cxnSp macro="">
      <xdr:nvCxnSpPr>
        <xdr:cNvPr id="26" name="Connettore 2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CxnSpPr/>
      </xdr:nvCxnSpPr>
      <xdr:spPr>
        <a:xfrm flipV="1">
          <a:off x="15878175" y="6392496"/>
          <a:ext cx="374650" cy="8304"/>
        </a:xfrm>
        <a:prstGeom prst="straightConnector1">
          <a:avLst/>
        </a:prstGeom>
        <a:ln w="1016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162</xdr:col>
      <xdr:colOff>187325</xdr:colOff>
      <xdr:row>8</xdr:row>
      <xdr:rowOff>146050</xdr:rowOff>
    </xdr:from>
    <xdr:to>
      <xdr:col>163</xdr:col>
      <xdr:colOff>901700</xdr:colOff>
      <xdr:row>12</xdr:row>
      <xdr:rowOff>19050</xdr:rowOff>
    </xdr:to>
    <xdr:sp macro="" textlink="">
      <xdr:nvSpPr>
        <xdr:cNvPr id="23" name="Rettangolo con angoli arrotondati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/>
      </xdr:nvSpPr>
      <xdr:spPr>
        <a:xfrm>
          <a:off x="4587875" y="1327150"/>
          <a:ext cx="1752600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162</xdr:col>
      <xdr:colOff>187325</xdr:colOff>
      <xdr:row>14</xdr:row>
      <xdr:rowOff>146050</xdr:rowOff>
    </xdr:from>
    <xdr:to>
      <xdr:col>163</xdr:col>
      <xdr:colOff>901700</xdr:colOff>
      <xdr:row>18</xdr:row>
      <xdr:rowOff>19050</xdr:rowOff>
    </xdr:to>
    <xdr:sp macro="" textlink="">
      <xdr:nvSpPr>
        <xdr:cNvPr id="99" name="Rettangolo con angoli arrotondati 22">
          <a:extLst>
            <a:ext uri="{FF2B5EF4-FFF2-40B4-BE49-F238E27FC236}">
              <a16:creationId xmlns:a16="http://schemas.microsoft.com/office/drawing/2014/main" id="{00000000-0008-0000-0F00-000063000000}"/>
            </a:ext>
          </a:extLst>
        </xdr:cNvPr>
        <xdr:cNvSpPr/>
      </xdr:nvSpPr>
      <xdr:spPr>
        <a:xfrm>
          <a:off x="4606925" y="1327150"/>
          <a:ext cx="1762125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168</xdr:col>
      <xdr:colOff>187325</xdr:colOff>
      <xdr:row>8</xdr:row>
      <xdr:rowOff>146050</xdr:rowOff>
    </xdr:from>
    <xdr:to>
      <xdr:col>169</xdr:col>
      <xdr:colOff>901700</xdr:colOff>
      <xdr:row>12</xdr:row>
      <xdr:rowOff>19050</xdr:rowOff>
    </xdr:to>
    <xdr:sp macro="" textlink="">
      <xdr:nvSpPr>
        <xdr:cNvPr id="104" name="Rettangolo con angoli arrotondati 22">
          <a:extLst>
            <a:ext uri="{FF2B5EF4-FFF2-40B4-BE49-F238E27FC236}">
              <a16:creationId xmlns:a16="http://schemas.microsoft.com/office/drawing/2014/main" id="{00000000-0008-0000-0F00-000068000000}"/>
            </a:ext>
          </a:extLst>
        </xdr:cNvPr>
        <xdr:cNvSpPr/>
      </xdr:nvSpPr>
      <xdr:spPr>
        <a:xfrm>
          <a:off x="4606925" y="2470150"/>
          <a:ext cx="1762125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168</xdr:col>
      <xdr:colOff>187325</xdr:colOff>
      <xdr:row>14</xdr:row>
      <xdr:rowOff>146050</xdr:rowOff>
    </xdr:from>
    <xdr:to>
      <xdr:col>169</xdr:col>
      <xdr:colOff>901700</xdr:colOff>
      <xdr:row>18</xdr:row>
      <xdr:rowOff>19050</xdr:rowOff>
    </xdr:to>
    <xdr:sp macro="" textlink="">
      <xdr:nvSpPr>
        <xdr:cNvPr id="105" name="Rettangolo con angoli arrotondati 22">
          <a:extLst>
            <a:ext uri="{FF2B5EF4-FFF2-40B4-BE49-F238E27FC236}">
              <a16:creationId xmlns:a16="http://schemas.microsoft.com/office/drawing/2014/main" id="{00000000-0008-0000-0F00-000068000000}"/>
            </a:ext>
          </a:extLst>
        </xdr:cNvPr>
        <xdr:cNvSpPr/>
      </xdr:nvSpPr>
      <xdr:spPr>
        <a:xfrm>
          <a:off x="9359900" y="1279525"/>
          <a:ext cx="1762125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132</xdr:col>
      <xdr:colOff>31750</xdr:colOff>
      <xdr:row>18</xdr:row>
      <xdr:rowOff>152400</xdr:rowOff>
    </xdr:from>
    <xdr:to>
      <xdr:col>132</xdr:col>
      <xdr:colOff>1758950</xdr:colOff>
      <xdr:row>22</xdr:row>
      <xdr:rowOff>31750</xdr:rowOff>
    </xdr:to>
    <xdr:sp macro="[0]!productUsrFormLauncher" textlink="">
      <xdr:nvSpPr>
        <xdr:cNvPr id="65" name="Rettangolo con angoli arrotondati 64">
          <a:extLst>
            <a:ext uri="{FF2B5EF4-FFF2-40B4-BE49-F238E27FC236}">
              <a16:creationId xmlns:a16="http://schemas.microsoft.com/office/drawing/2014/main" id="{025C31F8-21C0-0E7F-D0E3-7AA830665B8D}"/>
            </a:ext>
          </a:extLst>
        </xdr:cNvPr>
        <xdr:cNvSpPr/>
      </xdr:nvSpPr>
      <xdr:spPr>
        <a:xfrm>
          <a:off x="222250" y="3175000"/>
          <a:ext cx="1727200" cy="641350"/>
        </a:xfrm>
        <a:prstGeom prst="roundRect">
          <a:avLst/>
        </a:prstGeom>
        <a:solidFill>
          <a:srgbClr val="0070C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 b="1"/>
            <a:t>GESTISCI I</a:t>
          </a:r>
        </a:p>
        <a:p>
          <a:pPr algn="ctr"/>
          <a:r>
            <a:rPr lang="it-IT" sz="1400" b="1"/>
            <a:t>PRODOTTI BHPC</a:t>
          </a:r>
        </a:p>
      </xdr:txBody>
    </xdr:sp>
    <xdr:clientData/>
  </xdr:twoCellAnchor>
  <xdr:twoCellAnchor>
    <xdr:from>
      <xdr:col>132</xdr:col>
      <xdr:colOff>31750</xdr:colOff>
      <xdr:row>22</xdr:row>
      <xdr:rowOff>95250</xdr:rowOff>
    </xdr:from>
    <xdr:to>
      <xdr:col>132</xdr:col>
      <xdr:colOff>1759750</xdr:colOff>
      <xdr:row>25</xdr:row>
      <xdr:rowOff>165100</xdr:rowOff>
    </xdr:to>
    <xdr:sp macro="[0]!showInventorySheet" textlink="">
      <xdr:nvSpPr>
        <xdr:cNvPr id="25" name="showSalesSheet">
          <a:extLst>
            <a:ext uri="{FF2B5EF4-FFF2-40B4-BE49-F238E27FC236}">
              <a16:creationId xmlns:a16="http://schemas.microsoft.com/office/drawing/2014/main" id="{56EC8A00-39A9-43C0-94A5-7AE4775CF3AC}"/>
            </a:ext>
          </a:extLst>
        </xdr:cNvPr>
        <xdr:cNvSpPr/>
      </xdr:nvSpPr>
      <xdr:spPr>
        <a:xfrm>
          <a:off x="222250" y="3879850"/>
          <a:ext cx="1728000" cy="641350"/>
        </a:xfrm>
        <a:prstGeom prst="roundRect">
          <a:avLst/>
        </a:prstGeom>
        <a:solidFill>
          <a:schemeClr val="accent2">
            <a:lumMod val="75000"/>
          </a:schemeClr>
        </a:solidFill>
        <a:ln w="19050">
          <a:solidFill>
            <a:sysClr val="windowText" lastClr="000000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>
              <a:solidFill>
                <a:schemeClr val="bg1"/>
              </a:solidFill>
            </a:rPr>
            <a:t>MOSTRA INVENTARIO</a:t>
          </a:r>
        </a:p>
      </xdr:txBody>
    </xdr:sp>
    <xdr:clientData/>
  </xdr:twoCellAnchor>
  <xdr:twoCellAnchor>
    <xdr:from>
      <xdr:col>685</xdr:col>
      <xdr:colOff>311150</xdr:colOff>
      <xdr:row>9</xdr:row>
      <xdr:rowOff>44450</xdr:rowOff>
    </xdr:from>
    <xdr:to>
      <xdr:col>689</xdr:col>
      <xdr:colOff>247650</xdr:colOff>
      <xdr:row>31</xdr:row>
      <xdr:rowOff>69850</xdr:rowOff>
    </xdr:to>
    <xdr:grpSp>
      <xdr:nvGrpSpPr>
        <xdr:cNvPr id="117" name="importExportMenu">
          <a:extLst>
            <a:ext uri="{FF2B5EF4-FFF2-40B4-BE49-F238E27FC236}">
              <a16:creationId xmlns:a16="http://schemas.microsoft.com/office/drawing/2014/main" id="{40ECF3BE-1D5B-AB80-B3B8-950721F1457C}"/>
            </a:ext>
          </a:extLst>
        </xdr:cNvPr>
        <xdr:cNvGrpSpPr/>
      </xdr:nvGrpSpPr>
      <xdr:grpSpPr>
        <a:xfrm>
          <a:off x="483374700" y="1352550"/>
          <a:ext cx="2501900" cy="4216400"/>
          <a:chOff x="4445000" y="3536950"/>
          <a:chExt cx="2501900" cy="4216400"/>
        </a:xfrm>
      </xdr:grpSpPr>
      <xdr:sp macro="" textlink="">
        <xdr:nvSpPr>
          <xdr:cNvPr id="24" name="Rettangolo con angoli arrotondati 23">
            <a:extLst>
              <a:ext uri="{FF2B5EF4-FFF2-40B4-BE49-F238E27FC236}">
                <a16:creationId xmlns:a16="http://schemas.microsoft.com/office/drawing/2014/main" id="{690386A1-E3BA-7C00-5F34-FE1DD54ED931}"/>
              </a:ext>
            </a:extLst>
          </xdr:cNvPr>
          <xdr:cNvSpPr/>
        </xdr:nvSpPr>
        <xdr:spPr>
          <a:xfrm>
            <a:off x="4445000" y="3536950"/>
            <a:ext cx="2501900" cy="42164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IMPORT</a:t>
            </a:r>
            <a:r>
              <a:rPr lang="it-IT" sz="1400" b="1" baseline="0">
                <a:solidFill>
                  <a:schemeClr val="accent5">
                    <a:lumMod val="75000"/>
                  </a:schemeClr>
                </a:solidFill>
              </a:rPr>
              <a:t> - EXPORT</a:t>
            </a:r>
            <a:endParaRPr lang="it-IT" sz="1400" b="1">
              <a:solidFill>
                <a:schemeClr val="accent5">
                  <a:lumMod val="75000"/>
                </a:schemeClr>
              </a:solidFill>
            </a:endParaRPr>
          </a:p>
        </xdr:txBody>
      </xdr:sp>
      <xdr:grpSp>
        <xdr:nvGrpSpPr>
          <xdr:cNvPr id="76" name="Gruppo 75">
            <a:extLst>
              <a:ext uri="{FF2B5EF4-FFF2-40B4-BE49-F238E27FC236}">
                <a16:creationId xmlns:a16="http://schemas.microsoft.com/office/drawing/2014/main" id="{DF989930-10DD-38C7-CCC6-D7CFA140F801}"/>
              </a:ext>
            </a:extLst>
          </xdr:cNvPr>
          <xdr:cNvGrpSpPr/>
        </xdr:nvGrpSpPr>
        <xdr:grpSpPr>
          <a:xfrm>
            <a:off x="4568825" y="3867150"/>
            <a:ext cx="2254250" cy="1492250"/>
            <a:chOff x="7880350" y="4597400"/>
            <a:chExt cx="2254250" cy="1492250"/>
          </a:xfrm>
        </xdr:grpSpPr>
        <xdr:sp macro="[0]!deleteDatabase" textlink="">
          <xdr:nvSpPr>
            <xdr:cNvPr id="27" name="editClient">
              <a:extLst>
                <a:ext uri="{FF2B5EF4-FFF2-40B4-BE49-F238E27FC236}">
                  <a16:creationId xmlns:a16="http://schemas.microsoft.com/office/drawing/2014/main" id="{00000000-0008-0000-0F00-00001B000000}"/>
                </a:ext>
              </a:extLst>
            </xdr:cNvPr>
            <xdr:cNvSpPr/>
          </xdr:nvSpPr>
          <xdr:spPr>
            <a:xfrm>
              <a:off x="7990418" y="5695950"/>
              <a:ext cx="2049992" cy="314997"/>
            </a:xfrm>
            <a:prstGeom prst="roundRect">
              <a:avLst/>
            </a:prstGeom>
            <a:solidFill>
              <a:srgbClr val="C00000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DELETE ORDERS DATABASE</a:t>
              </a:r>
            </a:p>
          </xdr:txBody>
        </xdr:sp>
        <xdr:sp macro="[0]!exportDatabase" textlink="">
          <xdr:nvSpPr>
            <xdr:cNvPr id="29" name="editClient">
              <a:extLst>
                <a:ext uri="{FF2B5EF4-FFF2-40B4-BE49-F238E27FC236}">
                  <a16:creationId xmlns:a16="http://schemas.microsoft.com/office/drawing/2014/main" id="{00000000-0008-0000-0F00-00001D000000}"/>
                </a:ext>
              </a:extLst>
            </xdr:cNvPr>
            <xdr:cNvSpPr/>
          </xdr:nvSpPr>
          <xdr:spPr>
            <a:xfrm>
              <a:off x="7990418" y="4914900"/>
              <a:ext cx="2049992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EXPORT ORDERS DATABASE</a:t>
              </a:r>
            </a:p>
          </xdr:txBody>
        </xdr:sp>
        <xdr:sp macro="[0]!importDatabase" textlink="">
          <xdr:nvSpPr>
            <xdr:cNvPr id="31" name="editClient">
              <a:extLst>
                <a:ext uri="{FF2B5EF4-FFF2-40B4-BE49-F238E27FC236}">
                  <a16:creationId xmlns:a16="http://schemas.microsoft.com/office/drawing/2014/main" id="{00000000-0008-0000-0F00-00001F000000}"/>
                </a:ext>
              </a:extLst>
            </xdr:cNvPr>
            <xdr:cNvSpPr/>
          </xdr:nvSpPr>
          <xdr:spPr>
            <a:xfrm>
              <a:off x="7990418" y="5302250"/>
              <a:ext cx="2049992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IMPORT ORDERS DATABASE</a:t>
              </a:r>
            </a:p>
          </xdr:txBody>
        </xdr:sp>
        <xdr:sp macro="" textlink="">
          <xdr:nvSpPr>
            <xdr:cNvPr id="51" name="Rettangolo con angoli arrotondati 50">
              <a:extLst>
                <a:ext uri="{FF2B5EF4-FFF2-40B4-BE49-F238E27FC236}">
                  <a16:creationId xmlns:a16="http://schemas.microsoft.com/office/drawing/2014/main" id="{0D656A5C-A65E-3C4F-9F97-E666ECA7D6E6}"/>
                </a:ext>
              </a:extLst>
            </xdr:cNvPr>
            <xdr:cNvSpPr/>
          </xdr:nvSpPr>
          <xdr:spPr>
            <a:xfrm>
              <a:off x="7880350" y="4597400"/>
              <a:ext cx="2254250" cy="14922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SALES</a:t>
              </a:r>
            </a:p>
          </xdr:txBody>
        </xdr:sp>
      </xdr:grpSp>
      <xdr:grpSp>
        <xdr:nvGrpSpPr>
          <xdr:cNvPr id="75" name="Gruppo 74">
            <a:extLst>
              <a:ext uri="{FF2B5EF4-FFF2-40B4-BE49-F238E27FC236}">
                <a16:creationId xmlns:a16="http://schemas.microsoft.com/office/drawing/2014/main" id="{F883EB09-9013-AEC5-4E3E-6182F3354960}"/>
              </a:ext>
            </a:extLst>
          </xdr:cNvPr>
          <xdr:cNvGrpSpPr/>
        </xdr:nvGrpSpPr>
        <xdr:grpSpPr>
          <a:xfrm>
            <a:off x="4568825" y="5422900"/>
            <a:ext cx="2254250" cy="1098550"/>
            <a:chOff x="2660650" y="5454650"/>
            <a:chExt cx="2254250" cy="1098550"/>
          </a:xfrm>
        </xdr:grpSpPr>
        <xdr:sp macro="[0]!exportProduct" textlink="">
          <xdr:nvSpPr>
            <xdr:cNvPr id="40" name="editClient">
              <a:extLst>
                <a:ext uri="{FF2B5EF4-FFF2-40B4-BE49-F238E27FC236}">
                  <a16:creationId xmlns:a16="http://schemas.microsoft.com/office/drawing/2014/main" id="{00000000-0008-0000-0F00-000028000000}"/>
                </a:ext>
              </a:extLst>
            </xdr:cNvPr>
            <xdr:cNvSpPr/>
          </xdr:nvSpPr>
          <xdr:spPr>
            <a:xfrm>
              <a:off x="2787714" y="5772150"/>
              <a:ext cx="2016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EXPORT PRODUCT DATA</a:t>
              </a:r>
            </a:p>
          </xdr:txBody>
        </xdr:sp>
        <xdr:sp macro="[0]!importProduct" textlink="">
          <xdr:nvSpPr>
            <xdr:cNvPr id="43" name="editClient">
              <a:extLst>
                <a:ext uri="{FF2B5EF4-FFF2-40B4-BE49-F238E27FC236}">
                  <a16:creationId xmlns:a16="http://schemas.microsoft.com/office/drawing/2014/main" id="{00000000-0008-0000-0F00-00002B000000}"/>
                </a:ext>
              </a:extLst>
            </xdr:cNvPr>
            <xdr:cNvSpPr/>
          </xdr:nvSpPr>
          <xdr:spPr>
            <a:xfrm>
              <a:off x="2787714" y="6159500"/>
              <a:ext cx="2016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IMPORT PRODUCT DATA</a:t>
              </a:r>
            </a:p>
          </xdr:txBody>
        </xdr:sp>
        <xdr:sp macro="" textlink="">
          <xdr:nvSpPr>
            <xdr:cNvPr id="74" name="Rettangolo con angoli arrotondati 73">
              <a:extLst>
                <a:ext uri="{FF2B5EF4-FFF2-40B4-BE49-F238E27FC236}">
                  <a16:creationId xmlns:a16="http://schemas.microsoft.com/office/drawing/2014/main" id="{73700361-D4FB-C470-D5B9-7A8AA01BB75F}"/>
                </a:ext>
              </a:extLst>
            </xdr:cNvPr>
            <xdr:cNvSpPr/>
          </xdr:nvSpPr>
          <xdr:spPr>
            <a:xfrm>
              <a:off x="2660650" y="5454650"/>
              <a:ext cx="2254250" cy="10985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LOGISTICS</a:t>
              </a:r>
            </a:p>
          </xdr:txBody>
        </xdr:sp>
      </xdr:grpSp>
      <xdr:grpSp>
        <xdr:nvGrpSpPr>
          <xdr:cNvPr id="116" name="Gruppo 115">
            <a:extLst>
              <a:ext uri="{FF2B5EF4-FFF2-40B4-BE49-F238E27FC236}">
                <a16:creationId xmlns:a16="http://schemas.microsoft.com/office/drawing/2014/main" id="{E878FBA5-D601-232D-CDF7-DD85FE90B72D}"/>
              </a:ext>
            </a:extLst>
          </xdr:cNvPr>
          <xdr:cNvGrpSpPr/>
        </xdr:nvGrpSpPr>
        <xdr:grpSpPr>
          <a:xfrm>
            <a:off x="4568825" y="6584950"/>
            <a:ext cx="2254250" cy="1098550"/>
            <a:chOff x="10086975" y="5467350"/>
            <a:chExt cx="2254250" cy="1098550"/>
          </a:xfrm>
        </xdr:grpSpPr>
        <xdr:grpSp>
          <xdr:nvGrpSpPr>
            <xdr:cNvPr id="17" name="Gruppo 16">
              <a:extLst>
                <a:ext uri="{FF2B5EF4-FFF2-40B4-BE49-F238E27FC236}">
                  <a16:creationId xmlns:a16="http://schemas.microsoft.com/office/drawing/2014/main" id="{00000000-0008-0000-0F00-000011000000}"/>
                </a:ext>
              </a:extLst>
            </xdr:cNvPr>
            <xdr:cNvGrpSpPr/>
          </xdr:nvGrpSpPr>
          <xdr:grpSpPr>
            <a:xfrm>
              <a:off x="10196039" y="5778500"/>
              <a:ext cx="2052000" cy="702347"/>
              <a:chOff x="9067214" y="2533650"/>
              <a:chExt cx="2052000" cy="702347"/>
            </a:xfrm>
          </xdr:grpSpPr>
          <xdr:sp macro="[0]!exportClient" textlink="">
            <xdr:nvSpPr>
              <xdr:cNvPr id="35" name="editClient">
                <a:extLst>
                  <a:ext uri="{FF2B5EF4-FFF2-40B4-BE49-F238E27FC236}">
                    <a16:creationId xmlns:a16="http://schemas.microsoft.com/office/drawing/2014/main" id="{00000000-0008-0000-0F00-000023000000}"/>
                  </a:ext>
                </a:extLst>
              </xdr:cNvPr>
              <xdr:cNvSpPr/>
            </xdr:nvSpPr>
            <xdr:spPr>
              <a:xfrm>
                <a:off x="9067214" y="2533650"/>
                <a:ext cx="2052000" cy="314997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38100">
                <a:solidFill>
                  <a:schemeClr val="accent1">
                    <a:lumMod val="60000"/>
                    <a:lumOff val="40000"/>
                  </a:schemeClr>
                </a:solidFill>
              </a:ln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1100" b="1">
                    <a:solidFill>
                      <a:schemeClr val="bg1"/>
                    </a:solidFill>
                  </a:rPr>
                  <a:t>EXPORT CLIENT DATABASE</a:t>
                </a:r>
              </a:p>
            </xdr:txBody>
          </xdr:sp>
          <xdr:sp macro="[0]!importClient" textlink="">
            <xdr:nvSpPr>
              <xdr:cNvPr id="37" name="editClient">
                <a:extLst>
                  <a:ext uri="{FF2B5EF4-FFF2-40B4-BE49-F238E27FC236}">
                    <a16:creationId xmlns:a16="http://schemas.microsoft.com/office/drawing/2014/main" id="{00000000-0008-0000-0F00-000025000000}"/>
                  </a:ext>
                </a:extLst>
              </xdr:cNvPr>
              <xdr:cNvSpPr/>
            </xdr:nvSpPr>
            <xdr:spPr>
              <a:xfrm>
                <a:off x="9067214" y="2921000"/>
                <a:ext cx="2052000" cy="314997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38100">
                <a:solidFill>
                  <a:schemeClr val="accent1">
                    <a:lumMod val="60000"/>
                    <a:lumOff val="40000"/>
                  </a:schemeClr>
                </a:solidFill>
              </a:ln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1100" b="1">
                    <a:solidFill>
                      <a:schemeClr val="bg1"/>
                    </a:solidFill>
                  </a:rPr>
                  <a:t>IMPORT CLIENT DATABASE</a:t>
                </a:r>
              </a:p>
            </xdr:txBody>
          </xdr:sp>
        </xdr:grpSp>
        <xdr:sp macro="" textlink="">
          <xdr:nvSpPr>
            <xdr:cNvPr id="114" name="Rettangolo con angoli arrotondati 113">
              <a:extLst>
                <a:ext uri="{FF2B5EF4-FFF2-40B4-BE49-F238E27FC236}">
                  <a16:creationId xmlns:a16="http://schemas.microsoft.com/office/drawing/2014/main" id="{C78C6E8D-53F3-2C7A-12FB-6EC8D9CD2DAD}"/>
                </a:ext>
              </a:extLst>
            </xdr:cNvPr>
            <xdr:cNvSpPr/>
          </xdr:nvSpPr>
          <xdr:spPr>
            <a:xfrm>
              <a:off x="10086975" y="5467350"/>
              <a:ext cx="2254250" cy="10985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CUSTOMERS</a:t>
              </a:r>
            </a:p>
          </xdr:txBody>
        </xdr:sp>
      </xdr:grpSp>
    </xdr:grpSp>
    <xdr:clientData/>
  </xdr:twoCellAnchor>
  <xdr:twoCellAnchor>
    <xdr:from>
      <xdr:col>681</xdr:col>
      <xdr:colOff>254000</xdr:colOff>
      <xdr:row>9</xdr:row>
      <xdr:rowOff>44450</xdr:rowOff>
    </xdr:from>
    <xdr:to>
      <xdr:col>685</xdr:col>
      <xdr:colOff>190500</xdr:colOff>
      <xdr:row>27</xdr:row>
      <xdr:rowOff>57150</xdr:rowOff>
    </xdr:to>
    <xdr:grpSp>
      <xdr:nvGrpSpPr>
        <xdr:cNvPr id="21643" name="datasetMenu">
          <a:extLst>
            <a:ext uri="{FF2B5EF4-FFF2-40B4-BE49-F238E27FC236}">
              <a16:creationId xmlns:a16="http://schemas.microsoft.com/office/drawing/2014/main" id="{A8D527AA-4013-6B33-80BF-07020CDA52EB}"/>
            </a:ext>
          </a:extLst>
        </xdr:cNvPr>
        <xdr:cNvGrpSpPr/>
      </xdr:nvGrpSpPr>
      <xdr:grpSpPr>
        <a:xfrm>
          <a:off x="480752150" y="1352550"/>
          <a:ext cx="2501900" cy="3441700"/>
          <a:chOff x="2838450" y="1511300"/>
          <a:chExt cx="2501900" cy="3441700"/>
        </a:xfrm>
      </xdr:grpSpPr>
      <xdr:sp macro="" textlink="">
        <xdr:nvSpPr>
          <xdr:cNvPr id="119" name="Rettangolo con angoli arrotondati 118">
            <a:extLst>
              <a:ext uri="{FF2B5EF4-FFF2-40B4-BE49-F238E27FC236}">
                <a16:creationId xmlns:a16="http://schemas.microsoft.com/office/drawing/2014/main" id="{A1E68E5E-8266-B26C-B49C-250BEE720716}"/>
              </a:ext>
            </a:extLst>
          </xdr:cNvPr>
          <xdr:cNvSpPr/>
        </xdr:nvSpPr>
        <xdr:spPr>
          <a:xfrm>
            <a:off x="2838450" y="1511300"/>
            <a:ext cx="2501900" cy="34417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DATASET</a:t>
            </a:r>
          </a:p>
        </xdr:txBody>
      </xdr:sp>
      <xdr:grpSp>
        <xdr:nvGrpSpPr>
          <xdr:cNvPr id="21641" name="Gruppo 21640">
            <a:extLst>
              <a:ext uri="{FF2B5EF4-FFF2-40B4-BE49-F238E27FC236}">
                <a16:creationId xmlns:a16="http://schemas.microsoft.com/office/drawing/2014/main" id="{5EE8F161-36C1-D3F5-76C0-03FE15A9A8A0}"/>
              </a:ext>
            </a:extLst>
          </xdr:cNvPr>
          <xdr:cNvGrpSpPr/>
        </xdr:nvGrpSpPr>
        <xdr:grpSpPr>
          <a:xfrm>
            <a:off x="2962275" y="1841500"/>
            <a:ext cx="2254250" cy="1092200"/>
            <a:chOff x="2962275" y="1841500"/>
            <a:chExt cx="2254250" cy="1092200"/>
          </a:xfrm>
        </xdr:grpSpPr>
        <xdr:sp macro="[0]!showOrderSheet" textlink="">
          <xdr:nvSpPr>
            <xdr:cNvPr id="78" name="showOrderSheet">
              <a:extLst>
                <a:ext uri="{FF2B5EF4-FFF2-40B4-BE49-F238E27FC236}">
                  <a16:creationId xmlns:a16="http://schemas.microsoft.com/office/drawing/2014/main" id="{00000000-0008-0000-0F00-00004E000000}"/>
                </a:ext>
              </a:extLst>
            </xdr:cNvPr>
            <xdr:cNvSpPr/>
          </xdr:nvSpPr>
          <xdr:spPr>
            <a:xfrm>
              <a:off x="3063400" y="2148119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ORDER DATASET</a:t>
              </a:r>
            </a:p>
          </xdr:txBody>
        </xdr:sp>
        <xdr:sp macro="[0]!showSalesSheet" textlink="">
          <xdr:nvSpPr>
            <xdr:cNvPr id="79" name="showSalesSheet">
              <a:extLst>
                <a:ext uri="{FF2B5EF4-FFF2-40B4-BE49-F238E27FC236}">
                  <a16:creationId xmlns:a16="http://schemas.microsoft.com/office/drawing/2014/main" id="{00000000-0008-0000-0F00-00004F000000}"/>
                </a:ext>
              </a:extLst>
            </xdr:cNvPr>
            <xdr:cNvSpPr/>
          </xdr:nvSpPr>
          <xdr:spPr>
            <a:xfrm>
              <a:off x="3063400" y="2533202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SALES DATASET</a:t>
              </a:r>
            </a:p>
          </xdr:txBody>
        </xdr:sp>
        <xdr:sp macro="" textlink="">
          <xdr:nvSpPr>
            <xdr:cNvPr id="21637" name="Rettangolo con angoli arrotondati 21636">
              <a:extLst>
                <a:ext uri="{FF2B5EF4-FFF2-40B4-BE49-F238E27FC236}">
                  <a16:creationId xmlns:a16="http://schemas.microsoft.com/office/drawing/2014/main" id="{1B789875-A661-D5D2-BD4E-6F811A8B39C2}"/>
                </a:ext>
              </a:extLst>
            </xdr:cNvPr>
            <xdr:cNvSpPr/>
          </xdr:nvSpPr>
          <xdr:spPr>
            <a:xfrm>
              <a:off x="2962275" y="1841500"/>
              <a:ext cx="2254250" cy="109220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SALES</a:t>
              </a:r>
            </a:p>
          </xdr:txBody>
        </xdr:sp>
      </xdr:grpSp>
      <xdr:grpSp>
        <xdr:nvGrpSpPr>
          <xdr:cNvPr id="21640" name="Gruppo 21639">
            <a:extLst>
              <a:ext uri="{FF2B5EF4-FFF2-40B4-BE49-F238E27FC236}">
                <a16:creationId xmlns:a16="http://schemas.microsoft.com/office/drawing/2014/main" id="{FD88999D-50B7-3A83-CCCA-31CB4C75D9A6}"/>
              </a:ext>
            </a:extLst>
          </xdr:cNvPr>
          <xdr:cNvGrpSpPr/>
        </xdr:nvGrpSpPr>
        <xdr:grpSpPr>
          <a:xfrm>
            <a:off x="2962275" y="3009900"/>
            <a:ext cx="2254250" cy="1085850"/>
            <a:chOff x="2949575" y="3054350"/>
            <a:chExt cx="2254250" cy="1085850"/>
          </a:xfrm>
        </xdr:grpSpPr>
        <xdr:sp macro="[0]!showProductData" textlink="">
          <xdr:nvSpPr>
            <xdr:cNvPr id="80" name="editClient">
              <a:extLst>
                <a:ext uri="{FF2B5EF4-FFF2-40B4-BE49-F238E27FC236}">
                  <a16:creationId xmlns:a16="http://schemas.microsoft.com/office/drawing/2014/main" id="{00000000-0008-0000-0F00-000050000000}"/>
                </a:ext>
              </a:extLst>
            </xdr:cNvPr>
            <xdr:cNvSpPr/>
          </xdr:nvSpPr>
          <xdr:spPr>
            <a:xfrm>
              <a:off x="3050700" y="3356885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BHPC PRODUCTS</a:t>
              </a:r>
            </a:p>
          </xdr:txBody>
        </xdr:sp>
        <xdr:sp macro="[0]!showInventorySheet" textlink="">
          <xdr:nvSpPr>
            <xdr:cNvPr id="10" name="showSalesSheet">
              <a:extLst>
                <a:ext uri="{FF2B5EF4-FFF2-40B4-BE49-F238E27FC236}">
                  <a16:creationId xmlns:a16="http://schemas.microsoft.com/office/drawing/2014/main" id="{00000000-0008-0000-0F00-00000A000000}"/>
                </a:ext>
              </a:extLst>
            </xdr:cNvPr>
            <xdr:cNvSpPr/>
          </xdr:nvSpPr>
          <xdr:spPr>
            <a:xfrm>
              <a:off x="3050700" y="3739702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INVENTORY</a:t>
              </a:r>
            </a:p>
          </xdr:txBody>
        </xdr:sp>
        <xdr:sp macro="" textlink="">
          <xdr:nvSpPr>
            <xdr:cNvPr id="21633" name="Rettangolo con angoli arrotondati 21632">
              <a:extLst>
                <a:ext uri="{FF2B5EF4-FFF2-40B4-BE49-F238E27FC236}">
                  <a16:creationId xmlns:a16="http://schemas.microsoft.com/office/drawing/2014/main" id="{452FD221-7A1F-F4D0-43B3-68FE9088DC11}"/>
                </a:ext>
              </a:extLst>
            </xdr:cNvPr>
            <xdr:cNvSpPr/>
          </xdr:nvSpPr>
          <xdr:spPr>
            <a:xfrm>
              <a:off x="2949575" y="3054350"/>
              <a:ext cx="2254250" cy="10858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LOGISTICS</a:t>
              </a:r>
            </a:p>
          </xdr:txBody>
        </xdr:sp>
      </xdr:grpSp>
      <xdr:grpSp>
        <xdr:nvGrpSpPr>
          <xdr:cNvPr id="21642" name="Gruppo 21641">
            <a:extLst>
              <a:ext uri="{FF2B5EF4-FFF2-40B4-BE49-F238E27FC236}">
                <a16:creationId xmlns:a16="http://schemas.microsoft.com/office/drawing/2014/main" id="{0937D803-2100-51A8-29C3-C72E5D01558B}"/>
              </a:ext>
            </a:extLst>
          </xdr:cNvPr>
          <xdr:cNvGrpSpPr/>
        </xdr:nvGrpSpPr>
        <xdr:grpSpPr>
          <a:xfrm>
            <a:off x="2962275" y="4171950"/>
            <a:ext cx="2254250" cy="704850"/>
            <a:chOff x="12401550" y="6451600"/>
            <a:chExt cx="2254250" cy="704850"/>
          </a:xfrm>
        </xdr:grpSpPr>
        <xdr:sp macro="[0]!showClientdB" textlink="">
          <xdr:nvSpPr>
            <xdr:cNvPr id="77" name="editClient">
              <a:extLst>
                <a:ext uri="{FF2B5EF4-FFF2-40B4-BE49-F238E27FC236}">
                  <a16:creationId xmlns:a16="http://schemas.microsoft.com/office/drawing/2014/main" id="{00000000-0008-0000-0F00-00004D000000}"/>
                </a:ext>
              </a:extLst>
            </xdr:cNvPr>
            <xdr:cNvSpPr/>
          </xdr:nvSpPr>
          <xdr:spPr>
            <a:xfrm>
              <a:off x="12502675" y="6756400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CUSTOMER'S DATASET</a:t>
              </a:r>
            </a:p>
          </xdr:txBody>
        </xdr:sp>
        <xdr:sp macro="" textlink="">
          <xdr:nvSpPr>
            <xdr:cNvPr id="21639" name="Rettangolo con angoli arrotondati 21638">
              <a:extLst>
                <a:ext uri="{FF2B5EF4-FFF2-40B4-BE49-F238E27FC236}">
                  <a16:creationId xmlns:a16="http://schemas.microsoft.com/office/drawing/2014/main" id="{5F750F78-4AAD-4774-87B3-F2A21073B0FA}"/>
                </a:ext>
              </a:extLst>
            </xdr:cNvPr>
            <xdr:cNvSpPr/>
          </xdr:nvSpPr>
          <xdr:spPr>
            <a:xfrm>
              <a:off x="12401550" y="6451600"/>
              <a:ext cx="2254250" cy="7048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CUSTOMERS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12700</xdr:colOff>
          <xdr:row>9</xdr:row>
          <xdr:rowOff>0</xdr:rowOff>
        </xdr:from>
        <xdr:to>
          <xdr:col>24</xdr:col>
          <xdr:colOff>0</xdr:colOff>
          <xdr:row>42</xdr:row>
          <xdr:rowOff>50800</xdr:rowOff>
        </xdr:to>
        <xdr:sp macro="" textlink="">
          <xdr:nvSpPr>
            <xdr:cNvPr id="21672" name="Scroll Bar 168" hidden="1">
              <a:extLst>
                <a:ext uri="{63B3BB69-23CF-44E3-9099-C40C66FF867C}">
                  <a14:compatExt spid="_x0000_s21672"/>
                </a:ext>
                <a:ext uri="{FF2B5EF4-FFF2-40B4-BE49-F238E27FC236}">
                  <a16:creationId xmlns:a16="http://schemas.microsoft.com/office/drawing/2014/main" id="{30E2DD62-DB5A-284F-4CCE-DBC412B2CF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hpc_data" displayName="bhpc_data" ref="A1:AJ255" totalsRowShown="0" headerRowDxfId="202" dataDxfId="201">
  <autoFilter ref="A1:AJ255" xr:uid="{00000000-0009-0000-0100-000001000000}"/>
  <sortState xmlns:xlrd2="http://schemas.microsoft.com/office/spreadsheetml/2017/richdata2" ref="A2:AJ255">
    <sortCondition ref="G2:G255"/>
  </sortState>
  <tableColumns count="36">
    <tableColumn id="1" xr3:uid="{00000000-0010-0000-0000-000001000000}" name="sku" dataDxfId="200"/>
    <tableColumn id="2" xr3:uid="{00000000-0010-0000-0000-000002000000}" name="category" dataDxfId="199"/>
    <tableColumn id="4" xr3:uid="{00000000-0010-0000-0000-000004000000}" name="sex" dataDxfId="198"/>
    <tableColumn id="5" xr3:uid="{00000000-0010-0000-0000-000005000000}" name="ean" dataDxfId="197"/>
    <tableColumn id="6" xr3:uid="{00000000-0010-0000-0000-000006000000}" name="hs_code" dataDxfId="196"/>
    <tableColumn id="7" xr3:uid="{00000000-0010-0000-0000-000007000000}" name="description" dataDxfId="195"/>
    <tableColumn id="8" xr3:uid="{00000000-0010-0000-0000-000008000000}" name="unit" dataDxfId="194"/>
    <tableColumn id="9" xr3:uid="{00000000-0010-0000-0000-000009000000}" name="units_per_carton" dataDxfId="193"/>
    <tableColumn id="10" xr3:uid="{00000000-0010-0000-0000-00000A000000}" name="box_per_europallet" dataDxfId="192"/>
    <tableColumn id="13" xr3:uid="{00000000-0010-0000-0000-00000D000000}" name="box_per_pallet" dataDxfId="191" dataCellStyle="Normale 2"/>
    <tableColumn id="39" xr3:uid="{00000000-0010-0000-0000-000027000000}" name="layer_per_europallet" dataDxfId="190" dataCellStyle="Normale 2"/>
    <tableColumn id="12" xr3:uid="{00000000-0010-0000-0000-00000C000000}" name="layers_per_pallet" dataDxfId="189" dataCellStyle="Normale 2"/>
    <tableColumn id="38" xr3:uid="{00000000-0010-0000-0000-000026000000}" name="box_per_eurolayer" dataDxfId="188" dataCellStyle="Normale 2"/>
    <tableColumn id="11" xr3:uid="{00000000-0010-0000-0000-00000B000000}" name="box_per_layer" dataDxfId="187"/>
    <tableColumn id="14" xr3:uid="{00000000-0010-0000-0000-00000E000000}" name="length" dataDxfId="186"/>
    <tableColumn id="15" xr3:uid="{00000000-0010-0000-0000-00000F000000}" name="width" dataDxfId="185"/>
    <tableColumn id="16" xr3:uid="{00000000-0010-0000-0000-000010000000}" name="height" dataDxfId="184"/>
    <tableColumn id="17" xr3:uid="{00000000-0010-0000-0000-000011000000}" name="net_weight" dataDxfId="183"/>
    <tableColumn id="18" xr3:uid="{00000000-0010-0000-0000-000012000000}" name="gross_weight" dataDxfId="182"/>
    <tableColumn id="26" xr3:uid="{00000000-0010-0000-0000-00001A000000}" name="country_of_origin" dataDxfId="181"/>
    <tableColumn id="27" xr3:uid="{00000000-0010-0000-0000-00001B000000}" name="sku_geko" dataDxfId="180"/>
    <tableColumn id="28" xr3:uid="{00000000-0010-0000-0000-00001C000000}" name="is_dangerous_good" dataDxfId="179"/>
    <tableColumn id="31" xr3:uid="{00000000-0010-0000-0000-00001F000000}" name="no_of_products" dataDxfId="178" dataCellStyle="Normale 2"/>
    <tableColumn id="32" xr3:uid="{00000000-0010-0000-0000-000020000000}" name="no_of_dang_products" dataDxfId="177" dataCellStyle="Normale 2"/>
    <tableColumn id="3" xr3:uid="{00000000-0010-0000-0000-000003000000}" name="risk_class" dataDxfId="176"/>
    <tableColumn id="19" xr3:uid="{00000000-0010-0000-0000-000013000000}" name="size" dataDxfId="175" dataCellStyle="Normale 2"/>
    <tableColumn id="24" xr3:uid="{00000000-0010-0000-0000-000018000000}" name="dgn_weight_p1" dataDxfId="174" dataCellStyle="Normale 2"/>
    <tableColumn id="21" xr3:uid="{00000000-0010-0000-0000-000015000000}" name="risk_class2" dataDxfId="173"/>
    <tableColumn id="20" xr3:uid="{00000000-0010-0000-0000-000014000000}" name="size2" dataDxfId="172" dataCellStyle="Normale 2"/>
    <tableColumn id="25" xr3:uid="{00000000-0010-0000-0000-000019000000}" name="dgn_weight_p2" dataDxfId="171" dataCellStyle="Normale 2"/>
    <tableColumn id="22" xr3:uid="{00000000-0010-0000-0000-000016000000}" name="risk_class3" dataDxfId="170"/>
    <tableColumn id="33" xr3:uid="{00000000-0010-0000-0000-000021000000}" name="size3" dataDxfId="169" dataCellStyle="Normale 2"/>
    <tableColumn id="29" xr3:uid="{00000000-0010-0000-0000-00001D000000}" name="dgn_weight_p3" dataDxfId="168" dataCellStyle="Normale 2"/>
    <tableColumn id="23" xr3:uid="{00000000-0010-0000-0000-000017000000}" name="risk_class4" dataDxfId="167"/>
    <tableColumn id="34" xr3:uid="{00000000-0010-0000-0000-000022000000}" name="size4" dataDxfId="166" dataCellStyle="Normale 2"/>
    <tableColumn id="30" xr3:uid="{00000000-0010-0000-0000-00001E000000}" name="dgn_weight_p4" dataDxfId="16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clientData" displayName="clientData" ref="A1:AE53" totalsRowShown="0" headerRowDxfId="164" dataDxfId="163">
  <autoFilter ref="A1:AE53" xr:uid="{00000000-0009-0000-0100-000005000000}"/>
  <sortState xmlns:xlrd2="http://schemas.microsoft.com/office/spreadsheetml/2017/richdata2" ref="A2:AE51">
    <sortCondition ref="A1:A51"/>
  </sortState>
  <tableColumns count="31">
    <tableColumn id="1" xr3:uid="{00000000-0010-0000-0100-000001000000}" name="cod_cliente" dataDxfId="162"/>
    <tableColumn id="2" xr3:uid="{00000000-0010-0000-0100-000002000000}" name="country" dataDxfId="161"/>
    <tableColumn id="3" xr3:uid="{00000000-0010-0000-0100-000003000000}" name="payment_account" dataDxfId="160"/>
    <tableColumn id="4" xr3:uid="{00000000-0010-0000-0100-000004000000}" name="company_name1"/>
    <tableColumn id="5" xr3:uid="{00000000-0010-0000-0100-000005000000}" name="company_name2"/>
    <tableColumn id="6" xr3:uid="{00000000-0010-0000-0100-000006000000}" name="logistic_name"/>
    <tableColumn id="7" xr3:uid="{00000000-0010-0000-0100-000007000000}" name="logistic_address1" dataDxfId="159"/>
    <tableColumn id="8" xr3:uid="{00000000-0010-0000-0100-000008000000}" name="logistic_address2" dataDxfId="158"/>
    <tableColumn id="18" xr3:uid="{00000000-0010-0000-0100-000012000000}" name="logistic_address3" dataDxfId="157"/>
    <tableColumn id="31" xr3:uid="{00000000-0010-0000-0100-00001F000000}" name="logistic_address4" dataDxfId="156"/>
    <tableColumn id="19" xr3:uid="{00000000-0010-0000-0100-000013000000}" name="place_of_discharge" dataDxfId="155"/>
    <tableColumn id="15" xr3:uid="{00000000-0010-0000-0100-00000F000000}" name="hq_address1" dataDxfId="154"/>
    <tableColumn id="16" xr3:uid="{00000000-0010-0000-0100-000010000000}" name="hq_address2" dataDxfId="153"/>
    <tableColumn id="17" xr3:uid="{00000000-0010-0000-0100-000011000000}" name="hq_address3" dataDxfId="152"/>
    <tableColumn id="9" xr3:uid="{00000000-0010-0000-0100-000009000000}" name="vat_no" dataDxfId="151"/>
    <tableColumn id="10" xr3:uid="{00000000-0010-0000-0100-00000A000000}" name="payment_method" dataDxfId="150"/>
    <tableColumn id="11" xr3:uid="{00000000-0010-0000-0100-00000B000000}" name="incoterms"/>
    <tableColumn id="12" xr3:uid="{00000000-0010-0000-0100-00000C000000}" name="currency" dataDxfId="149"/>
    <tableColumn id="13" xr3:uid="{00000000-0010-0000-0100-00000D000000}" name="vat_code" dataDxfId="148"/>
    <tableColumn id="14" xr3:uid="{00000000-0010-0000-0100-00000E000000}" name="legal_references" dataDxfId="147"/>
    <tableColumn id="20" xr3:uid="{00000000-0010-0000-0100-000014000000}" name="notes" dataDxfId="146"/>
    <tableColumn id="21" xr3:uid="{00000000-0010-0000-0100-000015000000}" name="opt_ean" dataDxfId="145"/>
    <tableColumn id="22" xr3:uid="{00000000-0010-0000-0100-000016000000}" name="opt_eori" dataDxfId="144"/>
    <tableColumn id="25" xr3:uid="{00000000-0010-0000-0100-000019000000}" name="opt_hscode" dataDxfId="143"/>
    <tableColumn id="23" xr3:uid="{00000000-0010-0000-0100-000017000000}" name="opt_focvalue" dataDxfId="142"/>
    <tableColumn id="24" xr3:uid="{00000000-0010-0000-0100-000018000000}" name="opt_focdiscount" dataDxfId="141"/>
    <tableColumn id="26" xr3:uid="{00000000-0010-0000-0100-00001A000000}" name="opt_deliveryaddress" dataDxfId="140"/>
    <tableColumn id="27" xr3:uid="{00000000-0010-0000-0100-00001B000000}" name="opt_origin" dataDxfId="139"/>
    <tableColumn id="28" xr3:uid="{00000000-0010-0000-0100-00001C000000}" name="destination" dataDxfId="138"/>
    <tableColumn id="29" xr3:uid="{00000000-0010-0000-0100-00001D000000}" name="place_of_loading" dataDxfId="137"/>
    <tableColumn id="30" xr3:uid="{00000000-0010-0000-0100-00001E000000}" name="opt_loadingaddress" dataDxfId="1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inventory" displayName="inventory" ref="A1:F257" totalsRowShown="0" headerRowDxfId="133">
  <autoFilter ref="A1:F257" xr:uid="{00000000-0009-0000-0100-000007000000}"/>
  <sortState xmlns:xlrd2="http://schemas.microsoft.com/office/spreadsheetml/2017/richdata2" ref="A2:F256">
    <sortCondition ref="A1:A256"/>
  </sortState>
  <tableColumns count="6">
    <tableColumn id="1" xr3:uid="{00000000-0010-0000-0200-000001000000}" name="SKU" dataDxfId="132"/>
    <tableColumn id="6" xr3:uid="{00000000-0010-0000-0200-000006000000}" name="SKU GEKO" dataDxfId="131"/>
    <tableColumn id="2" xr3:uid="{00000000-0010-0000-0200-000002000000}" name="DESCRIZIONE"/>
    <tableColumn id="3" xr3:uid="{00000000-0010-0000-0200-000003000000}" name="U.M." dataDxfId="130"/>
    <tableColumn id="4" xr3:uid="{00000000-0010-0000-0200-000004000000}" name="ESISTENZA" dataDxfId="129"/>
    <tableColumn id="5" xr3:uid="{00000000-0010-0000-0200-000005000000}" name="COSTO UNITARIO" dataCellStyle="Valut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dgnClasses" displayName="dgnClasses" ref="A1:D4" totalsRowShown="0" headerRowDxfId="128">
  <autoFilter ref="A1:D4" xr:uid="{00000000-0009-0000-0100-000008000000}"/>
  <sortState xmlns:xlrd2="http://schemas.microsoft.com/office/spreadsheetml/2017/richdata2" ref="A2:D4">
    <sortCondition ref="A2:A4"/>
  </sortState>
  <tableColumns count="4">
    <tableColumn id="1" xr3:uid="{00000000-0010-0000-0300-000001000000}" name="riskClassName" dataDxfId="127"/>
    <tableColumn id="2" xr3:uid="{00000000-0010-0000-0300-000002000000}" name="classDesc1" dataDxfId="126"/>
    <tableColumn id="3" xr3:uid="{00000000-0010-0000-0300-000003000000}" name="classDesc2" dataDxfId="125"/>
    <tableColumn id="4" xr3:uid="{00000000-0010-0000-0300-000004000000}" name="classBoxType" dataDxfId="1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giftsets_components" displayName="giftsets_components" ref="A1:H42" totalsRowShown="0" headerRowDxfId="123" dataDxfId="122">
  <autoFilter ref="A1:H42" xr:uid="{00000000-0009-0000-0100-000009000000}"/>
  <sortState xmlns:xlrd2="http://schemas.microsoft.com/office/spreadsheetml/2017/richdata2" ref="A2:H26">
    <sortCondition ref="A1:A26"/>
  </sortState>
  <tableColumns count="8">
    <tableColumn id="1" xr3:uid="{00000000-0010-0000-0400-000001000000}" name="SKU" dataDxfId="121"/>
    <tableColumn id="2" xr3:uid="{00000000-0010-0000-0400-000002000000}" name="DESCRIPTION"/>
    <tableColumn id="3" xr3:uid="{00000000-0010-0000-0400-000003000000}" name="PERF" dataDxfId="120"/>
    <tableColumn id="4" xr3:uid="{00000000-0010-0000-0400-000004000000}" name="DEO" dataDxfId="119"/>
    <tableColumn id="5" xr3:uid="{00000000-0010-0000-0400-000005000000}" name="3RD_ELEM" dataDxfId="118"/>
    <tableColumn id="6" xr3:uid="{00000000-0010-0000-0400-000006000000}" name="BOX" dataDxfId="117"/>
    <tableColumn id="7" xr3:uid="{00000000-0010-0000-0400-000007000000}" name="TRAY" dataDxfId="116"/>
    <tableColumn id="8" xr3:uid="{00000000-0010-0000-0400-000008000000}" name="MASTER_CARTON" dataDxfId="115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orderHistory" displayName="orderHistory" ref="A1:AU128" totalsRowShown="0" headerRowDxfId="114">
  <autoFilter ref="A1:AU128" xr:uid="{00000000-0009-0000-0100-000003000000}"/>
  <sortState xmlns:xlrd2="http://schemas.microsoft.com/office/spreadsheetml/2017/richdata2" ref="A2:AU128">
    <sortCondition descending="1" ref="T1:T128"/>
  </sortState>
  <tableColumns count="47">
    <tableColumn id="1" xr3:uid="{00000000-0010-0000-0500-000001000000}" name="order_no" dataDxfId="113"/>
    <tableColumn id="2" xr3:uid="{00000000-0010-0000-0500-000002000000}" name="order_date" dataDxfId="112"/>
    <tableColumn id="3" xr3:uid="{00000000-0010-0000-0500-000003000000}" name="customer" dataDxfId="111"/>
    <tableColumn id="4" xr3:uid="{00000000-0010-0000-0500-000004000000}" name="currency" dataDxfId="110"/>
    <tableColumn id="5" xr3:uid="{00000000-0010-0000-0500-000005000000}" name="exchange_rate" dataDxfId="109"/>
    <tableColumn id="6" xr3:uid="{00000000-0010-0000-0500-000006000000}" name="carton_no" dataDxfId="108"/>
    <tableColumn id="7" xr3:uid="{00000000-0010-0000-0500-000007000000}" name="incoterms" dataDxfId="107"/>
    <tableColumn id="8" xr3:uid="{00000000-0010-0000-0500-000008000000}" name="pallet_type" dataDxfId="106"/>
    <tableColumn id="9" xr3:uid="{00000000-0010-0000-0500-000009000000}" name="pallet_no" dataDxfId="105"/>
    <tableColumn id="30" xr3:uid="{00000000-0010-0000-0500-00001E000000}" name="max_height" dataDxfId="104"/>
    <tableColumn id="31" xr3:uid="{00000000-0010-0000-0500-00001F000000}" name="place_loading" dataDxfId="103"/>
    <tableColumn id="24" xr3:uid="{00000000-0010-0000-0500-000018000000}" name="net_weight" dataDxfId="102"/>
    <tableColumn id="23" xr3:uid="{00000000-0010-0000-0500-000017000000}" name="gross_weight" dataDxfId="101"/>
    <tableColumn id="10" xr3:uid="{00000000-0010-0000-0500-00000A000000}" name="cbm" dataDxfId="100"/>
    <tableColumn id="11" xr3:uid="{00000000-0010-0000-0500-00000B000000}" name="carrier_name" dataDxfId="99"/>
    <tableColumn id="12" xr3:uid="{00000000-0010-0000-0500-00000C000000}" name="carrier_cost" dataDxfId="98"/>
    <tableColumn id="25" xr3:uid="{00000000-0010-0000-0500-000019000000}" name="other_cost" dataDxfId="97"/>
    <tableColumn id="13" xr3:uid="{00000000-0010-0000-0500-00000D000000}" name="status" dataDxfId="96"/>
    <tableColumn id="14" xr3:uid="{00000000-0010-0000-0500-00000E000000}" name="place_discharge" dataDxfId="95"/>
    <tableColumn id="15" xr3:uid="{00000000-0010-0000-0500-00000F000000}" name="invoice_no" dataDxfId="94"/>
    <tableColumn id="16" xr3:uid="{00000000-0010-0000-0500-000010000000}" name="invoice_date" dataDxfId="93"/>
    <tableColumn id="37" xr3:uid="{00000000-0010-0000-0500-000025000000}" name="order_type" dataDxfId="92"/>
    <tableColumn id="17" xr3:uid="{00000000-0010-0000-0500-000011000000}" name="payment_type" dataDxfId="91"/>
    <tableColumn id="18" xr3:uid="{00000000-0010-0000-0500-000012000000}" name="payment_date" dataDxfId="90"/>
    <tableColumn id="19" xr3:uid="{00000000-0010-0000-0500-000013000000}" name="payed" dataDxfId="89"/>
    <tableColumn id="20" xr3:uid="{00000000-0010-0000-0500-000014000000}" name="cost_of_goods" dataDxfId="88"/>
    <tableColumn id="21" xr3:uid="{00000000-0010-0000-0500-000015000000}" name="inv_amount" dataDxfId="87"/>
    <tableColumn id="22" xr3:uid="{00000000-0010-0000-0500-000016000000}" name="profit" dataDxfId="86"/>
    <tableColumn id="26" xr3:uid="{00000000-0010-0000-0500-00001A000000}" name="labor_hours" dataDxfId="85"/>
    <tableColumn id="27" xr3:uid="{00000000-0010-0000-0500-00001B000000}" name="labor_cost" dataDxfId="84"/>
    <tableColumn id="28" xr3:uid="{00000000-0010-0000-0500-00001C000000}" name="production_no" dataDxfId="83"/>
    <tableColumn id="29" xr3:uid="{00000000-0010-0000-0500-00001D000000}" name="produced" dataDxfId="82"/>
    <tableColumn id="32" xr3:uid="{00000000-0010-0000-0500-000020000000}" name="lock_goods" dataDxfId="81"/>
    <tableColumn id="33" xr3:uid="{00000000-0010-0000-0500-000021000000}" name="destination" dataDxfId="80"/>
    <tableColumn id="34" xr3:uid="{00000000-0010-0000-0500-000022000000}" name="order_notes" dataDxfId="79"/>
    <tableColumn id="35" xr3:uid="{00000000-0010-0000-0500-000023000000}" name="shipping_method" dataDxfId="78"/>
    <tableColumn id="36" xr3:uid="{00000000-0010-0000-0500-000024000000}" name="accountable" dataDxfId="77"/>
    <tableColumn id="38" xr3:uid="{00000000-0010-0000-0500-000026000000}" name="vessel_name" dataDxfId="76"/>
    <tableColumn id="39" xr3:uid="{00000000-0010-0000-0500-000027000000}" name="container_no" dataDxfId="75"/>
    <tableColumn id="40" xr3:uid="{00000000-0010-0000-0500-000028000000}" name="container_type" dataDxfId="74"/>
    <tableColumn id="41" xr3:uid="{00000000-0010-0000-0500-000029000000}" name="seal_no" dataDxfId="73"/>
    <tableColumn id="42" xr3:uid="{00000000-0010-0000-0500-00002A000000}" name="pickup_date" dataDxfId="72"/>
    <tableColumn id="43" xr3:uid="{00000000-0010-0000-0500-00002B000000}" name="shipping_address1" dataDxfId="71"/>
    <tableColumn id="44" xr3:uid="{00000000-0010-0000-0500-00002C000000}" name="shipping_address2" dataDxfId="70"/>
    <tableColumn id="45" xr3:uid="{00000000-0010-0000-0500-00002D000000}" name="shipping_address3" dataDxfId="69"/>
    <tableColumn id="46" xr3:uid="{00000000-0010-0000-0500-00002E000000}" name="shipping_address4" dataDxfId="68"/>
    <tableColumn id="47" xr3:uid="{00000000-0010-0000-0500-00002F000000}" name="custom_docs" dataDxfId="67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salesHistory" displayName="salesHistory" ref="A1:W1512" totalsRowShown="0" headerRowDxfId="66" dataDxfId="65">
  <autoFilter ref="A1:W1512" xr:uid="{00000000-0009-0000-0100-000004000000}"/>
  <sortState xmlns:xlrd2="http://schemas.microsoft.com/office/spreadsheetml/2017/richdata2" ref="A2:W1289">
    <sortCondition descending="1" ref="A1:A1289"/>
  </sortState>
  <tableColumns count="23">
    <tableColumn id="1" xr3:uid="{00000000-0010-0000-0600-000001000000}" name="order_no" dataDxfId="64"/>
    <tableColumn id="4" xr3:uid="{00000000-0010-0000-0600-000004000000}" name="sku" dataDxfId="63"/>
    <tableColumn id="7" xr3:uid="{00000000-0010-0000-0600-000007000000}" name="description" dataDxfId="62"/>
    <tableColumn id="5" xr3:uid="{00000000-0010-0000-0600-000005000000}" name="qty" dataDxfId="61"/>
    <tableColumn id="6" xr3:uid="{00000000-0010-0000-0600-000006000000}" name="price" dataDxfId="60"/>
    <tableColumn id="3" xr3:uid="{00000000-0010-0000-0600-000003000000}" name="disc_qty" dataDxfId="59"/>
    <tableColumn id="8" xr3:uid="{00000000-0010-0000-0600-000008000000}" name="disc_price" dataDxfId="58"/>
    <tableColumn id="11" xr3:uid="{00000000-0010-0000-0600-00000B000000}" name="foc_qty" dataDxfId="57"/>
    <tableColumn id="10" xr3:uid="{00000000-0010-0000-0600-00000A000000}" name="cts" dataDxfId="56"/>
    <tableColumn id="17" xr3:uid="{00000000-0010-0000-0600-000011000000}" name="cts_disc" dataDxfId="55"/>
    <tableColumn id="2" xr3:uid="{00000000-0010-0000-0600-000002000000}" name="cts_foc" dataDxfId="54"/>
    <tableColumn id="9" xr3:uid="{00000000-0010-0000-0600-000009000000}" name="net_weight" dataDxfId="53"/>
    <tableColumn id="12" xr3:uid="{00000000-0010-0000-0600-00000C000000}" name="gross_weight" dataDxfId="52"/>
    <tableColumn id="13" xr3:uid="{00000000-0010-0000-0600-00000D000000}" name="cbm" dataDxfId="51"/>
    <tableColumn id="14" xr3:uid="{00000000-0010-0000-0600-00000E000000}" name="category" dataDxfId="50"/>
    <tableColumn id="15" xr3:uid="{00000000-0010-0000-0600-00000F000000}" name="size" dataDxfId="49"/>
    <tableColumn id="16" xr3:uid="{00000000-0010-0000-0600-000010000000}" name="hs_code" dataDxfId="48"/>
    <tableColumn id="23" xr3:uid="{00000000-0010-0000-0600-000017000000}" name="sku_geko" dataDxfId="47"/>
    <tableColumn id="22" xr3:uid="{00000000-0010-0000-0600-000016000000}" name="qty_to_produce" dataDxfId="46"/>
    <tableColumn id="18" xr3:uid="{00000000-0010-0000-0600-000012000000}" name="cost_price" dataDxfId="45"/>
    <tableColumn id="20" xr3:uid="{00000000-0010-0000-0600-000014000000}" name="cost" dataDxfId="44"/>
    <tableColumn id="21" xr3:uid="{00000000-0010-0000-0600-000015000000}" name="tot_invoice" dataDxfId="43"/>
    <tableColumn id="19" xr3:uid="{00000000-0010-0000-0600-000013000000}" name="order_type" dataDxfId="4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6"/>
  <dimension ref="A1:BL255"/>
  <sheetViews>
    <sheetView zoomScale="90" zoomScaleNormal="90" workbookViewId="0">
      <pane ySplit="1" topLeftCell="A2" activePane="bottomLeft" state="frozen"/>
      <selection activeCell="A232" sqref="A232"/>
      <selection pane="bottomLeft" activeCell="A2" sqref="A2:AJ255"/>
    </sheetView>
  </sheetViews>
  <sheetFormatPr defaultColWidth="9.1796875" defaultRowHeight="14.5" x14ac:dyDescent="0.35"/>
  <cols>
    <col min="1" max="1" width="9.26953125" style="57" bestFit="1" customWidth="1"/>
    <col min="2" max="2" width="18.54296875" style="57" bestFit="1" customWidth="1"/>
    <col min="3" max="3" width="8.453125" style="57" bestFit="1" customWidth="1"/>
    <col min="4" max="4" width="15.81640625" style="57" customWidth="1"/>
    <col min="5" max="5" width="19.7265625" style="242" bestFit="1" customWidth="1"/>
    <col min="6" max="6" width="63.1796875" style="55" bestFit="1" customWidth="1"/>
    <col min="7" max="7" width="8.7265625" style="56" bestFit="1" customWidth="1"/>
    <col min="8" max="13" width="15.453125" style="57" customWidth="1"/>
    <col min="14" max="14" width="16.1796875" style="57" customWidth="1"/>
    <col min="18" max="18" width="13" style="56" bestFit="1" customWidth="1"/>
    <col min="19" max="19" width="15.1796875" style="56" customWidth="1"/>
    <col min="21" max="21" width="19.54296875" style="55" customWidth="1"/>
    <col min="22" max="22" width="12.453125" style="203" customWidth="1"/>
    <col min="23" max="25" width="21.54296875" style="56" customWidth="1"/>
    <col min="26" max="26" width="16.453125" style="56" customWidth="1"/>
    <col min="27" max="27" width="15.81640625" style="56" customWidth="1"/>
    <col min="28" max="32" width="18.1796875" style="55" customWidth="1"/>
    <col min="33" max="33" width="17" customWidth="1"/>
    <col min="34" max="35" width="18.1796875" style="55" customWidth="1"/>
    <col min="36" max="36" width="24.453125" customWidth="1"/>
    <col min="38" max="40" width="18.1796875" style="55" customWidth="1"/>
    <col min="41" max="63" width="9.1796875" style="55"/>
    <col min="65" max="16384" width="9.1796875" style="55"/>
  </cols>
  <sheetData>
    <row r="1" spans="1:64" s="58" customFormat="1" ht="28.5" customHeight="1" x14ac:dyDescent="0.35">
      <c r="A1" s="58" t="s">
        <v>0</v>
      </c>
      <c r="B1" s="58" t="s">
        <v>1</v>
      </c>
      <c r="C1" s="58" t="s">
        <v>2</v>
      </c>
      <c r="D1" s="58" t="s">
        <v>3</v>
      </c>
      <c r="E1" s="246" t="s">
        <v>4</v>
      </c>
      <c r="F1" s="58" t="s">
        <v>5</v>
      </c>
      <c r="G1" s="58" t="s">
        <v>6</v>
      </c>
      <c r="H1" s="58" t="s">
        <v>7</v>
      </c>
      <c r="I1" s="58" t="s">
        <v>873</v>
      </c>
      <c r="J1" s="58" t="s">
        <v>8</v>
      </c>
      <c r="K1" s="58" t="s">
        <v>975</v>
      </c>
      <c r="L1" s="58" t="s">
        <v>10</v>
      </c>
      <c r="M1" s="58" t="s">
        <v>974</v>
      </c>
      <c r="N1" s="58" t="s">
        <v>9</v>
      </c>
      <c r="O1" s="58" t="s">
        <v>1579</v>
      </c>
      <c r="P1" s="58" t="s">
        <v>11</v>
      </c>
      <c r="Q1" s="58" t="s">
        <v>12</v>
      </c>
      <c r="R1" s="58" t="s">
        <v>13</v>
      </c>
      <c r="S1" s="58" t="s">
        <v>14</v>
      </c>
      <c r="T1" s="58" t="s">
        <v>15</v>
      </c>
      <c r="U1" s="58" t="s">
        <v>1059</v>
      </c>
      <c r="V1" s="572" t="s">
        <v>1581</v>
      </c>
      <c r="W1" s="572" t="s">
        <v>1608</v>
      </c>
      <c r="X1" s="572" t="s">
        <v>1609</v>
      </c>
      <c r="Y1" s="574" t="s">
        <v>1578</v>
      </c>
      <c r="Z1" s="58" t="s">
        <v>349</v>
      </c>
      <c r="AA1" s="572" t="s">
        <v>1604</v>
      </c>
      <c r="AB1" s="572" t="s">
        <v>1601</v>
      </c>
      <c r="AC1" s="572" t="s">
        <v>1611</v>
      </c>
      <c r="AD1" s="572" t="s">
        <v>1605</v>
      </c>
      <c r="AE1" s="572" t="s">
        <v>1602</v>
      </c>
      <c r="AF1" s="572" t="s">
        <v>1612</v>
      </c>
      <c r="AG1" s="572" t="s">
        <v>1606</v>
      </c>
      <c r="AH1" s="572" t="s">
        <v>1603</v>
      </c>
      <c r="AI1" s="572" t="s">
        <v>1613</v>
      </c>
      <c r="AJ1" s="572" t="s">
        <v>1607</v>
      </c>
    </row>
    <row r="2" spans="1:64" x14ac:dyDescent="0.35">
      <c r="A2" s="57" t="s">
        <v>54</v>
      </c>
      <c r="B2" s="474" t="s">
        <v>934</v>
      </c>
      <c r="C2" s="474" t="s">
        <v>19</v>
      </c>
      <c r="D2" s="475">
        <v>8718719850084</v>
      </c>
      <c r="E2" s="476" t="s">
        <v>55</v>
      </c>
      <c r="F2" s="477" t="s">
        <v>56</v>
      </c>
      <c r="G2" s="478" t="s">
        <v>57</v>
      </c>
      <c r="H2" s="474">
        <v>24</v>
      </c>
      <c r="I2" s="474">
        <v>72</v>
      </c>
      <c r="J2" s="474">
        <v>88</v>
      </c>
      <c r="L2" s="474">
        <v>8</v>
      </c>
      <c r="N2" s="474">
        <v>9</v>
      </c>
      <c r="O2" s="479">
        <v>385</v>
      </c>
      <c r="P2" s="479">
        <v>250</v>
      </c>
      <c r="Q2" s="479">
        <v>150</v>
      </c>
      <c r="R2" s="478" t="s">
        <v>1589</v>
      </c>
      <c r="S2" s="478" t="s">
        <v>1590</v>
      </c>
      <c r="T2" s="478" t="s">
        <v>22</v>
      </c>
      <c r="U2" s="478" t="s">
        <v>54</v>
      </c>
      <c r="V2" s="571" t="b">
        <v>1</v>
      </c>
      <c r="W2" s="571">
        <v>1</v>
      </c>
      <c r="X2" s="571">
        <v>1</v>
      </c>
      <c r="Y2" s="571" t="s">
        <v>1600</v>
      </c>
      <c r="Z2" s="478">
        <v>50</v>
      </c>
      <c r="AA2" s="571">
        <v>1</v>
      </c>
      <c r="AB2" s="571"/>
      <c r="AC2" s="571"/>
      <c r="AD2" s="571"/>
      <c r="AE2" s="571"/>
      <c r="AF2" s="571"/>
      <c r="AG2" s="571"/>
      <c r="AH2" s="571"/>
      <c r="AI2" s="571"/>
      <c r="AJ2" s="571"/>
      <c r="AK2" s="55"/>
      <c r="BE2"/>
      <c r="BL2" s="55"/>
    </row>
    <row r="3" spans="1:64" x14ac:dyDescent="0.35">
      <c r="A3" s="57" t="s">
        <v>1061</v>
      </c>
      <c r="B3" s="474" t="s">
        <v>934</v>
      </c>
      <c r="C3" s="474" t="s">
        <v>19</v>
      </c>
      <c r="D3" s="475">
        <v>8718719850084</v>
      </c>
      <c r="E3" s="476" t="s">
        <v>55</v>
      </c>
      <c r="F3" s="55" t="s">
        <v>1599</v>
      </c>
      <c r="G3" s="478" t="s">
        <v>57</v>
      </c>
      <c r="H3" s="474">
        <v>64</v>
      </c>
      <c r="O3" s="491">
        <v>370</v>
      </c>
      <c r="P3" s="491">
        <v>370</v>
      </c>
      <c r="Q3" s="491">
        <v>190</v>
      </c>
      <c r="R3" s="56" t="s">
        <v>1597</v>
      </c>
      <c r="S3" s="56" t="s">
        <v>1598</v>
      </c>
      <c r="T3" s="56" t="s">
        <v>342</v>
      </c>
      <c r="U3" s="56" t="s">
        <v>54</v>
      </c>
      <c r="V3" s="571" t="b">
        <v>1</v>
      </c>
      <c r="W3" s="571">
        <v>1</v>
      </c>
      <c r="X3" s="571">
        <v>1</v>
      </c>
      <c r="Y3" s="571" t="s">
        <v>1600</v>
      </c>
      <c r="Z3" s="56">
        <v>50</v>
      </c>
      <c r="AA3" s="571">
        <v>1</v>
      </c>
      <c r="AB3" s="571"/>
      <c r="AC3" s="571"/>
      <c r="AD3" s="571"/>
      <c r="AE3" s="571"/>
      <c r="AF3" s="571"/>
      <c r="AG3" s="571"/>
      <c r="AH3" s="571"/>
      <c r="AI3" s="571"/>
      <c r="AJ3" s="571"/>
      <c r="AK3" s="55"/>
      <c r="BE3"/>
      <c r="BL3" s="55"/>
    </row>
    <row r="4" spans="1:64" x14ac:dyDescent="0.35">
      <c r="A4" s="474" t="s">
        <v>1060</v>
      </c>
      <c r="B4" s="474" t="s">
        <v>934</v>
      </c>
      <c r="C4" s="474" t="s">
        <v>19</v>
      </c>
      <c r="D4" s="475">
        <v>8718719850084</v>
      </c>
      <c r="E4" s="476" t="s">
        <v>55</v>
      </c>
      <c r="F4" s="55" t="s">
        <v>1208</v>
      </c>
      <c r="G4" s="478" t="s">
        <v>57</v>
      </c>
      <c r="H4" s="474">
        <v>64</v>
      </c>
      <c r="O4" s="491">
        <v>370</v>
      </c>
      <c r="P4" s="491">
        <v>370</v>
      </c>
      <c r="Q4" s="491">
        <v>190</v>
      </c>
      <c r="R4" s="56" t="s">
        <v>1597</v>
      </c>
      <c r="S4" s="56" t="s">
        <v>1598</v>
      </c>
      <c r="T4" s="56" t="s">
        <v>22</v>
      </c>
      <c r="U4" s="56" t="s">
        <v>54</v>
      </c>
      <c r="V4" s="571" t="b">
        <v>1</v>
      </c>
      <c r="W4" s="571">
        <v>1</v>
      </c>
      <c r="X4" s="571">
        <v>1</v>
      </c>
      <c r="Y4" s="571" t="s">
        <v>1600</v>
      </c>
      <c r="Z4" s="56">
        <v>50</v>
      </c>
      <c r="AA4" s="571">
        <v>1</v>
      </c>
      <c r="AB4" s="571"/>
      <c r="AC4" s="571"/>
      <c r="AD4" s="571"/>
      <c r="AE4" s="571"/>
      <c r="AF4" s="571"/>
      <c r="AG4" s="571"/>
      <c r="AH4" s="571"/>
      <c r="AI4" s="571"/>
      <c r="AJ4" s="571"/>
      <c r="AK4" s="55"/>
      <c r="BE4"/>
      <c r="BL4" s="55"/>
    </row>
    <row r="5" spans="1:64" x14ac:dyDescent="0.35">
      <c r="A5" s="474" t="s">
        <v>58</v>
      </c>
      <c r="B5" s="474" t="s">
        <v>934</v>
      </c>
      <c r="C5" s="474" t="s">
        <v>19</v>
      </c>
      <c r="D5" s="475">
        <v>8718719850091</v>
      </c>
      <c r="E5" s="476" t="s">
        <v>55</v>
      </c>
      <c r="F5" s="477" t="s">
        <v>59</v>
      </c>
      <c r="G5" s="478" t="s">
        <v>57</v>
      </c>
      <c r="H5" s="474">
        <v>24</v>
      </c>
      <c r="I5" s="474">
        <v>72</v>
      </c>
      <c r="J5" s="474">
        <v>88</v>
      </c>
      <c r="L5" s="474">
        <v>8</v>
      </c>
      <c r="N5" s="474">
        <v>9</v>
      </c>
      <c r="O5" s="479">
        <v>385</v>
      </c>
      <c r="P5" s="479">
        <v>250</v>
      </c>
      <c r="Q5" s="479">
        <v>150</v>
      </c>
      <c r="R5" s="478">
        <v>4.8</v>
      </c>
      <c r="S5" s="478">
        <v>5.2</v>
      </c>
      <c r="T5" s="478" t="s">
        <v>22</v>
      </c>
      <c r="U5" s="478" t="s">
        <v>58</v>
      </c>
      <c r="V5" s="571" t="b">
        <v>1</v>
      </c>
      <c r="W5" s="571">
        <v>1</v>
      </c>
      <c r="X5" s="571">
        <v>1</v>
      </c>
      <c r="Y5" s="571" t="s">
        <v>1600</v>
      </c>
      <c r="Z5" s="478">
        <v>50</v>
      </c>
      <c r="AA5" s="571">
        <v>1</v>
      </c>
      <c r="AB5" s="571"/>
      <c r="AC5" s="571"/>
      <c r="AD5" s="571"/>
      <c r="AE5" s="571"/>
      <c r="AF5" s="571"/>
      <c r="AG5" s="571"/>
      <c r="AH5" s="571"/>
      <c r="AI5" s="571"/>
      <c r="AJ5" s="571"/>
      <c r="AK5" s="55"/>
      <c r="BE5"/>
      <c r="BL5" s="55"/>
    </row>
    <row r="6" spans="1:64" x14ac:dyDescent="0.35">
      <c r="A6" s="57" t="s">
        <v>1201</v>
      </c>
      <c r="B6" s="474" t="s">
        <v>934</v>
      </c>
      <c r="C6" s="474" t="s">
        <v>19</v>
      </c>
      <c r="D6" s="475">
        <v>8718719850084</v>
      </c>
      <c r="E6" s="476" t="s">
        <v>55</v>
      </c>
      <c r="F6" s="55" t="s">
        <v>1209</v>
      </c>
      <c r="G6" s="478" t="s">
        <v>57</v>
      </c>
      <c r="H6" s="474">
        <v>64</v>
      </c>
      <c r="O6" s="491">
        <v>370</v>
      </c>
      <c r="P6" s="491">
        <v>370</v>
      </c>
      <c r="Q6" s="491">
        <v>190</v>
      </c>
      <c r="R6" s="56">
        <v>11.53</v>
      </c>
      <c r="S6" s="56">
        <v>12.1</v>
      </c>
      <c r="T6" s="56" t="s">
        <v>22</v>
      </c>
      <c r="U6" s="56" t="s">
        <v>54</v>
      </c>
      <c r="V6" s="571" t="b">
        <v>1</v>
      </c>
      <c r="W6" s="571">
        <v>1</v>
      </c>
      <c r="X6" s="571">
        <v>1</v>
      </c>
      <c r="Y6" s="571" t="s">
        <v>1600</v>
      </c>
      <c r="Z6" s="56">
        <v>50</v>
      </c>
      <c r="AA6" s="571">
        <v>1</v>
      </c>
      <c r="AB6" s="571"/>
      <c r="AC6" s="571"/>
      <c r="AD6" s="571"/>
      <c r="AE6" s="571"/>
      <c r="AF6" s="571"/>
      <c r="AG6" s="571"/>
      <c r="AH6" s="571"/>
      <c r="AI6" s="571"/>
      <c r="AJ6" s="571"/>
      <c r="AK6" s="55"/>
      <c r="BE6"/>
      <c r="BL6" s="55"/>
    </row>
    <row r="7" spans="1:64" x14ac:dyDescent="0.35">
      <c r="A7" s="474" t="s">
        <v>60</v>
      </c>
      <c r="B7" s="474" t="s">
        <v>934</v>
      </c>
      <c r="C7" s="474" t="s">
        <v>19</v>
      </c>
      <c r="D7" s="475">
        <v>8718719850107</v>
      </c>
      <c r="E7" s="476" t="s">
        <v>55</v>
      </c>
      <c r="F7" s="477" t="s">
        <v>61</v>
      </c>
      <c r="G7" s="478" t="s">
        <v>57</v>
      </c>
      <c r="H7" s="474">
        <v>24</v>
      </c>
      <c r="I7" s="474">
        <v>72</v>
      </c>
      <c r="J7" s="474">
        <v>88</v>
      </c>
      <c r="L7" s="474">
        <v>8</v>
      </c>
      <c r="N7" s="474">
        <v>9</v>
      </c>
      <c r="O7" s="479">
        <v>385</v>
      </c>
      <c r="P7" s="479">
        <v>250</v>
      </c>
      <c r="Q7" s="479">
        <v>150</v>
      </c>
      <c r="R7" s="478">
        <v>4.8</v>
      </c>
      <c r="S7" s="478">
        <v>5.2</v>
      </c>
      <c r="T7" s="478" t="s">
        <v>22</v>
      </c>
      <c r="U7" s="478" t="s">
        <v>60</v>
      </c>
      <c r="V7" s="571" t="b">
        <v>1</v>
      </c>
      <c r="W7" s="571">
        <v>1</v>
      </c>
      <c r="X7" s="571">
        <v>1</v>
      </c>
      <c r="Y7" s="571" t="s">
        <v>1600</v>
      </c>
      <c r="Z7" s="478">
        <v>50</v>
      </c>
      <c r="AA7" s="571">
        <v>1</v>
      </c>
      <c r="AB7" s="571"/>
      <c r="AC7" s="571"/>
      <c r="AD7" s="571"/>
      <c r="AE7" s="571"/>
      <c r="AF7" s="571"/>
      <c r="AG7" s="571"/>
      <c r="AH7" s="571"/>
      <c r="AI7" s="571"/>
      <c r="AJ7" s="571"/>
      <c r="AK7" s="55"/>
      <c r="BE7"/>
      <c r="BL7" s="55"/>
    </row>
    <row r="8" spans="1:64" x14ac:dyDescent="0.35">
      <c r="A8" s="57" t="s">
        <v>1202</v>
      </c>
      <c r="B8" s="474" t="s">
        <v>934</v>
      </c>
      <c r="C8" s="474" t="s">
        <v>19</v>
      </c>
      <c r="D8" s="475">
        <v>8718719850084</v>
      </c>
      <c r="E8" s="476" t="s">
        <v>55</v>
      </c>
      <c r="F8" s="55" t="s">
        <v>1210</v>
      </c>
      <c r="G8" s="478" t="s">
        <v>57</v>
      </c>
      <c r="H8" s="474">
        <v>64</v>
      </c>
      <c r="O8" s="491">
        <v>370</v>
      </c>
      <c r="P8" s="491">
        <v>370</v>
      </c>
      <c r="Q8" s="491">
        <v>190</v>
      </c>
      <c r="R8" s="56">
        <v>11.53</v>
      </c>
      <c r="S8" s="56">
        <v>12.1</v>
      </c>
      <c r="T8" s="56" t="s">
        <v>22</v>
      </c>
      <c r="U8" s="56" t="s">
        <v>54</v>
      </c>
      <c r="V8" s="571" t="b">
        <v>1</v>
      </c>
      <c r="W8" s="571">
        <v>1</v>
      </c>
      <c r="X8" s="571">
        <v>1</v>
      </c>
      <c r="Y8" s="571" t="s">
        <v>1600</v>
      </c>
      <c r="Z8" s="56">
        <v>50</v>
      </c>
      <c r="AA8" s="571">
        <v>1</v>
      </c>
      <c r="AB8" s="571"/>
      <c r="AC8" s="571"/>
      <c r="AD8" s="571"/>
      <c r="AE8" s="571"/>
      <c r="AF8" s="571"/>
      <c r="AG8" s="571"/>
      <c r="AH8" s="571"/>
      <c r="AI8" s="571"/>
      <c r="AJ8" s="571"/>
      <c r="AK8" s="55"/>
      <c r="BE8"/>
      <c r="BL8" s="55"/>
    </row>
    <row r="9" spans="1:64" x14ac:dyDescent="0.35">
      <c r="A9" s="474" t="s">
        <v>62</v>
      </c>
      <c r="B9" s="474" t="s">
        <v>934</v>
      </c>
      <c r="C9" s="474" t="s">
        <v>19</v>
      </c>
      <c r="D9" s="475">
        <v>8718719850114</v>
      </c>
      <c r="E9" s="476" t="s">
        <v>55</v>
      </c>
      <c r="F9" s="477" t="s">
        <v>63</v>
      </c>
      <c r="G9" s="478" t="s">
        <v>57</v>
      </c>
      <c r="H9" s="474">
        <v>24</v>
      </c>
      <c r="I9" s="474">
        <v>72</v>
      </c>
      <c r="J9" s="474">
        <v>88</v>
      </c>
      <c r="L9" s="474">
        <v>8</v>
      </c>
      <c r="N9" s="474">
        <v>9</v>
      </c>
      <c r="O9" s="479">
        <v>385</v>
      </c>
      <c r="P9" s="479">
        <v>250</v>
      </c>
      <c r="Q9" s="479">
        <v>150</v>
      </c>
      <c r="R9" s="478">
        <v>4.8</v>
      </c>
      <c r="S9" s="478">
        <v>5.2</v>
      </c>
      <c r="T9" s="478" t="s">
        <v>22</v>
      </c>
      <c r="U9" s="478" t="s">
        <v>62</v>
      </c>
      <c r="V9" s="571" t="b">
        <v>1</v>
      </c>
      <c r="W9" s="571">
        <v>1</v>
      </c>
      <c r="X9" s="571">
        <v>1</v>
      </c>
      <c r="Y9" s="571" t="s">
        <v>1600</v>
      </c>
      <c r="Z9" s="478">
        <v>50</v>
      </c>
      <c r="AA9" s="571">
        <v>1</v>
      </c>
      <c r="AB9" s="571"/>
      <c r="AC9" s="571"/>
      <c r="AD9" s="571"/>
      <c r="AE9" s="571"/>
      <c r="AF9" s="571"/>
      <c r="AG9" s="571"/>
      <c r="AH9" s="571"/>
      <c r="AI9" s="571"/>
      <c r="AJ9" s="571"/>
      <c r="AK9" s="55"/>
      <c r="BE9"/>
      <c r="BL9" s="55"/>
    </row>
    <row r="10" spans="1:64" x14ac:dyDescent="0.35">
      <c r="A10" s="57" t="s">
        <v>1203</v>
      </c>
      <c r="B10" s="474" t="s">
        <v>934</v>
      </c>
      <c r="C10" s="474" t="s">
        <v>19</v>
      </c>
      <c r="D10" s="475">
        <v>8718719850084</v>
      </c>
      <c r="E10" s="476" t="s">
        <v>55</v>
      </c>
      <c r="F10" s="55" t="s">
        <v>1211</v>
      </c>
      <c r="G10" s="478" t="s">
        <v>57</v>
      </c>
      <c r="H10" s="474">
        <v>64</v>
      </c>
      <c r="O10" s="491">
        <v>370</v>
      </c>
      <c r="P10" s="491">
        <v>370</v>
      </c>
      <c r="Q10" s="491">
        <v>190</v>
      </c>
      <c r="R10" s="56">
        <v>11.53</v>
      </c>
      <c r="S10" s="56">
        <v>12.1</v>
      </c>
      <c r="T10" s="56" t="s">
        <v>22</v>
      </c>
      <c r="U10" s="56" t="s">
        <v>54</v>
      </c>
      <c r="V10" s="571" t="b">
        <v>1</v>
      </c>
      <c r="W10" s="571">
        <v>1</v>
      </c>
      <c r="X10" s="571">
        <v>1</v>
      </c>
      <c r="Y10" s="571" t="s">
        <v>1600</v>
      </c>
      <c r="Z10" s="56">
        <v>50</v>
      </c>
      <c r="AA10" s="571">
        <v>1</v>
      </c>
      <c r="AB10" s="571"/>
      <c r="AC10" s="571"/>
      <c r="AD10" s="571"/>
      <c r="AE10" s="571"/>
      <c r="AF10" s="571"/>
      <c r="AG10" s="571"/>
      <c r="AH10" s="571"/>
      <c r="AI10" s="571"/>
      <c r="AJ10" s="571"/>
      <c r="AK10" s="55"/>
      <c r="BE10"/>
      <c r="BL10" s="55"/>
    </row>
    <row r="11" spans="1:64" x14ac:dyDescent="0.35">
      <c r="A11" s="474" t="s">
        <v>64</v>
      </c>
      <c r="B11" s="474" t="s">
        <v>934</v>
      </c>
      <c r="C11" s="474" t="s">
        <v>30</v>
      </c>
      <c r="D11" s="475">
        <v>8718719850282</v>
      </c>
      <c r="E11" s="476" t="s">
        <v>55</v>
      </c>
      <c r="F11" s="477" t="s">
        <v>65</v>
      </c>
      <c r="G11" s="478" t="s">
        <v>57</v>
      </c>
      <c r="H11" s="474">
        <v>24</v>
      </c>
      <c r="I11" s="474">
        <v>72</v>
      </c>
      <c r="J11" s="474">
        <v>88</v>
      </c>
      <c r="L11" s="474">
        <v>8</v>
      </c>
      <c r="N11" s="474">
        <v>9</v>
      </c>
      <c r="O11" s="479">
        <v>377</v>
      </c>
      <c r="P11" s="479">
        <v>300</v>
      </c>
      <c r="Q11" s="479">
        <v>163</v>
      </c>
      <c r="R11" s="478">
        <v>4.68</v>
      </c>
      <c r="S11" s="478">
        <v>5.08</v>
      </c>
      <c r="T11" s="478" t="s">
        <v>22</v>
      </c>
      <c r="U11" s="478" t="s">
        <v>64</v>
      </c>
      <c r="V11" s="571" t="b">
        <v>1</v>
      </c>
      <c r="W11" s="571">
        <v>1</v>
      </c>
      <c r="X11" s="571">
        <v>1</v>
      </c>
      <c r="Y11" s="571" t="s">
        <v>1600</v>
      </c>
      <c r="Z11" s="478">
        <v>50</v>
      </c>
      <c r="AA11" s="571">
        <v>1</v>
      </c>
      <c r="AB11" s="571"/>
      <c r="AC11" s="571"/>
      <c r="AD11" s="571"/>
      <c r="AE11" s="571"/>
      <c r="AF11" s="571"/>
      <c r="AG11" s="571"/>
      <c r="AH11" s="571"/>
      <c r="AI11" s="571"/>
      <c r="AJ11" s="571"/>
      <c r="AK11" s="55"/>
      <c r="BE11"/>
      <c r="BL11" s="55"/>
    </row>
    <row r="12" spans="1:64" x14ac:dyDescent="0.35">
      <c r="A12" s="57" t="s">
        <v>1204</v>
      </c>
      <c r="B12" s="474" t="s">
        <v>934</v>
      </c>
      <c r="C12" s="474" t="s">
        <v>30</v>
      </c>
      <c r="D12" s="475">
        <v>8718719850084</v>
      </c>
      <c r="E12" s="476" t="s">
        <v>55</v>
      </c>
      <c r="F12" s="55" t="s">
        <v>1212</v>
      </c>
      <c r="G12" s="478" t="s">
        <v>57</v>
      </c>
      <c r="H12" s="474">
        <v>64</v>
      </c>
      <c r="O12" s="491">
        <v>370</v>
      </c>
      <c r="P12" s="491">
        <v>370</v>
      </c>
      <c r="Q12" s="491">
        <v>190</v>
      </c>
      <c r="R12" s="56">
        <v>11.53</v>
      </c>
      <c r="S12" s="56">
        <v>12.1</v>
      </c>
      <c r="T12" s="56" t="s">
        <v>22</v>
      </c>
      <c r="U12" s="56" t="s">
        <v>54</v>
      </c>
      <c r="V12" s="571" t="b">
        <v>1</v>
      </c>
      <c r="W12" s="571">
        <v>1</v>
      </c>
      <c r="X12" s="571">
        <v>1</v>
      </c>
      <c r="Y12" s="571" t="s">
        <v>1600</v>
      </c>
      <c r="Z12" s="56">
        <v>50</v>
      </c>
      <c r="AA12" s="571">
        <v>1</v>
      </c>
      <c r="AB12" s="571"/>
      <c r="AC12" s="571"/>
      <c r="AD12" s="571"/>
      <c r="AE12" s="571"/>
      <c r="AF12" s="571"/>
      <c r="AG12" s="571"/>
      <c r="AH12" s="571"/>
      <c r="AI12" s="571"/>
      <c r="AJ12" s="571"/>
      <c r="AK12" s="55"/>
      <c r="BE12"/>
      <c r="BL12" s="55"/>
    </row>
    <row r="13" spans="1:64" x14ac:dyDescent="0.35">
      <c r="A13" s="474" t="s">
        <v>66</v>
      </c>
      <c r="B13" s="474" t="s">
        <v>934</v>
      </c>
      <c r="C13" s="474" t="s">
        <v>30</v>
      </c>
      <c r="D13" s="475">
        <v>8718719850299</v>
      </c>
      <c r="E13" s="476" t="s">
        <v>55</v>
      </c>
      <c r="F13" s="477" t="s">
        <v>67</v>
      </c>
      <c r="G13" s="478" t="s">
        <v>57</v>
      </c>
      <c r="H13" s="474">
        <v>24</v>
      </c>
      <c r="I13" s="474">
        <v>72</v>
      </c>
      <c r="J13" s="474">
        <v>88</v>
      </c>
      <c r="L13" s="474">
        <v>8</v>
      </c>
      <c r="N13" s="474">
        <v>9</v>
      </c>
      <c r="O13" s="479">
        <v>377</v>
      </c>
      <c r="P13" s="479">
        <v>300</v>
      </c>
      <c r="Q13" s="479">
        <v>163</v>
      </c>
      <c r="R13" s="478">
        <v>4.68</v>
      </c>
      <c r="S13" s="478">
        <v>5.08</v>
      </c>
      <c r="T13" s="478" t="s">
        <v>22</v>
      </c>
      <c r="U13" s="478" t="s">
        <v>66</v>
      </c>
      <c r="V13" s="571" t="b">
        <v>1</v>
      </c>
      <c r="W13" s="571">
        <v>1</v>
      </c>
      <c r="X13" s="571">
        <v>1</v>
      </c>
      <c r="Y13" s="571" t="s">
        <v>1600</v>
      </c>
      <c r="Z13" s="478">
        <v>50</v>
      </c>
      <c r="AA13" s="571">
        <v>1</v>
      </c>
      <c r="AB13" s="571"/>
      <c r="AC13" s="571"/>
      <c r="AD13" s="571"/>
      <c r="AE13" s="571"/>
      <c r="AF13" s="571"/>
      <c r="AG13" s="571"/>
      <c r="AH13" s="571"/>
      <c r="AI13" s="571"/>
      <c r="AJ13" s="571"/>
      <c r="AK13" s="55"/>
      <c r="BE13"/>
      <c r="BL13" s="55"/>
    </row>
    <row r="14" spans="1:64" x14ac:dyDescent="0.35">
      <c r="A14" s="57" t="s">
        <v>1205</v>
      </c>
      <c r="B14" s="474" t="s">
        <v>934</v>
      </c>
      <c r="C14" s="474" t="s">
        <v>30</v>
      </c>
      <c r="D14" s="475">
        <v>8718719850084</v>
      </c>
      <c r="E14" s="476" t="s">
        <v>55</v>
      </c>
      <c r="F14" s="55" t="s">
        <v>1213</v>
      </c>
      <c r="G14" s="478" t="s">
        <v>57</v>
      </c>
      <c r="H14" s="474">
        <v>64</v>
      </c>
      <c r="O14" s="491">
        <v>370</v>
      </c>
      <c r="P14" s="491">
        <v>370</v>
      </c>
      <c r="Q14" s="491">
        <v>190</v>
      </c>
      <c r="R14" s="56">
        <v>11.53</v>
      </c>
      <c r="S14" s="56">
        <v>12.1</v>
      </c>
      <c r="T14" s="56" t="s">
        <v>22</v>
      </c>
      <c r="U14" s="56" t="s">
        <v>54</v>
      </c>
      <c r="V14" s="571" t="b">
        <v>1</v>
      </c>
      <c r="W14" s="571">
        <v>1</v>
      </c>
      <c r="X14" s="571">
        <v>1</v>
      </c>
      <c r="Y14" s="571" t="s">
        <v>1600</v>
      </c>
      <c r="Z14" s="56">
        <v>50</v>
      </c>
      <c r="AA14" s="571">
        <v>1</v>
      </c>
      <c r="AB14" s="571"/>
      <c r="AC14" s="571"/>
      <c r="AD14" s="571"/>
      <c r="AE14" s="571"/>
      <c r="AF14" s="571"/>
      <c r="AG14" s="571"/>
      <c r="AH14" s="571"/>
      <c r="AI14" s="571"/>
      <c r="AJ14" s="571"/>
      <c r="AK14" s="55"/>
      <c r="BE14"/>
      <c r="BL14" s="55"/>
    </row>
    <row r="15" spans="1:64" x14ac:dyDescent="0.35">
      <c r="A15" s="474" t="s">
        <v>68</v>
      </c>
      <c r="B15" s="474" t="s">
        <v>934</v>
      </c>
      <c r="C15" s="474" t="s">
        <v>30</v>
      </c>
      <c r="D15" s="475">
        <v>8718719850305</v>
      </c>
      <c r="E15" s="476" t="s">
        <v>55</v>
      </c>
      <c r="F15" s="477" t="s">
        <v>69</v>
      </c>
      <c r="G15" s="478" t="s">
        <v>57</v>
      </c>
      <c r="H15" s="474">
        <v>24</v>
      </c>
      <c r="I15" s="474">
        <v>72</v>
      </c>
      <c r="J15" s="474">
        <v>88</v>
      </c>
      <c r="L15" s="474">
        <v>8</v>
      </c>
      <c r="N15" s="474">
        <v>9</v>
      </c>
      <c r="O15" s="479">
        <v>377</v>
      </c>
      <c r="P15" s="479">
        <v>300</v>
      </c>
      <c r="Q15" s="479">
        <v>163</v>
      </c>
      <c r="R15" s="478">
        <v>4.68</v>
      </c>
      <c r="S15" s="478">
        <v>5.08</v>
      </c>
      <c r="T15" s="478" t="s">
        <v>22</v>
      </c>
      <c r="U15" s="478" t="s">
        <v>68</v>
      </c>
      <c r="V15" s="571" t="b">
        <v>1</v>
      </c>
      <c r="W15" s="571">
        <v>1</v>
      </c>
      <c r="X15" s="571">
        <v>1</v>
      </c>
      <c r="Y15" s="571" t="s">
        <v>1600</v>
      </c>
      <c r="Z15" s="478">
        <v>50</v>
      </c>
      <c r="AA15" s="571">
        <v>1</v>
      </c>
      <c r="AB15" s="571"/>
      <c r="AC15" s="571"/>
      <c r="AD15" s="571"/>
      <c r="AE15" s="571"/>
      <c r="AF15" s="571"/>
      <c r="AG15" s="571"/>
      <c r="AH15" s="571"/>
      <c r="AI15" s="571"/>
      <c r="AJ15" s="571"/>
      <c r="AK15" s="55"/>
      <c r="BE15"/>
      <c r="BL15" s="55"/>
    </row>
    <row r="16" spans="1:64" x14ac:dyDescent="0.35">
      <c r="A16" s="57" t="s">
        <v>1206</v>
      </c>
      <c r="B16" s="474" t="s">
        <v>934</v>
      </c>
      <c r="C16" s="474" t="s">
        <v>30</v>
      </c>
      <c r="D16" s="475">
        <v>8718719850084</v>
      </c>
      <c r="E16" s="476" t="s">
        <v>55</v>
      </c>
      <c r="F16" s="55" t="s">
        <v>1214</v>
      </c>
      <c r="G16" s="478" t="s">
        <v>57</v>
      </c>
      <c r="H16" s="474">
        <v>64</v>
      </c>
      <c r="O16" s="491">
        <v>370</v>
      </c>
      <c r="P16" s="491">
        <v>370</v>
      </c>
      <c r="Q16" s="491">
        <v>190</v>
      </c>
      <c r="R16" s="56">
        <v>11.53</v>
      </c>
      <c r="S16" s="56">
        <v>12.1</v>
      </c>
      <c r="T16" s="56" t="s">
        <v>22</v>
      </c>
      <c r="U16" s="56" t="s">
        <v>54</v>
      </c>
      <c r="V16" s="571" t="b">
        <v>1</v>
      </c>
      <c r="W16" s="571">
        <v>1</v>
      </c>
      <c r="X16" s="571">
        <v>1</v>
      </c>
      <c r="Y16" s="571" t="s">
        <v>1600</v>
      </c>
      <c r="Z16" s="56">
        <v>50</v>
      </c>
      <c r="AA16" s="571">
        <v>1</v>
      </c>
      <c r="AB16" s="571"/>
      <c r="AC16" s="571"/>
      <c r="AD16" s="571"/>
      <c r="AE16" s="571"/>
      <c r="AF16" s="571"/>
      <c r="AG16" s="571"/>
      <c r="AH16" s="571"/>
      <c r="AI16" s="571"/>
      <c r="AJ16" s="571"/>
      <c r="AK16" s="55"/>
      <c r="BE16"/>
      <c r="BL16" s="55"/>
    </row>
    <row r="17" spans="1:64" x14ac:dyDescent="0.35">
      <c r="A17" s="474" t="s">
        <v>70</v>
      </c>
      <c r="B17" s="474" t="s">
        <v>934</v>
      </c>
      <c r="C17" s="474" t="s">
        <v>30</v>
      </c>
      <c r="D17" s="475">
        <v>8718719850312</v>
      </c>
      <c r="E17" s="476" t="s">
        <v>55</v>
      </c>
      <c r="F17" s="477" t="s">
        <v>71</v>
      </c>
      <c r="G17" s="478" t="s">
        <v>57</v>
      </c>
      <c r="H17" s="474">
        <v>24</v>
      </c>
      <c r="I17" s="474">
        <v>72</v>
      </c>
      <c r="J17" s="474">
        <v>88</v>
      </c>
      <c r="L17" s="474">
        <v>8</v>
      </c>
      <c r="N17" s="474">
        <v>9</v>
      </c>
      <c r="O17" s="479">
        <v>377</v>
      </c>
      <c r="P17" s="479">
        <v>300</v>
      </c>
      <c r="Q17" s="479">
        <v>163</v>
      </c>
      <c r="R17" s="478">
        <v>4.68</v>
      </c>
      <c r="S17" s="478">
        <v>5.08</v>
      </c>
      <c r="T17" s="478" t="s">
        <v>22</v>
      </c>
      <c r="U17" s="478" t="s">
        <v>70</v>
      </c>
      <c r="V17" s="571" t="b">
        <v>1</v>
      </c>
      <c r="W17" s="571">
        <v>1</v>
      </c>
      <c r="X17" s="571">
        <v>1</v>
      </c>
      <c r="Y17" s="571" t="s">
        <v>1600</v>
      </c>
      <c r="Z17" s="478">
        <v>50</v>
      </c>
      <c r="AA17" s="571">
        <v>1</v>
      </c>
      <c r="AB17" s="571"/>
      <c r="AC17" s="571"/>
      <c r="AD17" s="571"/>
      <c r="AE17" s="571"/>
      <c r="AF17" s="571"/>
      <c r="AG17" s="571"/>
      <c r="AH17" s="571"/>
      <c r="AI17" s="571"/>
      <c r="AJ17" s="571"/>
      <c r="AK17" s="55"/>
      <c r="BE17"/>
      <c r="BL17" s="55"/>
    </row>
    <row r="18" spans="1:64" x14ac:dyDescent="0.35">
      <c r="A18" s="57" t="s">
        <v>1207</v>
      </c>
      <c r="B18" s="474" t="s">
        <v>934</v>
      </c>
      <c r="C18" s="474" t="s">
        <v>30</v>
      </c>
      <c r="D18" s="475">
        <v>8718719850084</v>
      </c>
      <c r="E18" s="476" t="s">
        <v>55</v>
      </c>
      <c r="F18" s="55" t="s">
        <v>1215</v>
      </c>
      <c r="G18" s="478" t="s">
        <v>57</v>
      </c>
      <c r="H18" s="474">
        <v>64</v>
      </c>
      <c r="O18" s="491">
        <v>370</v>
      </c>
      <c r="P18" s="491">
        <v>370</v>
      </c>
      <c r="Q18" s="491">
        <v>190</v>
      </c>
      <c r="R18" s="56">
        <v>11.53</v>
      </c>
      <c r="S18" s="56">
        <v>12.1</v>
      </c>
      <c r="T18" s="56" t="s">
        <v>22</v>
      </c>
      <c r="U18" s="56" t="s">
        <v>54</v>
      </c>
      <c r="V18" s="571" t="b">
        <v>1</v>
      </c>
      <c r="W18" s="571">
        <v>1</v>
      </c>
      <c r="X18" s="571">
        <v>1</v>
      </c>
      <c r="Y18" s="571" t="s">
        <v>1600</v>
      </c>
      <c r="Z18" s="56">
        <v>50</v>
      </c>
      <c r="AA18" s="571">
        <v>1</v>
      </c>
      <c r="AB18" s="571"/>
      <c r="AC18" s="571"/>
      <c r="AD18" s="571"/>
      <c r="AE18" s="571"/>
      <c r="AF18" s="571"/>
      <c r="AG18" s="571"/>
      <c r="AH18" s="571"/>
      <c r="AI18" s="571"/>
      <c r="AJ18" s="571"/>
      <c r="AK18" s="55"/>
      <c r="BE18"/>
      <c r="BL18" s="55"/>
    </row>
    <row r="19" spans="1:64" x14ac:dyDescent="0.35">
      <c r="A19" s="474" t="s">
        <v>91</v>
      </c>
      <c r="B19" s="474" t="s">
        <v>934</v>
      </c>
      <c r="C19" s="474" t="s">
        <v>19</v>
      </c>
      <c r="D19" s="475">
        <v>8718719850046</v>
      </c>
      <c r="E19" s="242" t="s">
        <v>55</v>
      </c>
      <c r="F19" s="477" t="s">
        <v>92</v>
      </c>
      <c r="G19" s="478" t="s">
        <v>57</v>
      </c>
      <c r="H19" s="474">
        <v>24</v>
      </c>
      <c r="I19" s="474">
        <v>54</v>
      </c>
      <c r="J19" s="474">
        <v>72</v>
      </c>
      <c r="K19" s="57">
        <v>9</v>
      </c>
      <c r="L19" s="474">
        <v>9</v>
      </c>
      <c r="M19" s="57">
        <v>6</v>
      </c>
      <c r="N19" s="474">
        <v>8</v>
      </c>
      <c r="O19" s="479">
        <v>430</v>
      </c>
      <c r="P19" s="479">
        <v>300</v>
      </c>
      <c r="Q19" s="479">
        <v>174</v>
      </c>
      <c r="R19" s="478">
        <v>7.52</v>
      </c>
      <c r="S19" s="478">
        <v>8.23</v>
      </c>
      <c r="T19" s="478" t="s">
        <v>22</v>
      </c>
      <c r="U19" s="478" t="s">
        <v>91</v>
      </c>
      <c r="V19" s="571" t="b">
        <v>1</v>
      </c>
      <c r="W19" s="571">
        <v>1</v>
      </c>
      <c r="X19" s="571">
        <v>1</v>
      </c>
      <c r="Y19" s="571" t="s">
        <v>1600</v>
      </c>
      <c r="Z19" s="478">
        <v>100</v>
      </c>
      <c r="AA19" s="571">
        <v>1</v>
      </c>
      <c r="AB19" s="571"/>
      <c r="AC19" s="571"/>
      <c r="AD19" s="571"/>
      <c r="AE19" s="571"/>
      <c r="AF19" s="571"/>
      <c r="AG19" s="571"/>
      <c r="AH19" s="571"/>
      <c r="AI19" s="571"/>
      <c r="AJ19" s="571"/>
      <c r="AK19" s="55"/>
      <c r="BE19"/>
      <c r="BL19" s="55"/>
    </row>
    <row r="20" spans="1:64" x14ac:dyDescent="0.35">
      <c r="A20" s="474" t="s">
        <v>93</v>
      </c>
      <c r="B20" s="474" t="s">
        <v>934</v>
      </c>
      <c r="C20" s="474" t="s">
        <v>19</v>
      </c>
      <c r="D20" s="475">
        <v>8718719850053</v>
      </c>
      <c r="E20" s="242" t="s">
        <v>55</v>
      </c>
      <c r="F20" s="477" t="s">
        <v>94</v>
      </c>
      <c r="G20" s="478" t="s">
        <v>57</v>
      </c>
      <c r="H20" s="474">
        <v>24</v>
      </c>
      <c r="I20" s="474">
        <v>54</v>
      </c>
      <c r="J20" s="474">
        <v>72</v>
      </c>
      <c r="K20" s="57">
        <v>9</v>
      </c>
      <c r="L20" s="474">
        <v>9</v>
      </c>
      <c r="M20" s="57">
        <v>6</v>
      </c>
      <c r="N20" s="474">
        <v>8</v>
      </c>
      <c r="O20" s="479">
        <v>430</v>
      </c>
      <c r="P20" s="479">
        <v>300</v>
      </c>
      <c r="Q20" s="479">
        <v>174</v>
      </c>
      <c r="R20" s="478">
        <v>7.52</v>
      </c>
      <c r="S20" s="478">
        <v>8.23</v>
      </c>
      <c r="T20" s="478" t="s">
        <v>22</v>
      </c>
      <c r="U20" s="478" t="s">
        <v>93</v>
      </c>
      <c r="V20" s="571" t="b">
        <v>1</v>
      </c>
      <c r="W20" s="571">
        <v>1</v>
      </c>
      <c r="X20" s="571">
        <v>1</v>
      </c>
      <c r="Y20" s="571" t="s">
        <v>1600</v>
      </c>
      <c r="Z20" s="478">
        <v>100</v>
      </c>
      <c r="AA20" s="571">
        <v>1</v>
      </c>
      <c r="AB20" s="571"/>
      <c r="AC20" s="571"/>
      <c r="AD20" s="571"/>
      <c r="AE20" s="571"/>
      <c r="AF20" s="571"/>
      <c r="AG20" s="571"/>
      <c r="AH20" s="571"/>
      <c r="AI20" s="571"/>
      <c r="AJ20" s="571"/>
      <c r="AK20" s="55"/>
      <c r="BE20"/>
      <c r="BL20" s="55"/>
    </row>
    <row r="21" spans="1:64" x14ac:dyDescent="0.35">
      <c r="A21" s="474" t="s">
        <v>95</v>
      </c>
      <c r="B21" s="474" t="s">
        <v>934</v>
      </c>
      <c r="C21" s="474" t="s">
        <v>19</v>
      </c>
      <c r="D21" s="475">
        <v>8718719850060</v>
      </c>
      <c r="E21" s="476" t="s">
        <v>55</v>
      </c>
      <c r="F21" s="477" t="s">
        <v>96</v>
      </c>
      <c r="G21" s="478" t="s">
        <v>57</v>
      </c>
      <c r="H21" s="474">
        <v>24</v>
      </c>
      <c r="I21" s="474">
        <v>54</v>
      </c>
      <c r="J21" s="474">
        <v>72</v>
      </c>
      <c r="K21" s="57">
        <v>9</v>
      </c>
      <c r="L21" s="474">
        <v>9</v>
      </c>
      <c r="M21" s="57">
        <v>6</v>
      </c>
      <c r="N21" s="474">
        <v>8</v>
      </c>
      <c r="O21" s="479">
        <v>430</v>
      </c>
      <c r="P21" s="479">
        <v>300</v>
      </c>
      <c r="Q21" s="479">
        <v>174</v>
      </c>
      <c r="R21" s="478">
        <v>7.52</v>
      </c>
      <c r="S21" s="478">
        <v>8.23</v>
      </c>
      <c r="T21" s="478" t="s">
        <v>22</v>
      </c>
      <c r="U21" s="478" t="s">
        <v>95</v>
      </c>
      <c r="V21" s="571" t="b">
        <v>1</v>
      </c>
      <c r="W21" s="571">
        <v>1</v>
      </c>
      <c r="X21" s="571">
        <v>1</v>
      </c>
      <c r="Y21" s="571" t="s">
        <v>1600</v>
      </c>
      <c r="Z21" s="478">
        <v>100</v>
      </c>
      <c r="AA21" s="571">
        <v>1</v>
      </c>
      <c r="AB21" s="571"/>
      <c r="AC21" s="571"/>
      <c r="AD21" s="571"/>
      <c r="AE21" s="571"/>
      <c r="AF21" s="571"/>
      <c r="AG21" s="571"/>
      <c r="AH21" s="571"/>
      <c r="AI21" s="571"/>
      <c r="AJ21" s="571"/>
      <c r="AK21" s="55"/>
      <c r="BE21"/>
      <c r="BL21" s="55"/>
    </row>
    <row r="22" spans="1:64" x14ac:dyDescent="0.35">
      <c r="A22" s="474" t="s">
        <v>97</v>
      </c>
      <c r="B22" s="474" t="s">
        <v>934</v>
      </c>
      <c r="C22" s="474" t="s">
        <v>19</v>
      </c>
      <c r="D22" s="475">
        <v>8718719850077</v>
      </c>
      <c r="E22" s="476" t="s">
        <v>55</v>
      </c>
      <c r="F22" s="477" t="s">
        <v>98</v>
      </c>
      <c r="G22" s="478" t="s">
        <v>57</v>
      </c>
      <c r="H22" s="474">
        <v>24</v>
      </c>
      <c r="I22" s="474">
        <v>54</v>
      </c>
      <c r="J22" s="474">
        <v>72</v>
      </c>
      <c r="K22" s="57">
        <v>9</v>
      </c>
      <c r="L22" s="474">
        <v>9</v>
      </c>
      <c r="M22" s="57">
        <v>6</v>
      </c>
      <c r="N22" s="474">
        <v>8</v>
      </c>
      <c r="O22" s="479">
        <v>430</v>
      </c>
      <c r="P22" s="479">
        <v>300</v>
      </c>
      <c r="Q22" s="479">
        <v>174</v>
      </c>
      <c r="R22" s="478">
        <v>7.52</v>
      </c>
      <c r="S22" s="478">
        <v>8.23</v>
      </c>
      <c r="T22" s="478" t="s">
        <v>22</v>
      </c>
      <c r="U22" s="478" t="s">
        <v>97</v>
      </c>
      <c r="V22" s="571" t="b">
        <v>1</v>
      </c>
      <c r="W22" s="571">
        <v>1</v>
      </c>
      <c r="X22" s="571">
        <v>1</v>
      </c>
      <c r="Y22" s="571" t="s">
        <v>1600</v>
      </c>
      <c r="Z22" s="478">
        <v>100</v>
      </c>
      <c r="AA22" s="571">
        <v>1</v>
      </c>
      <c r="AB22" s="571"/>
      <c r="AC22" s="571"/>
      <c r="AD22" s="571"/>
      <c r="AE22" s="571"/>
      <c r="AF22" s="571"/>
      <c r="AG22" s="571"/>
      <c r="AH22" s="571"/>
      <c r="AI22" s="571"/>
      <c r="AJ22" s="571"/>
      <c r="AK22" s="55"/>
      <c r="BE22"/>
      <c r="BL22" s="55"/>
    </row>
    <row r="23" spans="1:64" x14ac:dyDescent="0.35">
      <c r="A23" s="474" t="s">
        <v>99</v>
      </c>
      <c r="B23" s="474" t="s">
        <v>934</v>
      </c>
      <c r="C23" s="474" t="s">
        <v>30</v>
      </c>
      <c r="D23" s="475">
        <v>6291107162713</v>
      </c>
      <c r="E23" s="476" t="s">
        <v>55</v>
      </c>
      <c r="F23" s="477" t="s">
        <v>100</v>
      </c>
      <c r="G23" s="478" t="s">
        <v>57</v>
      </c>
      <c r="H23" s="474">
        <v>24</v>
      </c>
      <c r="I23" s="474">
        <v>48</v>
      </c>
      <c r="J23" s="474">
        <v>64</v>
      </c>
      <c r="K23" s="57">
        <v>8</v>
      </c>
      <c r="L23" s="474">
        <v>8</v>
      </c>
      <c r="M23" s="57">
        <v>6</v>
      </c>
      <c r="N23" s="474">
        <v>8</v>
      </c>
      <c r="O23" s="479">
        <v>430</v>
      </c>
      <c r="P23" s="479">
        <v>300</v>
      </c>
      <c r="Q23" s="479">
        <v>195</v>
      </c>
      <c r="R23" s="478">
        <v>6.87</v>
      </c>
      <c r="S23" s="478">
        <v>7.56</v>
      </c>
      <c r="T23" s="478" t="s">
        <v>22</v>
      </c>
      <c r="U23" s="478" t="s">
        <v>99</v>
      </c>
      <c r="V23" s="571" t="b">
        <v>1</v>
      </c>
      <c r="W23" s="571">
        <v>1</v>
      </c>
      <c r="X23" s="571">
        <v>1</v>
      </c>
      <c r="Y23" s="571" t="s">
        <v>1600</v>
      </c>
      <c r="Z23" s="478">
        <v>100</v>
      </c>
      <c r="AA23" s="571">
        <v>1</v>
      </c>
      <c r="AB23" s="571"/>
      <c r="AC23" s="571"/>
      <c r="AD23" s="571"/>
      <c r="AE23" s="571"/>
      <c r="AF23" s="571"/>
      <c r="AG23" s="571"/>
      <c r="AH23" s="571"/>
      <c r="AI23" s="571"/>
      <c r="AJ23" s="571"/>
      <c r="AK23" s="55"/>
      <c r="BE23"/>
      <c r="BL23" s="55"/>
    </row>
    <row r="24" spans="1:64" x14ac:dyDescent="0.35">
      <c r="A24" s="474" t="s">
        <v>101</v>
      </c>
      <c r="B24" s="474" t="s">
        <v>934</v>
      </c>
      <c r="C24" s="474" t="s">
        <v>30</v>
      </c>
      <c r="D24" s="475">
        <v>6291107162720</v>
      </c>
      <c r="E24" s="476" t="s">
        <v>55</v>
      </c>
      <c r="F24" s="477" t="s">
        <v>102</v>
      </c>
      <c r="G24" s="478" t="s">
        <v>57</v>
      </c>
      <c r="H24" s="474">
        <v>24</v>
      </c>
      <c r="I24" s="474">
        <v>48</v>
      </c>
      <c r="J24" s="474">
        <v>64</v>
      </c>
      <c r="K24" s="57">
        <v>8</v>
      </c>
      <c r="L24" s="474">
        <v>8</v>
      </c>
      <c r="M24" s="57">
        <v>6</v>
      </c>
      <c r="N24" s="474">
        <v>8</v>
      </c>
      <c r="O24" s="479">
        <v>430</v>
      </c>
      <c r="P24" s="479">
        <v>300</v>
      </c>
      <c r="Q24" s="479">
        <v>195</v>
      </c>
      <c r="R24" s="478">
        <v>6.87</v>
      </c>
      <c r="S24" s="478">
        <v>7.56</v>
      </c>
      <c r="T24" s="478" t="s">
        <v>22</v>
      </c>
      <c r="U24" s="478" t="s">
        <v>101</v>
      </c>
      <c r="V24" s="571" t="b">
        <v>1</v>
      </c>
      <c r="W24" s="571">
        <v>1</v>
      </c>
      <c r="X24" s="571">
        <v>1</v>
      </c>
      <c r="Y24" s="571" t="s">
        <v>1600</v>
      </c>
      <c r="Z24" s="478">
        <v>100</v>
      </c>
      <c r="AA24" s="571">
        <v>1</v>
      </c>
      <c r="AB24" s="571"/>
      <c r="AC24" s="571"/>
      <c r="AD24" s="571"/>
      <c r="AE24" s="571"/>
      <c r="AF24" s="571"/>
      <c r="AG24" s="571"/>
      <c r="AH24" s="571"/>
      <c r="AI24" s="571"/>
      <c r="AJ24" s="571"/>
      <c r="AK24" s="55"/>
      <c r="BE24"/>
      <c r="BL24" s="55"/>
    </row>
    <row r="25" spans="1:64" x14ac:dyDescent="0.35">
      <c r="A25" s="474" t="s">
        <v>103</v>
      </c>
      <c r="B25" s="474" t="s">
        <v>934</v>
      </c>
      <c r="C25" s="474" t="s">
        <v>30</v>
      </c>
      <c r="D25" s="475">
        <v>6291107162737</v>
      </c>
      <c r="E25" s="476" t="s">
        <v>55</v>
      </c>
      <c r="F25" s="477" t="s">
        <v>104</v>
      </c>
      <c r="G25" s="478" t="s">
        <v>57</v>
      </c>
      <c r="H25" s="474">
        <v>24</v>
      </c>
      <c r="I25" s="474">
        <v>48</v>
      </c>
      <c r="J25" s="474">
        <v>64</v>
      </c>
      <c r="K25" s="57">
        <v>8</v>
      </c>
      <c r="L25" s="474">
        <v>8</v>
      </c>
      <c r="M25" s="57">
        <v>6</v>
      </c>
      <c r="N25" s="474">
        <v>8</v>
      </c>
      <c r="O25" s="479">
        <v>430</v>
      </c>
      <c r="P25" s="479">
        <v>300</v>
      </c>
      <c r="Q25" s="479">
        <v>195</v>
      </c>
      <c r="R25" s="478">
        <v>6.87</v>
      </c>
      <c r="S25" s="478">
        <v>7.56</v>
      </c>
      <c r="T25" s="478" t="s">
        <v>22</v>
      </c>
      <c r="U25" s="478" t="s">
        <v>103</v>
      </c>
      <c r="V25" s="571" t="b">
        <v>1</v>
      </c>
      <c r="W25" s="571">
        <v>1</v>
      </c>
      <c r="X25" s="571">
        <v>1</v>
      </c>
      <c r="Y25" s="571" t="s">
        <v>1600</v>
      </c>
      <c r="Z25" s="478">
        <v>100</v>
      </c>
      <c r="AA25" s="571">
        <v>1</v>
      </c>
      <c r="AB25" s="571"/>
      <c r="AC25" s="571"/>
      <c r="AD25" s="571"/>
      <c r="AE25" s="571"/>
      <c r="AF25" s="571"/>
      <c r="AG25" s="571"/>
      <c r="AH25" s="571"/>
      <c r="AI25" s="571"/>
      <c r="AJ25" s="571"/>
      <c r="AK25" s="55"/>
      <c r="BE25"/>
      <c r="BL25" s="55"/>
    </row>
    <row r="26" spans="1:64" x14ac:dyDescent="0.35">
      <c r="A26" s="474" t="s">
        <v>105</v>
      </c>
      <c r="B26" s="474" t="s">
        <v>934</v>
      </c>
      <c r="C26" s="474" t="s">
        <v>30</v>
      </c>
      <c r="D26" s="475">
        <v>6291107162744</v>
      </c>
      <c r="E26" s="476" t="s">
        <v>55</v>
      </c>
      <c r="F26" s="477" t="s">
        <v>106</v>
      </c>
      <c r="G26" s="478" t="s">
        <v>57</v>
      </c>
      <c r="H26" s="474">
        <v>24</v>
      </c>
      <c r="I26" s="474">
        <v>48</v>
      </c>
      <c r="J26" s="474">
        <v>64</v>
      </c>
      <c r="K26" s="57">
        <v>8</v>
      </c>
      <c r="L26" s="474">
        <v>8</v>
      </c>
      <c r="M26" s="57">
        <v>6</v>
      </c>
      <c r="N26" s="474">
        <v>8</v>
      </c>
      <c r="O26" s="479">
        <v>430</v>
      </c>
      <c r="P26" s="479">
        <v>300</v>
      </c>
      <c r="Q26" s="479">
        <v>195</v>
      </c>
      <c r="R26" s="478">
        <v>6.87</v>
      </c>
      <c r="S26" s="478">
        <v>7.56</v>
      </c>
      <c r="T26" s="478" t="s">
        <v>22</v>
      </c>
      <c r="U26" s="478" t="s">
        <v>105</v>
      </c>
      <c r="V26" s="571" t="b">
        <v>1</v>
      </c>
      <c r="W26" s="571">
        <v>1</v>
      </c>
      <c r="X26" s="571">
        <v>1</v>
      </c>
      <c r="Y26" s="571" t="s">
        <v>1600</v>
      </c>
      <c r="Z26" s="478">
        <v>100</v>
      </c>
      <c r="AA26" s="571">
        <v>1</v>
      </c>
      <c r="AB26" s="571"/>
      <c r="AC26" s="571"/>
      <c r="AD26" s="571"/>
      <c r="AE26" s="571"/>
      <c r="AF26" s="571"/>
      <c r="AG26" s="571"/>
      <c r="AH26" s="571"/>
      <c r="AI26" s="571"/>
      <c r="AJ26" s="571"/>
      <c r="AK26" s="55"/>
      <c r="BE26"/>
      <c r="BL26" s="55"/>
    </row>
    <row r="27" spans="1:64" x14ac:dyDescent="0.35">
      <c r="A27" s="474" t="s">
        <v>107</v>
      </c>
      <c r="B27" s="474" t="s">
        <v>108</v>
      </c>
      <c r="C27" s="474" t="s">
        <v>19</v>
      </c>
      <c r="D27" s="475">
        <v>6291107160771</v>
      </c>
      <c r="E27" s="476" t="s">
        <v>55</v>
      </c>
      <c r="F27" s="477" t="s">
        <v>109</v>
      </c>
      <c r="G27" s="478" t="s">
        <v>57</v>
      </c>
      <c r="H27" s="474">
        <v>24</v>
      </c>
      <c r="I27" s="474">
        <v>48</v>
      </c>
      <c r="J27" s="474">
        <v>60</v>
      </c>
      <c r="L27" s="474">
        <v>6</v>
      </c>
      <c r="N27" s="474">
        <v>8</v>
      </c>
      <c r="O27" s="479">
        <v>370</v>
      </c>
      <c r="P27" s="479">
        <v>275</v>
      </c>
      <c r="Q27" s="479">
        <v>170</v>
      </c>
      <c r="R27" s="478">
        <v>9.48</v>
      </c>
      <c r="S27" s="478">
        <v>9.9</v>
      </c>
      <c r="T27" s="478" t="s">
        <v>22</v>
      </c>
      <c r="U27" s="478" t="s">
        <v>107</v>
      </c>
      <c r="V27" s="571" t="b">
        <v>1</v>
      </c>
      <c r="W27" s="571">
        <v>1</v>
      </c>
      <c r="X27" s="571">
        <v>1</v>
      </c>
      <c r="Y27" s="571" t="s">
        <v>1600</v>
      </c>
      <c r="Z27" s="478">
        <v>100</v>
      </c>
      <c r="AA27" s="571">
        <v>1</v>
      </c>
      <c r="AB27" s="571"/>
      <c r="AC27" s="571"/>
      <c r="AD27" s="571"/>
      <c r="AE27" s="571"/>
      <c r="AF27" s="571"/>
      <c r="AG27" s="571"/>
      <c r="AH27" s="571"/>
      <c r="AI27" s="571"/>
      <c r="AJ27" s="571"/>
      <c r="AK27" s="55"/>
      <c r="BE27"/>
      <c r="BL27" s="55"/>
    </row>
    <row r="28" spans="1:64" x14ac:dyDescent="0.35">
      <c r="A28" s="474" t="s">
        <v>110</v>
      </c>
      <c r="B28" s="474" t="s">
        <v>108</v>
      </c>
      <c r="C28" s="474" t="s">
        <v>19</v>
      </c>
      <c r="D28" s="475">
        <v>6291107160788</v>
      </c>
      <c r="E28" s="476" t="s">
        <v>55</v>
      </c>
      <c r="F28" s="477" t="s">
        <v>111</v>
      </c>
      <c r="G28" s="478" t="s">
        <v>57</v>
      </c>
      <c r="H28" s="474">
        <v>24</v>
      </c>
      <c r="I28" s="474">
        <v>48</v>
      </c>
      <c r="J28" s="474">
        <v>60</v>
      </c>
      <c r="L28" s="474">
        <v>6</v>
      </c>
      <c r="N28" s="474">
        <v>8</v>
      </c>
      <c r="O28" s="479">
        <v>370</v>
      </c>
      <c r="P28" s="479">
        <v>275</v>
      </c>
      <c r="Q28" s="479">
        <v>170</v>
      </c>
      <c r="R28" s="478">
        <v>9.48</v>
      </c>
      <c r="S28" s="478">
        <v>9.9</v>
      </c>
      <c r="T28" s="478" t="s">
        <v>22</v>
      </c>
      <c r="U28" s="478" t="s">
        <v>110</v>
      </c>
      <c r="V28" s="571" t="b">
        <v>1</v>
      </c>
      <c r="W28" s="571">
        <v>1</v>
      </c>
      <c r="X28" s="571">
        <v>1</v>
      </c>
      <c r="Y28" s="571" t="s">
        <v>1600</v>
      </c>
      <c r="Z28" s="478">
        <v>100</v>
      </c>
      <c r="AA28" s="571">
        <v>1</v>
      </c>
      <c r="AB28" s="571"/>
      <c r="AC28" s="571"/>
      <c r="AD28" s="571"/>
      <c r="AE28" s="571"/>
      <c r="AF28" s="571"/>
      <c r="AG28" s="571"/>
      <c r="AH28" s="571"/>
      <c r="AI28" s="571"/>
      <c r="AJ28" s="571"/>
      <c r="AK28" s="55"/>
      <c r="BE28"/>
      <c r="BL28" s="55"/>
    </row>
    <row r="29" spans="1:64" x14ac:dyDescent="0.35">
      <c r="A29" s="474" t="s">
        <v>112</v>
      </c>
      <c r="B29" s="474" t="s">
        <v>108</v>
      </c>
      <c r="C29" s="474" t="s">
        <v>19</v>
      </c>
      <c r="D29" s="475">
        <v>6291107160795</v>
      </c>
      <c r="E29" s="476" t="s">
        <v>55</v>
      </c>
      <c r="F29" s="55" t="s">
        <v>113</v>
      </c>
      <c r="G29" s="478" t="s">
        <v>57</v>
      </c>
      <c r="H29" s="474">
        <v>24</v>
      </c>
      <c r="I29" s="474">
        <v>48</v>
      </c>
      <c r="J29" s="474">
        <v>60</v>
      </c>
      <c r="L29" s="474">
        <v>6</v>
      </c>
      <c r="N29" s="474">
        <v>8</v>
      </c>
      <c r="O29" s="479">
        <v>370</v>
      </c>
      <c r="P29" s="479">
        <v>275</v>
      </c>
      <c r="Q29" s="479">
        <v>170</v>
      </c>
      <c r="R29" s="478">
        <v>9.48</v>
      </c>
      <c r="S29" s="478">
        <v>9.9</v>
      </c>
      <c r="T29" s="478" t="s">
        <v>22</v>
      </c>
      <c r="U29" s="478" t="s">
        <v>112</v>
      </c>
      <c r="V29" s="571" t="b">
        <v>1</v>
      </c>
      <c r="W29" s="571">
        <v>1</v>
      </c>
      <c r="X29" s="571">
        <v>1</v>
      </c>
      <c r="Y29" s="571" t="s">
        <v>1600</v>
      </c>
      <c r="Z29" s="478">
        <v>100</v>
      </c>
      <c r="AA29" s="571">
        <v>1</v>
      </c>
      <c r="AB29" s="571"/>
      <c r="AC29" s="571"/>
      <c r="AD29" s="571"/>
      <c r="AE29" s="571"/>
      <c r="AF29" s="571"/>
      <c r="AG29" s="571"/>
      <c r="AH29" s="571"/>
      <c r="AI29" s="571"/>
      <c r="AJ29" s="571"/>
      <c r="AK29" s="55"/>
      <c r="BE29"/>
      <c r="BL29" s="55"/>
    </row>
    <row r="30" spans="1:64" x14ac:dyDescent="0.35">
      <c r="A30" s="57" t="s">
        <v>1216</v>
      </c>
      <c r="B30" s="474" t="s">
        <v>108</v>
      </c>
      <c r="C30" s="474" t="s">
        <v>19</v>
      </c>
      <c r="D30" s="475">
        <v>6291107169491</v>
      </c>
      <c r="E30" s="476" t="s">
        <v>55</v>
      </c>
      <c r="F30" s="477" t="s">
        <v>648</v>
      </c>
      <c r="G30" s="478" t="s">
        <v>57</v>
      </c>
      <c r="H30" s="474">
        <v>24</v>
      </c>
      <c r="I30" s="474">
        <v>48</v>
      </c>
      <c r="J30" s="474">
        <v>60</v>
      </c>
      <c r="L30" s="474">
        <v>6</v>
      </c>
      <c r="N30" s="474">
        <v>8</v>
      </c>
      <c r="O30" s="479">
        <v>370</v>
      </c>
      <c r="P30" s="479">
        <v>275</v>
      </c>
      <c r="Q30" s="479">
        <v>170</v>
      </c>
      <c r="R30" s="478">
        <v>9.48</v>
      </c>
      <c r="S30" s="478">
        <v>9.9</v>
      </c>
      <c r="T30" s="478" t="s">
        <v>22</v>
      </c>
      <c r="U30" s="478" t="s">
        <v>112</v>
      </c>
      <c r="V30" s="571" t="b">
        <v>1</v>
      </c>
      <c r="W30" s="571">
        <v>1</v>
      </c>
      <c r="X30" s="571">
        <v>1</v>
      </c>
      <c r="Y30" s="571" t="s">
        <v>1600</v>
      </c>
      <c r="Z30" s="478">
        <v>100</v>
      </c>
      <c r="AA30" s="571">
        <v>1</v>
      </c>
      <c r="AB30" s="571"/>
      <c r="AC30" s="571"/>
      <c r="AD30" s="571"/>
      <c r="AE30" s="571"/>
      <c r="AF30" s="571"/>
      <c r="AG30" s="571"/>
      <c r="AH30" s="571"/>
      <c r="AI30" s="571"/>
      <c r="AJ30" s="571"/>
      <c r="AK30" s="55"/>
      <c r="BE30"/>
      <c r="BL30" s="55"/>
    </row>
    <row r="31" spans="1:64" x14ac:dyDescent="0.35">
      <c r="A31" s="474" t="s">
        <v>114</v>
      </c>
      <c r="B31" s="474" t="s">
        <v>108</v>
      </c>
      <c r="C31" s="474" t="s">
        <v>19</v>
      </c>
      <c r="D31" s="475">
        <v>6291107160801</v>
      </c>
      <c r="E31" s="476" t="s">
        <v>55</v>
      </c>
      <c r="F31" s="477" t="s">
        <v>115</v>
      </c>
      <c r="G31" s="478" t="s">
        <v>57</v>
      </c>
      <c r="H31" s="474">
        <v>24</v>
      </c>
      <c r="I31" s="474">
        <v>48</v>
      </c>
      <c r="J31" s="474">
        <v>60</v>
      </c>
      <c r="L31" s="474">
        <v>6</v>
      </c>
      <c r="N31" s="474">
        <v>8</v>
      </c>
      <c r="O31" s="479">
        <v>370</v>
      </c>
      <c r="P31" s="479">
        <v>275</v>
      </c>
      <c r="Q31" s="479">
        <v>170</v>
      </c>
      <c r="R31" s="478">
        <v>9.48</v>
      </c>
      <c r="S31" s="478">
        <v>9.9</v>
      </c>
      <c r="T31" s="478" t="s">
        <v>22</v>
      </c>
      <c r="U31" s="478" t="s">
        <v>114</v>
      </c>
      <c r="V31" s="571" t="b">
        <v>1</v>
      </c>
      <c r="W31" s="571">
        <v>1</v>
      </c>
      <c r="X31" s="571">
        <v>1</v>
      </c>
      <c r="Y31" s="571" t="s">
        <v>1600</v>
      </c>
      <c r="Z31" s="478">
        <v>100</v>
      </c>
      <c r="AA31" s="571">
        <v>1</v>
      </c>
      <c r="AB31" s="571"/>
      <c r="AC31" s="571"/>
      <c r="AD31" s="571"/>
      <c r="AE31" s="571"/>
      <c r="AF31" s="571"/>
      <c r="AG31" s="571"/>
      <c r="AH31" s="571"/>
      <c r="AI31" s="571"/>
      <c r="AJ31" s="571"/>
      <c r="AK31" s="55"/>
      <c r="BE31"/>
      <c r="BL31" s="55"/>
    </row>
    <row r="32" spans="1:64" x14ac:dyDescent="0.35">
      <c r="A32" s="474" t="s">
        <v>116</v>
      </c>
      <c r="B32" s="474" t="s">
        <v>108</v>
      </c>
      <c r="C32" s="474" t="s">
        <v>30</v>
      </c>
      <c r="D32" s="475">
        <v>6291107160825</v>
      </c>
      <c r="E32" s="476" t="s">
        <v>55</v>
      </c>
      <c r="F32" s="477" t="s">
        <v>117</v>
      </c>
      <c r="G32" s="478" t="s">
        <v>57</v>
      </c>
      <c r="H32" s="474">
        <v>24</v>
      </c>
      <c r="I32" s="474">
        <v>48</v>
      </c>
      <c r="J32" s="474">
        <v>60</v>
      </c>
      <c r="L32" s="474">
        <v>6</v>
      </c>
      <c r="N32" s="474">
        <v>8</v>
      </c>
      <c r="O32" s="479">
        <v>375</v>
      </c>
      <c r="P32" s="479">
        <v>275</v>
      </c>
      <c r="Q32" s="479">
        <v>170</v>
      </c>
      <c r="R32" s="478">
        <v>9.1199999999999992</v>
      </c>
      <c r="S32" s="478">
        <v>9.5</v>
      </c>
      <c r="T32" s="478" t="s">
        <v>22</v>
      </c>
      <c r="U32" s="478" t="s">
        <v>116</v>
      </c>
      <c r="V32" s="571" t="b">
        <v>1</v>
      </c>
      <c r="W32" s="571">
        <v>1</v>
      </c>
      <c r="X32" s="571">
        <v>1</v>
      </c>
      <c r="Y32" s="571" t="s">
        <v>1600</v>
      </c>
      <c r="Z32" s="478">
        <v>100</v>
      </c>
      <c r="AA32" s="571">
        <v>1</v>
      </c>
      <c r="AB32" s="571"/>
      <c r="AC32" s="571"/>
      <c r="AD32" s="571"/>
      <c r="AE32" s="571"/>
      <c r="AF32" s="571"/>
      <c r="AG32" s="571"/>
      <c r="AH32" s="571"/>
      <c r="AI32" s="571"/>
      <c r="AJ32" s="571"/>
      <c r="AK32" s="55"/>
      <c r="BE32"/>
      <c r="BL32" s="55"/>
    </row>
    <row r="33" spans="1:64" x14ac:dyDescent="0.35">
      <c r="A33" s="57" t="s">
        <v>1217</v>
      </c>
      <c r="B33" s="474" t="s">
        <v>108</v>
      </c>
      <c r="C33" s="474" t="s">
        <v>30</v>
      </c>
      <c r="D33" s="475">
        <v>6291107160825</v>
      </c>
      <c r="E33" s="476" t="s">
        <v>55</v>
      </c>
      <c r="F33" s="55" t="s">
        <v>1196</v>
      </c>
      <c r="G33" s="478" t="s">
        <v>57</v>
      </c>
      <c r="H33" s="474">
        <v>24</v>
      </c>
      <c r="I33" s="474">
        <v>48</v>
      </c>
      <c r="J33" s="474">
        <v>60</v>
      </c>
      <c r="L33" s="474">
        <v>6</v>
      </c>
      <c r="N33" s="474">
        <v>8</v>
      </c>
      <c r="O33" s="479">
        <v>375</v>
      </c>
      <c r="P33" s="479">
        <v>275</v>
      </c>
      <c r="Q33" s="479">
        <v>170</v>
      </c>
      <c r="R33" s="478">
        <v>9.1199999999999992</v>
      </c>
      <c r="S33" s="478">
        <v>9.5</v>
      </c>
      <c r="T33" s="478" t="s">
        <v>22</v>
      </c>
      <c r="U33" s="478" t="s">
        <v>116</v>
      </c>
      <c r="V33" s="571" t="b">
        <v>1</v>
      </c>
      <c r="W33" s="571">
        <v>1</v>
      </c>
      <c r="X33" s="571">
        <v>1</v>
      </c>
      <c r="Y33" s="571" t="s">
        <v>1600</v>
      </c>
      <c r="Z33" s="478">
        <v>100</v>
      </c>
      <c r="AA33" s="571">
        <v>1</v>
      </c>
      <c r="AB33" s="571"/>
      <c r="AC33" s="571"/>
      <c r="AD33" s="571"/>
      <c r="AE33" s="571"/>
      <c r="AF33" s="571"/>
      <c r="AG33" s="571"/>
      <c r="AH33" s="571"/>
      <c r="AI33" s="571"/>
      <c r="AJ33" s="571"/>
      <c r="AK33" s="55"/>
      <c r="BE33"/>
      <c r="BL33" s="55"/>
    </row>
    <row r="34" spans="1:64" x14ac:dyDescent="0.35">
      <c r="A34" s="474" t="s">
        <v>118</v>
      </c>
      <c r="B34" s="474" t="s">
        <v>108</v>
      </c>
      <c r="C34" s="474" t="s">
        <v>30</v>
      </c>
      <c r="D34" s="475">
        <v>6291107160818</v>
      </c>
      <c r="E34" s="476" t="s">
        <v>55</v>
      </c>
      <c r="F34" s="477" t="s">
        <v>119</v>
      </c>
      <c r="G34" s="478" t="s">
        <v>57</v>
      </c>
      <c r="H34" s="474">
        <v>24</v>
      </c>
      <c r="I34" s="474">
        <v>48</v>
      </c>
      <c r="J34" s="474">
        <v>60</v>
      </c>
      <c r="L34" s="474">
        <v>6</v>
      </c>
      <c r="N34" s="474">
        <v>8</v>
      </c>
      <c r="O34" s="479">
        <v>375</v>
      </c>
      <c r="P34" s="479">
        <v>275</v>
      </c>
      <c r="Q34" s="479">
        <v>170</v>
      </c>
      <c r="R34" s="478">
        <v>9.1199999999999992</v>
      </c>
      <c r="S34" s="478">
        <v>9.5</v>
      </c>
      <c r="T34" s="478" t="s">
        <v>22</v>
      </c>
      <c r="U34" s="478" t="s">
        <v>118</v>
      </c>
      <c r="V34" s="571" t="b">
        <v>1</v>
      </c>
      <c r="W34" s="571">
        <v>1</v>
      </c>
      <c r="X34" s="571">
        <v>1</v>
      </c>
      <c r="Y34" s="571" t="s">
        <v>1600</v>
      </c>
      <c r="Z34" s="478">
        <v>100</v>
      </c>
      <c r="AA34" s="571">
        <v>1</v>
      </c>
      <c r="AB34" s="571"/>
      <c r="AC34" s="571"/>
      <c r="AD34" s="571"/>
      <c r="AE34" s="571"/>
      <c r="AF34" s="571"/>
      <c r="AG34" s="571"/>
      <c r="AH34" s="571"/>
      <c r="AI34" s="571"/>
      <c r="AJ34" s="571"/>
      <c r="AK34" s="55"/>
      <c r="BE34"/>
      <c r="BL34" s="55"/>
    </row>
    <row r="35" spans="1:64" x14ac:dyDescent="0.35">
      <c r="A35" s="474" t="s">
        <v>120</v>
      </c>
      <c r="B35" s="474" t="s">
        <v>108</v>
      </c>
      <c r="C35" s="474" t="s">
        <v>30</v>
      </c>
      <c r="D35" s="475">
        <v>6291107162171</v>
      </c>
      <c r="E35" s="476" t="s">
        <v>55</v>
      </c>
      <c r="F35" s="477" t="s">
        <v>121</v>
      </c>
      <c r="G35" s="478" t="s">
        <v>57</v>
      </c>
      <c r="H35" s="474">
        <v>24</v>
      </c>
      <c r="I35" s="474">
        <v>48</v>
      </c>
      <c r="J35" s="474">
        <v>60</v>
      </c>
      <c r="L35" s="474">
        <v>6</v>
      </c>
      <c r="N35" s="474">
        <v>8</v>
      </c>
      <c r="O35" s="479">
        <v>375</v>
      </c>
      <c r="P35" s="479">
        <v>275</v>
      </c>
      <c r="Q35" s="479">
        <v>170</v>
      </c>
      <c r="R35" s="478">
        <v>9.1199999999999992</v>
      </c>
      <c r="S35" s="478">
        <v>9.5</v>
      </c>
      <c r="T35" s="478" t="s">
        <v>22</v>
      </c>
      <c r="U35" s="478" t="s">
        <v>120</v>
      </c>
      <c r="V35" s="571" t="b">
        <v>1</v>
      </c>
      <c r="W35" s="571">
        <v>1</v>
      </c>
      <c r="X35" s="571">
        <v>1</v>
      </c>
      <c r="Y35" s="571" t="s">
        <v>1600</v>
      </c>
      <c r="Z35" s="478">
        <v>100</v>
      </c>
      <c r="AA35" s="571">
        <v>1</v>
      </c>
      <c r="AB35" s="571"/>
      <c r="AC35" s="571"/>
      <c r="AD35" s="571"/>
      <c r="AE35" s="571"/>
      <c r="AF35" s="571"/>
      <c r="AG35" s="571"/>
      <c r="AH35" s="571"/>
      <c r="AI35" s="571"/>
      <c r="AJ35" s="571"/>
      <c r="AK35" s="55"/>
      <c r="BE35"/>
      <c r="BL35" s="55"/>
    </row>
    <row r="36" spans="1:64" x14ac:dyDescent="0.35">
      <c r="A36" s="57" t="s">
        <v>1218</v>
      </c>
      <c r="B36" s="474" t="s">
        <v>108</v>
      </c>
      <c r="C36" s="474" t="s">
        <v>30</v>
      </c>
      <c r="D36" s="475">
        <v>6291107162171</v>
      </c>
      <c r="E36" s="476" t="s">
        <v>55</v>
      </c>
      <c r="F36" s="55" t="s">
        <v>1197</v>
      </c>
      <c r="G36" s="478" t="s">
        <v>57</v>
      </c>
      <c r="H36" s="474">
        <v>24</v>
      </c>
      <c r="I36" s="474">
        <v>48</v>
      </c>
      <c r="J36" s="474">
        <v>60</v>
      </c>
      <c r="L36" s="474">
        <v>6</v>
      </c>
      <c r="N36" s="474">
        <v>8</v>
      </c>
      <c r="O36" s="479">
        <v>375</v>
      </c>
      <c r="P36" s="479">
        <v>275</v>
      </c>
      <c r="Q36" s="479">
        <v>170</v>
      </c>
      <c r="R36" s="478">
        <v>9.1199999999999992</v>
      </c>
      <c r="S36" s="478">
        <v>9.5</v>
      </c>
      <c r="T36" s="478" t="s">
        <v>22</v>
      </c>
      <c r="U36" s="478" t="s">
        <v>120</v>
      </c>
      <c r="V36" s="571" t="b">
        <v>1</v>
      </c>
      <c r="W36" s="571">
        <v>1</v>
      </c>
      <c r="X36" s="571">
        <v>1</v>
      </c>
      <c r="Y36" s="571" t="s">
        <v>1600</v>
      </c>
      <c r="Z36" s="478">
        <v>100</v>
      </c>
      <c r="AA36" s="571">
        <v>1</v>
      </c>
      <c r="AB36" s="571"/>
      <c r="AC36" s="571"/>
      <c r="AD36" s="571"/>
      <c r="AE36" s="571"/>
      <c r="AF36" s="571"/>
      <c r="AG36" s="571"/>
      <c r="AH36" s="571"/>
      <c r="AI36" s="571"/>
      <c r="AJ36" s="571"/>
      <c r="AK36" s="55"/>
      <c r="BE36"/>
      <c r="BL36" s="55"/>
    </row>
    <row r="37" spans="1:64" x14ac:dyDescent="0.35">
      <c r="A37" s="474" t="s">
        <v>122</v>
      </c>
      <c r="B37" s="474" t="s">
        <v>108</v>
      </c>
      <c r="C37" s="474" t="s">
        <v>30</v>
      </c>
      <c r="D37" s="475">
        <v>6291107162188</v>
      </c>
      <c r="E37" s="476" t="s">
        <v>55</v>
      </c>
      <c r="F37" s="477" t="s">
        <v>123</v>
      </c>
      <c r="G37" s="478" t="s">
        <v>57</v>
      </c>
      <c r="H37" s="474">
        <v>24</v>
      </c>
      <c r="I37" s="474">
        <v>48</v>
      </c>
      <c r="J37" s="474">
        <v>60</v>
      </c>
      <c r="L37" s="474">
        <v>6</v>
      </c>
      <c r="N37" s="474">
        <v>8</v>
      </c>
      <c r="O37" s="479">
        <v>375</v>
      </c>
      <c r="P37" s="479">
        <v>275</v>
      </c>
      <c r="Q37" s="479">
        <v>170</v>
      </c>
      <c r="R37" s="478">
        <v>9.1199999999999992</v>
      </c>
      <c r="S37" s="478">
        <v>9.5</v>
      </c>
      <c r="T37" s="478" t="s">
        <v>22</v>
      </c>
      <c r="U37" s="478" t="s">
        <v>122</v>
      </c>
      <c r="V37" s="571" t="b">
        <v>1</v>
      </c>
      <c r="W37" s="571">
        <v>1</v>
      </c>
      <c r="X37" s="571">
        <v>1</v>
      </c>
      <c r="Y37" s="571" t="s">
        <v>1600</v>
      </c>
      <c r="Z37" s="478">
        <v>100</v>
      </c>
      <c r="AA37" s="571">
        <v>1</v>
      </c>
      <c r="AB37" s="571"/>
      <c r="AC37" s="571"/>
      <c r="AD37" s="571"/>
      <c r="AE37" s="571"/>
      <c r="AF37" s="571"/>
      <c r="AG37" s="571"/>
      <c r="AH37" s="571"/>
      <c r="AI37" s="571"/>
      <c r="AJ37" s="571"/>
      <c r="AK37" s="55"/>
      <c r="BE37"/>
      <c r="BL37" s="55"/>
    </row>
    <row r="38" spans="1:64" x14ac:dyDescent="0.35">
      <c r="A38" s="474" t="s">
        <v>141</v>
      </c>
      <c r="B38" s="474" t="s">
        <v>108</v>
      </c>
      <c r="C38" s="474" t="s">
        <v>19</v>
      </c>
      <c r="D38" s="475">
        <v>6291107168852</v>
      </c>
      <c r="E38" s="476" t="s">
        <v>55</v>
      </c>
      <c r="F38" s="477" t="s">
        <v>142</v>
      </c>
      <c r="G38" s="478" t="s">
        <v>57</v>
      </c>
      <c r="H38" s="474">
        <v>24</v>
      </c>
      <c r="I38" s="474">
        <v>48</v>
      </c>
      <c r="J38" s="474">
        <v>60</v>
      </c>
      <c r="L38" s="474">
        <v>6</v>
      </c>
      <c r="N38" s="474">
        <v>8</v>
      </c>
      <c r="O38" s="479">
        <v>375</v>
      </c>
      <c r="P38" s="479">
        <v>275</v>
      </c>
      <c r="Q38" s="479">
        <v>170</v>
      </c>
      <c r="R38" s="478">
        <v>9.48</v>
      </c>
      <c r="S38" s="478">
        <v>9.9</v>
      </c>
      <c r="T38" s="478" t="s">
        <v>22</v>
      </c>
      <c r="U38" s="478" t="s">
        <v>141</v>
      </c>
      <c r="V38" s="571" t="b">
        <v>1</v>
      </c>
      <c r="W38" s="571">
        <v>1</v>
      </c>
      <c r="X38" s="571">
        <v>1</v>
      </c>
      <c r="Y38" s="571" t="s">
        <v>1600</v>
      </c>
      <c r="Z38" s="478">
        <v>100</v>
      </c>
      <c r="AA38" s="571">
        <v>1</v>
      </c>
      <c r="AB38" s="571"/>
      <c r="AC38" s="571"/>
      <c r="AD38" s="571"/>
      <c r="AE38" s="571"/>
      <c r="AF38" s="571"/>
      <c r="AG38" s="571"/>
      <c r="AH38" s="571"/>
      <c r="AI38" s="571"/>
      <c r="AJ38" s="571"/>
      <c r="AK38" s="55"/>
      <c r="BE38"/>
      <c r="BL38" s="55"/>
    </row>
    <row r="39" spans="1:64" x14ac:dyDescent="0.35">
      <c r="A39" s="474" t="s">
        <v>143</v>
      </c>
      <c r="B39" s="474" t="s">
        <v>108</v>
      </c>
      <c r="C39" s="474" t="s">
        <v>19</v>
      </c>
      <c r="D39" s="475">
        <v>6291107168869</v>
      </c>
      <c r="E39" s="476" t="s">
        <v>55</v>
      </c>
      <c r="F39" s="477" t="s">
        <v>144</v>
      </c>
      <c r="G39" s="478" t="s">
        <v>57</v>
      </c>
      <c r="H39" s="474">
        <v>24</v>
      </c>
      <c r="I39" s="474">
        <v>48</v>
      </c>
      <c r="J39" s="474">
        <v>60</v>
      </c>
      <c r="L39" s="474">
        <v>6</v>
      </c>
      <c r="N39" s="474">
        <v>8</v>
      </c>
      <c r="O39" s="479">
        <v>375</v>
      </c>
      <c r="P39" s="479">
        <v>275</v>
      </c>
      <c r="Q39" s="479">
        <v>170</v>
      </c>
      <c r="R39" s="478">
        <v>9.48</v>
      </c>
      <c r="S39" s="478">
        <v>9.9</v>
      </c>
      <c r="T39" s="478" t="s">
        <v>22</v>
      </c>
      <c r="U39" s="478" t="s">
        <v>143</v>
      </c>
      <c r="V39" s="571" t="b">
        <v>1</v>
      </c>
      <c r="W39" s="571">
        <v>1</v>
      </c>
      <c r="X39" s="571">
        <v>1</v>
      </c>
      <c r="Y39" s="571" t="s">
        <v>1600</v>
      </c>
      <c r="Z39" s="478">
        <v>100</v>
      </c>
      <c r="AA39" s="571">
        <v>1</v>
      </c>
      <c r="AB39" s="571"/>
      <c r="AC39" s="571"/>
      <c r="AD39" s="571"/>
      <c r="AE39" s="571"/>
      <c r="AF39" s="571"/>
      <c r="AG39" s="571"/>
      <c r="AH39" s="571"/>
      <c r="AI39" s="571"/>
      <c r="AJ39" s="571"/>
      <c r="AK39" s="55"/>
      <c r="BE39"/>
      <c r="BL39" s="55"/>
    </row>
    <row r="40" spans="1:64" x14ac:dyDescent="0.35">
      <c r="A40" s="606" t="s">
        <v>1679</v>
      </c>
      <c r="B40" s="606" t="s">
        <v>108</v>
      </c>
      <c r="C40" s="606" t="s">
        <v>19</v>
      </c>
      <c r="D40" s="607"/>
      <c r="E40" s="608" t="s">
        <v>55</v>
      </c>
      <c r="F40" s="609" t="s">
        <v>1682</v>
      </c>
      <c r="G40" s="610" t="s">
        <v>57</v>
      </c>
      <c r="H40" s="606">
        <v>24</v>
      </c>
      <c r="I40" s="606"/>
      <c r="J40" s="606"/>
      <c r="L40" s="606"/>
      <c r="N40" s="606"/>
      <c r="O40" s="611"/>
      <c r="P40" s="611"/>
      <c r="Q40" s="611"/>
      <c r="R40" s="610"/>
      <c r="S40" s="610"/>
      <c r="T40" s="610" t="s">
        <v>22</v>
      </c>
      <c r="U40" s="612"/>
      <c r="V40" s="610" t="b">
        <v>1</v>
      </c>
      <c r="W40" s="571">
        <v>1</v>
      </c>
      <c r="X40" s="610">
        <v>1</v>
      </c>
      <c r="Y40" s="610" t="s">
        <v>1600</v>
      </c>
      <c r="Z40" s="610">
        <v>100</v>
      </c>
      <c r="AA40" s="610">
        <v>1</v>
      </c>
      <c r="AB40" s="610"/>
      <c r="AC40" s="610"/>
      <c r="AD40" s="610"/>
      <c r="AE40" s="610"/>
      <c r="AF40" s="610"/>
      <c r="AG40" s="610"/>
      <c r="AH40" s="610"/>
      <c r="AI40" s="610"/>
      <c r="AJ40" s="610"/>
      <c r="AK40" s="55"/>
      <c r="BE40"/>
      <c r="BL40" s="55"/>
    </row>
    <row r="41" spans="1:64" x14ac:dyDescent="0.35">
      <c r="A41" s="606" t="s">
        <v>1680</v>
      </c>
      <c r="B41" s="606" t="s">
        <v>108</v>
      </c>
      <c r="C41" s="606" t="s">
        <v>19</v>
      </c>
      <c r="D41" s="607"/>
      <c r="E41" s="608" t="s">
        <v>55</v>
      </c>
      <c r="F41" s="609" t="s">
        <v>1683</v>
      </c>
      <c r="G41" s="610" t="s">
        <v>57</v>
      </c>
      <c r="H41" s="606">
        <v>24</v>
      </c>
      <c r="I41" s="606"/>
      <c r="J41" s="606"/>
      <c r="L41" s="606"/>
      <c r="N41" s="606"/>
      <c r="O41" s="611"/>
      <c r="P41" s="611"/>
      <c r="Q41" s="611"/>
      <c r="R41" s="610"/>
      <c r="S41" s="610"/>
      <c r="T41" s="610" t="s">
        <v>22</v>
      </c>
      <c r="U41" s="612"/>
      <c r="V41" s="610" t="b">
        <v>1</v>
      </c>
      <c r="W41" s="571">
        <v>1</v>
      </c>
      <c r="X41" s="610">
        <v>1</v>
      </c>
      <c r="Y41" s="610" t="s">
        <v>1600</v>
      </c>
      <c r="Z41" s="610">
        <v>100</v>
      </c>
      <c r="AA41" s="610">
        <v>1</v>
      </c>
      <c r="AB41" s="610"/>
      <c r="AC41" s="610"/>
      <c r="AD41" s="610"/>
      <c r="AE41" s="610"/>
      <c r="AF41" s="610"/>
      <c r="AG41" s="610"/>
      <c r="AH41" s="610"/>
      <c r="AI41" s="610"/>
      <c r="AJ41" s="610"/>
      <c r="AK41" s="55"/>
      <c r="BE41"/>
      <c r="BL41" s="55"/>
    </row>
    <row r="42" spans="1:64" x14ac:dyDescent="0.35">
      <c r="A42" s="474" t="s">
        <v>124</v>
      </c>
      <c r="B42" s="474" t="s">
        <v>125</v>
      </c>
      <c r="C42" s="474" t="s">
        <v>19</v>
      </c>
      <c r="D42" s="475"/>
      <c r="E42" s="476" t="s">
        <v>55</v>
      </c>
      <c r="F42" s="477" t="s">
        <v>126</v>
      </c>
      <c r="G42" s="478" t="s">
        <v>57</v>
      </c>
      <c r="H42" s="474">
        <v>24</v>
      </c>
      <c r="I42" s="474">
        <v>48</v>
      </c>
      <c r="J42" s="474"/>
      <c r="L42" s="474">
        <v>6</v>
      </c>
      <c r="N42" s="474">
        <v>8</v>
      </c>
      <c r="O42" s="479">
        <v>375</v>
      </c>
      <c r="P42" s="479">
        <v>275</v>
      </c>
      <c r="Q42" s="479">
        <v>170</v>
      </c>
      <c r="R42" s="478">
        <v>9.1199999999999992</v>
      </c>
      <c r="S42" s="478">
        <v>9.5</v>
      </c>
      <c r="T42" s="478" t="s">
        <v>22</v>
      </c>
      <c r="U42" s="478" t="s">
        <v>124</v>
      </c>
      <c r="V42" s="571" t="b">
        <v>1</v>
      </c>
      <c r="W42" s="571">
        <v>1</v>
      </c>
      <c r="X42" s="571">
        <v>1</v>
      </c>
      <c r="Y42" s="571" t="s">
        <v>1600</v>
      </c>
      <c r="Z42" s="478">
        <v>100</v>
      </c>
      <c r="AA42" s="571">
        <v>1</v>
      </c>
      <c r="AB42" s="571"/>
      <c r="AC42" s="571"/>
      <c r="AD42" s="571"/>
      <c r="AE42" s="571"/>
      <c r="AF42" s="571"/>
      <c r="AG42" s="571"/>
      <c r="AH42" s="571"/>
      <c r="AI42" s="571"/>
      <c r="AJ42" s="571"/>
      <c r="AK42" s="55"/>
      <c r="BE42"/>
      <c r="BL42" s="55"/>
    </row>
    <row r="43" spans="1:64" x14ac:dyDescent="0.35">
      <c r="A43" s="474" t="s">
        <v>131</v>
      </c>
      <c r="B43" s="474" t="s">
        <v>125</v>
      </c>
      <c r="C43" s="474" t="s">
        <v>19</v>
      </c>
      <c r="D43" s="475"/>
      <c r="E43" s="476" t="s">
        <v>55</v>
      </c>
      <c r="F43" s="477" t="s">
        <v>132</v>
      </c>
      <c r="G43" s="478" t="s">
        <v>57</v>
      </c>
      <c r="H43" s="474">
        <v>24</v>
      </c>
      <c r="I43" s="474">
        <v>48</v>
      </c>
      <c r="J43" s="474"/>
      <c r="L43" s="474">
        <v>6</v>
      </c>
      <c r="N43" s="474">
        <v>8</v>
      </c>
      <c r="O43" s="479">
        <v>375</v>
      </c>
      <c r="P43" s="479">
        <v>275</v>
      </c>
      <c r="Q43" s="479">
        <v>170</v>
      </c>
      <c r="R43" s="478">
        <v>9.1199999999999992</v>
      </c>
      <c r="S43" s="478">
        <v>9.5</v>
      </c>
      <c r="T43" s="478" t="s">
        <v>22</v>
      </c>
      <c r="U43" s="478" t="s">
        <v>131</v>
      </c>
      <c r="V43" s="571" t="b">
        <v>1</v>
      </c>
      <c r="W43" s="571">
        <v>1</v>
      </c>
      <c r="X43" s="571">
        <v>1</v>
      </c>
      <c r="Y43" s="571" t="s">
        <v>1600</v>
      </c>
      <c r="Z43" s="478">
        <v>100</v>
      </c>
      <c r="AA43" s="571">
        <v>1</v>
      </c>
      <c r="AB43" s="571"/>
      <c r="AC43" s="571"/>
      <c r="AD43" s="571"/>
      <c r="AE43" s="571"/>
      <c r="AF43" s="571"/>
      <c r="AG43" s="571"/>
      <c r="AH43" s="571"/>
      <c r="AI43" s="571"/>
      <c r="AJ43" s="571"/>
      <c r="AK43" s="55"/>
      <c r="BE43"/>
      <c r="BL43" s="55"/>
    </row>
    <row r="44" spans="1:64" x14ac:dyDescent="0.35">
      <c r="A44" s="474" t="s">
        <v>133</v>
      </c>
      <c r="B44" s="474" t="s">
        <v>125</v>
      </c>
      <c r="C44" s="474" t="s">
        <v>30</v>
      </c>
      <c r="D44" s="475"/>
      <c r="E44" s="476" t="s">
        <v>55</v>
      </c>
      <c r="F44" s="477" t="s">
        <v>134</v>
      </c>
      <c r="G44" s="478" t="s">
        <v>57</v>
      </c>
      <c r="H44" s="474">
        <v>24</v>
      </c>
      <c r="I44" s="474">
        <v>48</v>
      </c>
      <c r="J44" s="474"/>
      <c r="L44" s="474">
        <v>6</v>
      </c>
      <c r="N44" s="474">
        <v>8</v>
      </c>
      <c r="O44" s="479">
        <v>375</v>
      </c>
      <c r="P44" s="479">
        <v>275</v>
      </c>
      <c r="Q44" s="479">
        <v>170</v>
      </c>
      <c r="R44" s="478">
        <v>9.1199999999999992</v>
      </c>
      <c r="S44" s="478">
        <v>9.5</v>
      </c>
      <c r="T44" s="478" t="s">
        <v>22</v>
      </c>
      <c r="U44" s="478" t="s">
        <v>133</v>
      </c>
      <c r="V44" s="571" t="b">
        <v>1</v>
      </c>
      <c r="W44" s="571">
        <v>1</v>
      </c>
      <c r="X44" s="571">
        <v>1</v>
      </c>
      <c r="Y44" s="571" t="s">
        <v>1600</v>
      </c>
      <c r="Z44" s="478">
        <v>100</v>
      </c>
      <c r="AA44" s="571">
        <v>1</v>
      </c>
      <c r="AB44" s="571"/>
      <c r="AC44" s="571"/>
      <c r="AD44" s="571"/>
      <c r="AE44" s="571"/>
      <c r="AF44" s="571"/>
      <c r="AG44" s="571"/>
      <c r="AH44" s="571"/>
      <c r="AI44" s="571"/>
      <c r="AJ44" s="571"/>
      <c r="AK44" s="55"/>
      <c r="BE44"/>
      <c r="BL44" s="55"/>
    </row>
    <row r="45" spans="1:64" x14ac:dyDescent="0.35">
      <c r="A45" s="474" t="s">
        <v>135</v>
      </c>
      <c r="B45" s="474" t="s">
        <v>125</v>
      </c>
      <c r="C45" s="474" t="s">
        <v>30</v>
      </c>
      <c r="D45" s="475"/>
      <c r="E45" s="476" t="s">
        <v>55</v>
      </c>
      <c r="F45" s="477" t="s">
        <v>136</v>
      </c>
      <c r="G45" s="478" t="s">
        <v>57</v>
      </c>
      <c r="H45" s="474">
        <v>24</v>
      </c>
      <c r="I45" s="474">
        <v>48</v>
      </c>
      <c r="J45" s="474"/>
      <c r="L45" s="474">
        <v>6</v>
      </c>
      <c r="N45" s="474">
        <v>8</v>
      </c>
      <c r="O45" s="479">
        <v>375</v>
      </c>
      <c r="P45" s="479">
        <v>275</v>
      </c>
      <c r="Q45" s="479">
        <v>170</v>
      </c>
      <c r="R45" s="478">
        <v>9.1199999999999992</v>
      </c>
      <c r="S45" s="478">
        <v>9.5</v>
      </c>
      <c r="T45" s="478" t="s">
        <v>22</v>
      </c>
      <c r="U45" s="478" t="s">
        <v>135</v>
      </c>
      <c r="V45" s="571" t="b">
        <v>1</v>
      </c>
      <c r="W45" s="571">
        <v>1</v>
      </c>
      <c r="X45" s="571">
        <v>1</v>
      </c>
      <c r="Y45" s="571" t="s">
        <v>1600</v>
      </c>
      <c r="Z45" s="478">
        <v>100</v>
      </c>
      <c r="AA45" s="571">
        <v>1</v>
      </c>
      <c r="AB45" s="571"/>
      <c r="AC45" s="571"/>
      <c r="AD45" s="571"/>
      <c r="AE45" s="571"/>
      <c r="AF45" s="571"/>
      <c r="AG45" s="571"/>
      <c r="AH45" s="571"/>
      <c r="AI45" s="571"/>
      <c r="AJ45" s="571"/>
      <c r="AK45" s="55"/>
      <c r="BE45"/>
      <c r="BL45" s="55"/>
    </row>
    <row r="46" spans="1:64" x14ac:dyDescent="0.35">
      <c r="A46" s="474" t="s">
        <v>137</v>
      </c>
      <c r="B46" s="474" t="s">
        <v>125</v>
      </c>
      <c r="C46" s="474" t="s">
        <v>30</v>
      </c>
      <c r="D46" s="475"/>
      <c r="E46" s="476" t="s">
        <v>55</v>
      </c>
      <c r="F46" s="477" t="s">
        <v>138</v>
      </c>
      <c r="G46" s="478" t="s">
        <v>57</v>
      </c>
      <c r="H46" s="474">
        <v>24</v>
      </c>
      <c r="I46" s="474">
        <v>48</v>
      </c>
      <c r="J46" s="474"/>
      <c r="L46" s="474">
        <v>6</v>
      </c>
      <c r="N46" s="474">
        <v>8</v>
      </c>
      <c r="O46" s="479">
        <v>375</v>
      </c>
      <c r="P46" s="479">
        <v>275</v>
      </c>
      <c r="Q46" s="479">
        <v>170</v>
      </c>
      <c r="R46" s="478">
        <v>9.1199999999999992</v>
      </c>
      <c r="S46" s="478">
        <v>9.5</v>
      </c>
      <c r="T46" s="478" t="s">
        <v>22</v>
      </c>
      <c r="U46" s="478" t="s">
        <v>137</v>
      </c>
      <c r="V46" s="571" t="b">
        <v>1</v>
      </c>
      <c r="W46" s="571">
        <v>1</v>
      </c>
      <c r="X46" s="571">
        <v>1</v>
      </c>
      <c r="Y46" s="571" t="s">
        <v>1600</v>
      </c>
      <c r="Z46" s="478">
        <v>100</v>
      </c>
      <c r="AA46" s="571">
        <v>1</v>
      </c>
      <c r="AB46" s="571"/>
      <c r="AC46" s="571"/>
      <c r="AD46" s="571"/>
      <c r="AE46" s="571"/>
      <c r="AF46" s="571"/>
      <c r="AG46" s="571"/>
      <c r="AH46" s="571"/>
      <c r="AI46" s="571"/>
      <c r="AJ46" s="571"/>
      <c r="AK46" s="55"/>
      <c r="BE46"/>
      <c r="BL46" s="55"/>
    </row>
    <row r="47" spans="1:64" x14ac:dyDescent="0.35">
      <c r="A47" s="474" t="s">
        <v>139</v>
      </c>
      <c r="B47" s="474" t="s">
        <v>125</v>
      </c>
      <c r="C47" s="474" t="s">
        <v>30</v>
      </c>
      <c r="D47" s="475"/>
      <c r="E47" s="476" t="s">
        <v>55</v>
      </c>
      <c r="F47" s="477" t="s">
        <v>140</v>
      </c>
      <c r="G47" s="478" t="s">
        <v>57</v>
      </c>
      <c r="H47" s="474">
        <v>24</v>
      </c>
      <c r="I47" s="474">
        <v>48</v>
      </c>
      <c r="J47" s="474"/>
      <c r="L47" s="474">
        <v>6</v>
      </c>
      <c r="N47" s="474">
        <v>8</v>
      </c>
      <c r="O47" s="479">
        <v>375</v>
      </c>
      <c r="P47" s="479">
        <v>275</v>
      </c>
      <c r="Q47" s="479">
        <v>170</v>
      </c>
      <c r="R47" s="478">
        <v>9.1199999999999992</v>
      </c>
      <c r="S47" s="478">
        <v>9.5</v>
      </c>
      <c r="T47" s="478" t="s">
        <v>22</v>
      </c>
      <c r="U47" s="478" t="s">
        <v>139</v>
      </c>
      <c r="V47" s="571" t="b">
        <v>1</v>
      </c>
      <c r="W47" s="571">
        <v>1</v>
      </c>
      <c r="X47" s="571">
        <v>1</v>
      </c>
      <c r="Y47" s="571" t="s">
        <v>1600</v>
      </c>
      <c r="Z47" s="478">
        <v>100</v>
      </c>
      <c r="AA47" s="571">
        <v>1</v>
      </c>
      <c r="AB47" s="571"/>
      <c r="AC47" s="571"/>
      <c r="AD47" s="571"/>
      <c r="AE47" s="571"/>
      <c r="AF47" s="571"/>
      <c r="AG47" s="571"/>
      <c r="AH47" s="571"/>
      <c r="AI47" s="571"/>
      <c r="AJ47" s="571"/>
      <c r="AK47" s="55"/>
      <c r="BE47"/>
      <c r="BL47" s="55"/>
    </row>
    <row r="48" spans="1:64" x14ac:dyDescent="0.35">
      <c r="A48" s="474" t="s">
        <v>145</v>
      </c>
      <c r="B48" s="474" t="s">
        <v>125</v>
      </c>
      <c r="C48" s="474" t="s">
        <v>19</v>
      </c>
      <c r="D48" s="475">
        <v>6291107168838</v>
      </c>
      <c r="E48" s="476" t="s">
        <v>55</v>
      </c>
      <c r="F48" s="477" t="s">
        <v>146</v>
      </c>
      <c r="G48" s="478" t="s">
        <v>57</v>
      </c>
      <c r="H48" s="474">
        <v>24</v>
      </c>
      <c r="I48" s="474">
        <v>10</v>
      </c>
      <c r="J48" s="474"/>
      <c r="L48" s="474">
        <v>6</v>
      </c>
      <c r="N48" s="474">
        <v>8</v>
      </c>
      <c r="O48" s="479">
        <v>370</v>
      </c>
      <c r="P48" s="479">
        <v>275</v>
      </c>
      <c r="Q48" s="479">
        <v>170</v>
      </c>
      <c r="R48" s="478">
        <v>9.48</v>
      </c>
      <c r="S48" s="478">
        <v>9.9</v>
      </c>
      <c r="T48" s="478" t="s">
        <v>22</v>
      </c>
      <c r="U48" s="478" t="s">
        <v>145</v>
      </c>
      <c r="V48" s="571" t="b">
        <v>1</v>
      </c>
      <c r="W48" s="571">
        <v>1</v>
      </c>
      <c r="X48" s="571">
        <v>1</v>
      </c>
      <c r="Y48" s="571" t="s">
        <v>1600</v>
      </c>
      <c r="Z48" s="478">
        <v>100</v>
      </c>
      <c r="AA48" s="571">
        <v>1</v>
      </c>
      <c r="AB48" s="571"/>
      <c r="AC48" s="571"/>
      <c r="AD48" s="571"/>
      <c r="AE48" s="571"/>
      <c r="AF48" s="571"/>
      <c r="AG48" s="571"/>
      <c r="AH48" s="571"/>
      <c r="AI48" s="571"/>
      <c r="AJ48" s="571"/>
      <c r="AK48" s="55"/>
      <c r="BE48"/>
      <c r="BL48" s="55"/>
    </row>
    <row r="49" spans="1:64" x14ac:dyDescent="0.35">
      <c r="A49" s="474" t="s">
        <v>147</v>
      </c>
      <c r="B49" s="474" t="s">
        <v>125</v>
      </c>
      <c r="C49" s="474" t="s">
        <v>19</v>
      </c>
      <c r="D49" s="475">
        <v>6291107168845</v>
      </c>
      <c r="E49" s="476" t="s">
        <v>55</v>
      </c>
      <c r="F49" s="477" t="s">
        <v>148</v>
      </c>
      <c r="G49" s="478" t="s">
        <v>57</v>
      </c>
      <c r="H49" s="474">
        <v>24</v>
      </c>
      <c r="I49" s="474">
        <v>10</v>
      </c>
      <c r="J49" s="474"/>
      <c r="L49" s="474">
        <v>6</v>
      </c>
      <c r="N49" s="474">
        <v>8</v>
      </c>
      <c r="O49" s="479">
        <v>370</v>
      </c>
      <c r="P49" s="479">
        <v>275</v>
      </c>
      <c r="Q49" s="479">
        <v>170</v>
      </c>
      <c r="R49" s="478">
        <v>9.48</v>
      </c>
      <c r="S49" s="478">
        <v>9.9</v>
      </c>
      <c r="T49" s="478" t="s">
        <v>22</v>
      </c>
      <c r="U49" s="478" t="s">
        <v>147</v>
      </c>
      <c r="V49" s="571" t="b">
        <v>1</v>
      </c>
      <c r="W49" s="571">
        <v>1</v>
      </c>
      <c r="X49" s="571">
        <v>1</v>
      </c>
      <c r="Y49" s="571" t="s">
        <v>1600</v>
      </c>
      <c r="Z49" s="478">
        <v>100</v>
      </c>
      <c r="AA49" s="571">
        <v>1</v>
      </c>
      <c r="AB49" s="571"/>
      <c r="AC49" s="571"/>
      <c r="AD49" s="571"/>
      <c r="AE49" s="571"/>
      <c r="AF49" s="571"/>
      <c r="AG49" s="571"/>
      <c r="AH49" s="571"/>
      <c r="AI49" s="571"/>
      <c r="AJ49" s="571"/>
      <c r="AK49" s="55"/>
      <c r="BE49"/>
      <c r="BL49" s="55"/>
    </row>
    <row r="50" spans="1:64" x14ac:dyDescent="0.35">
      <c r="A50" s="474" t="s">
        <v>168</v>
      </c>
      <c r="B50" s="474" t="s">
        <v>169</v>
      </c>
      <c r="C50" s="474" t="s">
        <v>30</v>
      </c>
      <c r="D50" s="475">
        <v>6291107164236</v>
      </c>
      <c r="E50" s="476" t="s">
        <v>170</v>
      </c>
      <c r="F50" s="477" t="s">
        <v>171</v>
      </c>
      <c r="G50" s="478" t="s">
        <v>57</v>
      </c>
      <c r="H50" s="474">
        <v>24</v>
      </c>
      <c r="I50" s="474">
        <v>64</v>
      </c>
      <c r="J50" s="474"/>
      <c r="L50" s="474">
        <v>8</v>
      </c>
      <c r="N50" s="474">
        <v>8</v>
      </c>
      <c r="O50" s="479">
        <v>330</v>
      </c>
      <c r="P50" s="479">
        <v>210</v>
      </c>
      <c r="Q50" s="479">
        <v>230</v>
      </c>
      <c r="R50" s="478" t="s">
        <v>1580</v>
      </c>
      <c r="S50" s="478">
        <v>7</v>
      </c>
      <c r="T50" s="478" t="s">
        <v>172</v>
      </c>
      <c r="U50" s="478" t="s">
        <v>168</v>
      </c>
      <c r="V50" s="571" t="b">
        <v>1</v>
      </c>
      <c r="W50" s="571">
        <v>1</v>
      </c>
      <c r="X50" s="571">
        <v>1</v>
      </c>
      <c r="Y50" s="571" t="s">
        <v>169</v>
      </c>
      <c r="Z50" s="478">
        <v>200</v>
      </c>
      <c r="AA50" s="571">
        <v>1</v>
      </c>
      <c r="AB50" s="571"/>
      <c r="AC50" s="571"/>
      <c r="AD50" s="571"/>
      <c r="AE50" s="571"/>
      <c r="AF50" s="571"/>
      <c r="AG50" s="571"/>
      <c r="AH50" s="571"/>
      <c r="AI50" s="571"/>
      <c r="AJ50" s="571"/>
      <c r="AK50" s="55"/>
      <c r="BE50"/>
      <c r="BL50" s="55"/>
    </row>
    <row r="51" spans="1:64" x14ac:dyDescent="0.35">
      <c r="A51" s="474" t="s">
        <v>173</v>
      </c>
      <c r="B51" s="474" t="s">
        <v>169</v>
      </c>
      <c r="C51" s="474" t="s">
        <v>30</v>
      </c>
      <c r="D51" s="475">
        <v>6291107164243</v>
      </c>
      <c r="E51" s="476" t="s">
        <v>170</v>
      </c>
      <c r="F51" s="477" t="s">
        <v>174</v>
      </c>
      <c r="G51" s="478" t="s">
        <v>57</v>
      </c>
      <c r="H51" s="474">
        <v>24</v>
      </c>
      <c r="I51" s="474">
        <v>64</v>
      </c>
      <c r="J51" s="474"/>
      <c r="L51" s="474">
        <v>8</v>
      </c>
      <c r="N51" s="474">
        <v>8</v>
      </c>
      <c r="O51" s="479">
        <v>330</v>
      </c>
      <c r="P51" s="479">
        <v>210</v>
      </c>
      <c r="Q51" s="479">
        <v>230</v>
      </c>
      <c r="R51" s="478">
        <v>6.35</v>
      </c>
      <c r="S51" s="478">
        <v>7</v>
      </c>
      <c r="T51" s="478" t="s">
        <v>172</v>
      </c>
      <c r="U51" s="478" t="s">
        <v>173</v>
      </c>
      <c r="V51" s="571" t="b">
        <v>1</v>
      </c>
      <c r="W51" s="571">
        <v>1</v>
      </c>
      <c r="X51" s="571">
        <v>1</v>
      </c>
      <c r="Y51" s="571" t="s">
        <v>169</v>
      </c>
      <c r="Z51" s="478">
        <v>200</v>
      </c>
      <c r="AA51" s="571">
        <v>1</v>
      </c>
      <c r="AB51" s="571"/>
      <c r="AC51" s="571"/>
      <c r="AD51" s="571"/>
      <c r="AE51" s="571"/>
      <c r="AF51" s="571"/>
      <c r="AG51" s="571"/>
      <c r="AH51" s="571"/>
      <c r="AI51" s="571"/>
      <c r="AJ51" s="571"/>
      <c r="AK51" s="55"/>
      <c r="BE51"/>
      <c r="BL51" s="55"/>
    </row>
    <row r="52" spans="1:64" x14ac:dyDescent="0.35">
      <c r="A52" s="474" t="s">
        <v>175</v>
      </c>
      <c r="B52" s="474" t="s">
        <v>169</v>
      </c>
      <c r="C52" s="474" t="s">
        <v>30</v>
      </c>
      <c r="D52" s="475">
        <v>6291107164250</v>
      </c>
      <c r="E52" s="476" t="s">
        <v>170</v>
      </c>
      <c r="F52" s="477" t="s">
        <v>176</v>
      </c>
      <c r="G52" s="478" t="s">
        <v>57</v>
      </c>
      <c r="H52" s="474">
        <v>24</v>
      </c>
      <c r="I52" s="474">
        <v>64</v>
      </c>
      <c r="J52" s="474"/>
      <c r="L52" s="474">
        <v>8</v>
      </c>
      <c r="N52" s="474">
        <v>8</v>
      </c>
      <c r="O52" s="479">
        <v>330</v>
      </c>
      <c r="P52" s="479">
        <v>210</v>
      </c>
      <c r="Q52" s="479">
        <v>230</v>
      </c>
      <c r="R52" s="478">
        <v>6.35</v>
      </c>
      <c r="S52" s="478">
        <v>7</v>
      </c>
      <c r="T52" s="478" t="s">
        <v>172</v>
      </c>
      <c r="U52" s="478" t="s">
        <v>175</v>
      </c>
      <c r="V52" s="571" t="b">
        <v>1</v>
      </c>
      <c r="W52" s="571">
        <v>1</v>
      </c>
      <c r="X52" s="571">
        <v>1</v>
      </c>
      <c r="Y52" s="571" t="s">
        <v>169</v>
      </c>
      <c r="Z52" s="478">
        <v>200</v>
      </c>
      <c r="AA52" s="571">
        <v>1</v>
      </c>
      <c r="AB52" s="571"/>
      <c r="AC52" s="571"/>
      <c r="AD52" s="571"/>
      <c r="AE52" s="571"/>
      <c r="AF52" s="571"/>
      <c r="AG52" s="571"/>
      <c r="AH52" s="571"/>
      <c r="AI52" s="571"/>
      <c r="AJ52" s="571"/>
      <c r="AK52" s="55"/>
      <c r="BE52"/>
      <c r="BL52" s="55"/>
    </row>
    <row r="53" spans="1:64" x14ac:dyDescent="0.35">
      <c r="A53" s="474" t="s">
        <v>177</v>
      </c>
      <c r="B53" s="474" t="s">
        <v>169</v>
      </c>
      <c r="C53" s="474" t="s">
        <v>30</v>
      </c>
      <c r="D53" s="475">
        <v>6291107164267</v>
      </c>
      <c r="E53" s="476" t="s">
        <v>170</v>
      </c>
      <c r="F53" s="477" t="s">
        <v>178</v>
      </c>
      <c r="G53" s="478" t="s">
        <v>57</v>
      </c>
      <c r="H53" s="474">
        <v>24</v>
      </c>
      <c r="I53" s="474">
        <v>64</v>
      </c>
      <c r="J53" s="474"/>
      <c r="L53" s="474">
        <v>8</v>
      </c>
      <c r="N53" s="474">
        <v>8</v>
      </c>
      <c r="O53" s="479">
        <v>330</v>
      </c>
      <c r="P53" s="479">
        <v>210</v>
      </c>
      <c r="Q53" s="479">
        <v>230</v>
      </c>
      <c r="R53" s="478">
        <v>6.35</v>
      </c>
      <c r="S53" s="478">
        <v>7</v>
      </c>
      <c r="T53" s="478" t="s">
        <v>172</v>
      </c>
      <c r="U53" s="478" t="s">
        <v>177</v>
      </c>
      <c r="V53" s="571" t="b">
        <v>1</v>
      </c>
      <c r="W53" s="571">
        <v>1</v>
      </c>
      <c r="X53" s="571">
        <v>1</v>
      </c>
      <c r="Y53" s="571" t="s">
        <v>169</v>
      </c>
      <c r="Z53" s="478">
        <v>200</v>
      </c>
      <c r="AA53" s="571">
        <v>1</v>
      </c>
      <c r="AB53" s="571"/>
      <c r="AC53" s="571"/>
      <c r="AD53" s="571"/>
      <c r="AE53" s="571"/>
      <c r="AF53" s="571"/>
      <c r="AG53" s="571"/>
      <c r="AH53" s="571"/>
      <c r="AI53" s="571"/>
      <c r="AJ53" s="571"/>
      <c r="AK53" s="55"/>
      <c r="BE53"/>
      <c r="BL53" s="55"/>
    </row>
    <row r="54" spans="1:64" x14ac:dyDescent="0.35">
      <c r="A54" s="474" t="s">
        <v>725</v>
      </c>
      <c r="B54" s="474" t="s">
        <v>1055</v>
      </c>
      <c r="C54" s="474" t="s">
        <v>19</v>
      </c>
      <c r="D54" s="475">
        <v>6291107160993</v>
      </c>
      <c r="E54" s="242" t="s">
        <v>1154</v>
      </c>
      <c r="F54" s="477" t="s">
        <v>726</v>
      </c>
      <c r="G54" s="478" t="s">
        <v>976</v>
      </c>
      <c r="H54" s="474"/>
      <c r="I54" s="474"/>
      <c r="J54" s="474"/>
      <c r="L54" s="474"/>
      <c r="N54" s="474"/>
      <c r="O54" s="479"/>
      <c r="P54" s="479"/>
      <c r="Q54" s="479"/>
      <c r="R54" s="478"/>
      <c r="S54" s="478"/>
      <c r="T54" s="478"/>
      <c r="U54" s="478" t="s">
        <v>725</v>
      </c>
      <c r="V54" s="571" t="b">
        <v>0</v>
      </c>
      <c r="W54" s="571">
        <v>1</v>
      </c>
      <c r="X54" s="571">
        <v>0</v>
      </c>
      <c r="Y54" s="571" t="s">
        <v>861</v>
      </c>
      <c r="Z54" s="478">
        <v>50</v>
      </c>
      <c r="AA54" s="571"/>
      <c r="AB54" s="571"/>
      <c r="AC54" s="571"/>
      <c r="AD54" s="571"/>
      <c r="AE54" s="571"/>
      <c r="AF54" s="571"/>
      <c r="AG54" s="571"/>
      <c r="AH54" s="571"/>
      <c r="AI54" s="571"/>
      <c r="AJ54" s="571"/>
      <c r="AK54" s="55"/>
      <c r="BE54"/>
      <c r="BL54" s="55"/>
    </row>
    <row r="55" spans="1:64" x14ac:dyDescent="0.35">
      <c r="A55" s="474" t="s">
        <v>727</v>
      </c>
      <c r="B55" s="474" t="s">
        <v>1055</v>
      </c>
      <c r="C55" s="474" t="s">
        <v>19</v>
      </c>
      <c r="D55" s="475"/>
      <c r="E55" s="242" t="s">
        <v>1154</v>
      </c>
      <c r="F55" s="477" t="s">
        <v>728</v>
      </c>
      <c r="G55" s="478" t="s">
        <v>976</v>
      </c>
      <c r="H55" s="474"/>
      <c r="I55" s="474"/>
      <c r="J55" s="474"/>
      <c r="L55" s="474"/>
      <c r="N55" s="474"/>
      <c r="O55" s="479"/>
      <c r="P55" s="479"/>
      <c r="Q55" s="479"/>
      <c r="R55" s="478"/>
      <c r="S55" s="478"/>
      <c r="T55" s="478"/>
      <c r="U55" s="478" t="s">
        <v>727</v>
      </c>
      <c r="V55" s="571" t="b">
        <v>0</v>
      </c>
      <c r="W55" s="571">
        <v>1</v>
      </c>
      <c r="X55" s="571">
        <v>0</v>
      </c>
      <c r="Y55" s="571" t="s">
        <v>861</v>
      </c>
      <c r="Z55" s="478">
        <v>50</v>
      </c>
      <c r="AA55" s="571"/>
      <c r="AB55" s="571"/>
      <c r="AC55" s="571"/>
      <c r="AD55" s="571"/>
      <c r="AE55" s="571"/>
      <c r="AF55" s="571"/>
      <c r="AG55" s="571"/>
      <c r="AH55" s="571"/>
      <c r="AI55" s="571"/>
      <c r="AJ55" s="571"/>
      <c r="AK55" s="55"/>
      <c r="BE55"/>
      <c r="BL55" s="55"/>
    </row>
    <row r="56" spans="1:64" x14ac:dyDescent="0.35">
      <c r="A56" s="474" t="s">
        <v>729</v>
      </c>
      <c r="B56" s="474" t="s">
        <v>1055</v>
      </c>
      <c r="C56" s="474" t="s">
        <v>19</v>
      </c>
      <c r="D56" s="475"/>
      <c r="E56" s="242" t="s">
        <v>1154</v>
      </c>
      <c r="F56" s="477" t="s">
        <v>730</v>
      </c>
      <c r="G56" s="478" t="s">
        <v>976</v>
      </c>
      <c r="H56" s="474"/>
      <c r="I56" s="474"/>
      <c r="J56" s="474"/>
      <c r="L56" s="474"/>
      <c r="N56" s="474"/>
      <c r="O56" s="479"/>
      <c r="P56" s="479"/>
      <c r="Q56" s="479"/>
      <c r="R56" s="478"/>
      <c r="S56" s="478"/>
      <c r="T56" s="478"/>
      <c r="U56" s="478" t="s">
        <v>729</v>
      </c>
      <c r="V56" s="571" t="b">
        <v>0</v>
      </c>
      <c r="W56" s="571">
        <v>1</v>
      </c>
      <c r="X56" s="571">
        <v>0</v>
      </c>
      <c r="Y56" s="571" t="s">
        <v>861</v>
      </c>
      <c r="Z56" s="478">
        <v>50</v>
      </c>
      <c r="AA56" s="571"/>
      <c r="AB56" s="571"/>
      <c r="AC56" s="571"/>
      <c r="AD56" s="571"/>
      <c r="AE56" s="571"/>
      <c r="AF56" s="571"/>
      <c r="AG56" s="571"/>
      <c r="AH56" s="571"/>
      <c r="AI56" s="571"/>
      <c r="AJ56" s="571"/>
      <c r="AK56" s="55"/>
      <c r="BE56"/>
      <c r="BL56" s="55"/>
    </row>
    <row r="57" spans="1:64" x14ac:dyDescent="0.35">
      <c r="A57" s="474" t="s">
        <v>731</v>
      </c>
      <c r="B57" s="474" t="s">
        <v>1055</v>
      </c>
      <c r="C57" s="474" t="s">
        <v>19</v>
      </c>
      <c r="D57" s="475"/>
      <c r="E57" s="242" t="s">
        <v>1154</v>
      </c>
      <c r="F57" s="477" t="s">
        <v>732</v>
      </c>
      <c r="G57" s="478" t="s">
        <v>976</v>
      </c>
      <c r="H57" s="474"/>
      <c r="I57" s="474"/>
      <c r="J57" s="474"/>
      <c r="L57" s="474"/>
      <c r="N57" s="474"/>
      <c r="O57" s="479"/>
      <c r="P57" s="479"/>
      <c r="Q57" s="479"/>
      <c r="R57" s="478"/>
      <c r="S57" s="478"/>
      <c r="T57" s="478"/>
      <c r="U57" s="478" t="s">
        <v>731</v>
      </c>
      <c r="V57" s="571" t="b">
        <v>0</v>
      </c>
      <c r="W57" s="571">
        <v>1</v>
      </c>
      <c r="X57" s="571">
        <v>0</v>
      </c>
      <c r="Y57" s="571" t="s">
        <v>861</v>
      </c>
      <c r="Z57" s="478">
        <v>50</v>
      </c>
      <c r="AA57" s="571"/>
      <c r="AB57" s="571"/>
      <c r="AC57" s="571"/>
      <c r="AD57" s="571"/>
      <c r="AE57" s="571"/>
      <c r="AF57" s="571"/>
      <c r="AG57" s="571"/>
      <c r="AH57" s="571"/>
      <c r="AI57" s="571"/>
      <c r="AJ57" s="571"/>
      <c r="AK57" s="55"/>
      <c r="BE57"/>
      <c r="BL57" s="55"/>
    </row>
    <row r="58" spans="1:64" x14ac:dyDescent="0.35">
      <c r="A58" s="474" t="s">
        <v>733</v>
      </c>
      <c r="B58" s="474" t="s">
        <v>1055</v>
      </c>
      <c r="C58" s="474" t="s">
        <v>30</v>
      </c>
      <c r="D58" s="475"/>
      <c r="E58" s="242" t="s">
        <v>1154</v>
      </c>
      <c r="F58" s="477" t="s">
        <v>734</v>
      </c>
      <c r="G58" s="478" t="s">
        <v>976</v>
      </c>
      <c r="H58" s="474"/>
      <c r="I58" s="474"/>
      <c r="J58" s="474"/>
      <c r="L58" s="474"/>
      <c r="N58" s="474"/>
      <c r="O58" s="479"/>
      <c r="P58" s="479"/>
      <c r="Q58" s="479"/>
      <c r="R58" s="478"/>
      <c r="S58" s="478"/>
      <c r="T58" s="478"/>
      <c r="U58" s="478" t="s">
        <v>733</v>
      </c>
      <c r="V58" s="571" t="b">
        <v>0</v>
      </c>
      <c r="W58" s="571">
        <v>1</v>
      </c>
      <c r="X58" s="571">
        <v>0</v>
      </c>
      <c r="Y58" s="571" t="s">
        <v>861</v>
      </c>
      <c r="Z58" s="478">
        <v>50</v>
      </c>
      <c r="AA58" s="571"/>
      <c r="AB58" s="571"/>
      <c r="AC58" s="571"/>
      <c r="AD58" s="571"/>
      <c r="AE58" s="571"/>
      <c r="AF58" s="571"/>
      <c r="AG58" s="571"/>
      <c r="AH58" s="571"/>
      <c r="AI58" s="571"/>
      <c r="AJ58" s="571"/>
      <c r="AK58" s="55"/>
      <c r="BE58"/>
      <c r="BL58" s="55"/>
    </row>
    <row r="59" spans="1:64" x14ac:dyDescent="0.35">
      <c r="A59" s="474" t="s">
        <v>735</v>
      </c>
      <c r="B59" s="474" t="s">
        <v>1055</v>
      </c>
      <c r="C59" s="474" t="s">
        <v>30</v>
      </c>
      <c r="D59" s="475"/>
      <c r="E59" s="242" t="s">
        <v>1154</v>
      </c>
      <c r="F59" s="477" t="s">
        <v>736</v>
      </c>
      <c r="G59" s="478" t="s">
        <v>976</v>
      </c>
      <c r="H59" s="474"/>
      <c r="I59" s="474"/>
      <c r="J59" s="474"/>
      <c r="L59" s="474"/>
      <c r="N59" s="474"/>
      <c r="O59" s="479"/>
      <c r="P59" s="479"/>
      <c r="Q59" s="479"/>
      <c r="R59" s="478"/>
      <c r="S59" s="478"/>
      <c r="T59" s="478"/>
      <c r="U59" s="478" t="s">
        <v>735</v>
      </c>
      <c r="V59" s="571" t="b">
        <v>0</v>
      </c>
      <c r="W59" s="571">
        <v>1</v>
      </c>
      <c r="X59" s="571">
        <v>0</v>
      </c>
      <c r="Y59" s="571" t="s">
        <v>861</v>
      </c>
      <c r="Z59" s="478">
        <v>50</v>
      </c>
      <c r="AA59" s="571"/>
      <c r="AB59" s="571"/>
      <c r="AC59" s="571"/>
      <c r="AD59" s="571"/>
      <c r="AE59" s="571"/>
      <c r="AF59" s="571"/>
      <c r="AG59" s="571"/>
      <c r="AH59" s="571"/>
      <c r="AI59" s="571"/>
      <c r="AJ59" s="571"/>
      <c r="AK59" s="55"/>
      <c r="BE59"/>
      <c r="BL59" s="55"/>
    </row>
    <row r="60" spans="1:64" x14ac:dyDescent="0.35">
      <c r="A60" s="474" t="s">
        <v>737</v>
      </c>
      <c r="B60" s="474" t="s">
        <v>1055</v>
      </c>
      <c r="C60" s="474" t="s">
        <v>30</v>
      </c>
      <c r="D60" s="475"/>
      <c r="E60" s="242" t="s">
        <v>1154</v>
      </c>
      <c r="F60" s="477" t="s">
        <v>738</v>
      </c>
      <c r="G60" s="478" t="s">
        <v>976</v>
      </c>
      <c r="H60" s="474"/>
      <c r="I60" s="474"/>
      <c r="J60" s="474"/>
      <c r="L60" s="474"/>
      <c r="N60" s="474"/>
      <c r="O60" s="479"/>
      <c r="P60" s="479"/>
      <c r="Q60" s="479"/>
      <c r="R60" s="478"/>
      <c r="S60" s="478"/>
      <c r="T60" s="478"/>
      <c r="U60" s="478" t="s">
        <v>737</v>
      </c>
      <c r="V60" s="571" t="b">
        <v>0</v>
      </c>
      <c r="W60" s="571">
        <v>1</v>
      </c>
      <c r="X60" s="571">
        <v>0</v>
      </c>
      <c r="Y60" s="571" t="s">
        <v>861</v>
      </c>
      <c r="Z60" s="478">
        <v>50</v>
      </c>
      <c r="AA60" s="571"/>
      <c r="AB60" s="571"/>
      <c r="AC60" s="571"/>
      <c r="AD60" s="571"/>
      <c r="AE60" s="571"/>
      <c r="AF60" s="571"/>
      <c r="AG60" s="571"/>
      <c r="AH60" s="571"/>
      <c r="AI60" s="571"/>
      <c r="AJ60" s="571"/>
      <c r="AK60" s="55"/>
      <c r="BE60"/>
      <c r="BL60" s="55"/>
    </row>
    <row r="61" spans="1:64" x14ac:dyDescent="0.35">
      <c r="A61" s="474" t="s">
        <v>739</v>
      </c>
      <c r="B61" s="474" t="s">
        <v>1055</v>
      </c>
      <c r="C61" s="474" t="s">
        <v>30</v>
      </c>
      <c r="D61" s="475"/>
      <c r="E61" s="242" t="s">
        <v>1154</v>
      </c>
      <c r="F61" s="477" t="s">
        <v>740</v>
      </c>
      <c r="G61" s="478" t="s">
        <v>976</v>
      </c>
      <c r="H61" s="474"/>
      <c r="I61" s="474"/>
      <c r="J61" s="474"/>
      <c r="L61" s="474"/>
      <c r="N61" s="474"/>
      <c r="O61" s="479"/>
      <c r="P61" s="479"/>
      <c r="Q61" s="479"/>
      <c r="R61" s="478"/>
      <c r="S61" s="478"/>
      <c r="T61" s="478"/>
      <c r="U61" s="478" t="s">
        <v>739</v>
      </c>
      <c r="V61" s="571" t="b">
        <v>0</v>
      </c>
      <c r="W61" s="571">
        <v>1</v>
      </c>
      <c r="X61" s="571">
        <v>0</v>
      </c>
      <c r="Y61" s="571" t="s">
        <v>861</v>
      </c>
      <c r="Z61" s="478">
        <v>50</v>
      </c>
      <c r="AA61" s="571"/>
      <c r="AB61" s="571"/>
      <c r="AC61" s="571"/>
      <c r="AD61" s="571"/>
      <c r="AE61" s="571"/>
      <c r="AF61" s="571"/>
      <c r="AG61" s="571"/>
      <c r="AH61" s="571"/>
      <c r="AI61" s="571"/>
      <c r="AJ61" s="571"/>
      <c r="AK61" s="55"/>
      <c r="BE61"/>
      <c r="BL61" s="55"/>
    </row>
    <row r="62" spans="1:64" x14ac:dyDescent="0.35">
      <c r="A62" s="474" t="s">
        <v>1039</v>
      </c>
      <c r="B62" s="474" t="s">
        <v>1055</v>
      </c>
      <c r="C62" s="474" t="s">
        <v>19</v>
      </c>
      <c r="D62" s="475"/>
      <c r="E62" s="242" t="s">
        <v>1154</v>
      </c>
      <c r="F62" s="477" t="s">
        <v>1047</v>
      </c>
      <c r="G62" s="478" t="s">
        <v>976</v>
      </c>
      <c r="H62" s="474"/>
      <c r="I62" s="474"/>
      <c r="J62" s="474"/>
      <c r="L62" s="474"/>
      <c r="N62" s="474"/>
      <c r="O62" s="479"/>
      <c r="P62" s="479"/>
      <c r="Q62" s="479"/>
      <c r="R62" s="478"/>
      <c r="S62" s="478"/>
      <c r="T62" s="478"/>
      <c r="U62" s="478" t="s">
        <v>1039</v>
      </c>
      <c r="V62" s="571" t="b">
        <v>0</v>
      </c>
      <c r="W62" s="571">
        <v>1</v>
      </c>
      <c r="X62" s="571">
        <v>0</v>
      </c>
      <c r="Y62" s="571" t="s">
        <v>861</v>
      </c>
      <c r="Z62" s="478">
        <v>50</v>
      </c>
      <c r="AA62" s="571"/>
      <c r="AB62" s="571"/>
      <c r="AC62" s="571"/>
      <c r="AD62" s="571"/>
      <c r="AE62" s="571"/>
      <c r="AF62" s="571"/>
      <c r="AG62" s="571"/>
      <c r="AH62" s="571"/>
      <c r="AI62" s="571"/>
      <c r="AJ62" s="571"/>
      <c r="AK62" s="55"/>
      <c r="BE62"/>
      <c r="BL62" s="55"/>
    </row>
    <row r="63" spans="1:64" x14ac:dyDescent="0.35">
      <c r="A63" s="474" t="s">
        <v>1040</v>
      </c>
      <c r="B63" s="474" t="s">
        <v>1055</v>
      </c>
      <c r="C63" s="474" t="s">
        <v>19</v>
      </c>
      <c r="D63" s="475"/>
      <c r="E63" s="242" t="s">
        <v>1154</v>
      </c>
      <c r="F63" s="477" t="s">
        <v>1048</v>
      </c>
      <c r="G63" s="478" t="s">
        <v>976</v>
      </c>
      <c r="H63" s="474"/>
      <c r="I63" s="474"/>
      <c r="J63" s="474"/>
      <c r="L63" s="474"/>
      <c r="N63" s="474"/>
      <c r="O63" s="479"/>
      <c r="P63" s="479"/>
      <c r="Q63" s="479"/>
      <c r="R63" s="478"/>
      <c r="S63" s="478"/>
      <c r="T63" s="478"/>
      <c r="U63" s="478" t="s">
        <v>1040</v>
      </c>
      <c r="V63" s="571" t="b">
        <v>0</v>
      </c>
      <c r="W63" s="571">
        <v>1</v>
      </c>
      <c r="X63" s="571">
        <v>0</v>
      </c>
      <c r="Y63" s="571" t="s">
        <v>861</v>
      </c>
      <c r="Z63" s="478">
        <v>50</v>
      </c>
      <c r="AA63" s="571"/>
      <c r="AB63" s="571"/>
      <c r="AC63" s="571"/>
      <c r="AD63" s="571"/>
      <c r="AE63" s="571"/>
      <c r="AF63" s="571"/>
      <c r="AG63" s="571"/>
      <c r="AH63" s="571"/>
      <c r="AI63" s="571"/>
      <c r="AJ63" s="571"/>
      <c r="AK63" s="55"/>
      <c r="BE63"/>
      <c r="BL63" s="55"/>
    </row>
    <row r="64" spans="1:64" x14ac:dyDescent="0.35">
      <c r="A64" s="474" t="s">
        <v>1041</v>
      </c>
      <c r="B64" s="474" t="s">
        <v>1055</v>
      </c>
      <c r="C64" s="474" t="s">
        <v>19</v>
      </c>
      <c r="D64" s="475"/>
      <c r="E64" s="242" t="s">
        <v>1154</v>
      </c>
      <c r="F64" s="477" t="s">
        <v>1049</v>
      </c>
      <c r="G64" s="478" t="s">
        <v>976</v>
      </c>
      <c r="H64" s="474"/>
      <c r="I64" s="474"/>
      <c r="J64" s="474"/>
      <c r="L64" s="474"/>
      <c r="N64" s="474"/>
      <c r="O64" s="479"/>
      <c r="P64" s="479"/>
      <c r="Q64" s="479"/>
      <c r="R64" s="478"/>
      <c r="S64" s="478"/>
      <c r="T64" s="478"/>
      <c r="U64" s="478" t="s">
        <v>1041</v>
      </c>
      <c r="V64" s="571" t="b">
        <v>0</v>
      </c>
      <c r="W64" s="571">
        <v>1</v>
      </c>
      <c r="X64" s="571">
        <v>0</v>
      </c>
      <c r="Y64" s="571" t="s">
        <v>861</v>
      </c>
      <c r="Z64" s="478">
        <v>50</v>
      </c>
      <c r="AA64" s="571"/>
      <c r="AB64" s="571"/>
      <c r="AC64" s="571"/>
      <c r="AD64" s="571"/>
      <c r="AE64" s="571"/>
      <c r="AF64" s="571"/>
      <c r="AG64" s="571"/>
      <c r="AH64" s="571"/>
      <c r="AI64" s="571"/>
      <c r="AJ64" s="571"/>
      <c r="AK64" s="55"/>
      <c r="BE64"/>
      <c r="BL64" s="55"/>
    </row>
    <row r="65" spans="1:64" x14ac:dyDescent="0.35">
      <c r="A65" s="474" t="s">
        <v>1042</v>
      </c>
      <c r="B65" s="474" t="s">
        <v>1055</v>
      </c>
      <c r="C65" s="474" t="s">
        <v>19</v>
      </c>
      <c r="D65" s="475"/>
      <c r="E65" s="242" t="s">
        <v>1154</v>
      </c>
      <c r="F65" s="477" t="s">
        <v>1050</v>
      </c>
      <c r="G65" s="478" t="s">
        <v>976</v>
      </c>
      <c r="H65" s="474"/>
      <c r="I65" s="474"/>
      <c r="J65" s="474"/>
      <c r="L65" s="474"/>
      <c r="N65" s="474"/>
      <c r="O65" s="479"/>
      <c r="P65" s="479"/>
      <c r="Q65" s="479"/>
      <c r="R65" s="478"/>
      <c r="S65" s="478"/>
      <c r="T65" s="478"/>
      <c r="U65" s="478" t="s">
        <v>1042</v>
      </c>
      <c r="V65" s="571" t="b">
        <v>0</v>
      </c>
      <c r="W65" s="571">
        <v>1</v>
      </c>
      <c r="X65" s="571">
        <v>0</v>
      </c>
      <c r="Y65" s="571" t="s">
        <v>861</v>
      </c>
      <c r="Z65" s="478">
        <v>50</v>
      </c>
      <c r="AA65" s="571"/>
      <c r="AB65" s="571"/>
      <c r="AC65" s="571"/>
      <c r="AD65" s="571"/>
      <c r="AE65" s="571"/>
      <c r="AF65" s="571"/>
      <c r="AG65" s="571"/>
      <c r="AH65" s="571"/>
      <c r="AI65" s="571"/>
      <c r="AJ65" s="571"/>
      <c r="AK65" s="55"/>
      <c r="BE65"/>
      <c r="BL65" s="55"/>
    </row>
    <row r="66" spans="1:64" x14ac:dyDescent="0.35">
      <c r="A66" s="474" t="s">
        <v>1043</v>
      </c>
      <c r="B66" s="474" t="s">
        <v>1055</v>
      </c>
      <c r="C66" s="474" t="s">
        <v>30</v>
      </c>
      <c r="D66" s="475"/>
      <c r="E66" s="242" t="s">
        <v>1154</v>
      </c>
      <c r="F66" s="477" t="s">
        <v>1051</v>
      </c>
      <c r="G66" s="478" t="s">
        <v>976</v>
      </c>
      <c r="H66" s="474"/>
      <c r="I66" s="474"/>
      <c r="J66" s="474"/>
      <c r="L66" s="474"/>
      <c r="N66" s="474"/>
      <c r="O66" s="479"/>
      <c r="P66" s="479"/>
      <c r="Q66" s="479"/>
      <c r="R66" s="478"/>
      <c r="S66" s="478"/>
      <c r="T66" s="478"/>
      <c r="U66" s="478" t="s">
        <v>1043</v>
      </c>
      <c r="V66" s="571" t="b">
        <v>0</v>
      </c>
      <c r="W66" s="571">
        <v>1</v>
      </c>
      <c r="X66" s="571">
        <v>0</v>
      </c>
      <c r="Y66" s="571" t="s">
        <v>861</v>
      </c>
      <c r="Z66" s="478">
        <v>50</v>
      </c>
      <c r="AA66" s="571"/>
      <c r="AB66" s="571"/>
      <c r="AC66" s="571"/>
      <c r="AD66" s="571"/>
      <c r="AE66" s="571"/>
      <c r="AF66" s="571"/>
      <c r="AG66" s="571"/>
      <c r="AH66" s="571"/>
      <c r="AI66" s="571"/>
      <c r="AJ66" s="571"/>
      <c r="AK66" s="55"/>
      <c r="BE66"/>
      <c r="BL66" s="55"/>
    </row>
    <row r="67" spans="1:64" x14ac:dyDescent="0.35">
      <c r="A67" s="474" t="s">
        <v>1044</v>
      </c>
      <c r="B67" s="474" t="s">
        <v>1055</v>
      </c>
      <c r="C67" s="474" t="s">
        <v>30</v>
      </c>
      <c r="D67" s="475"/>
      <c r="E67" s="242" t="s">
        <v>1154</v>
      </c>
      <c r="F67" s="477" t="s">
        <v>1052</v>
      </c>
      <c r="G67" s="478" t="s">
        <v>976</v>
      </c>
      <c r="H67" s="474"/>
      <c r="I67" s="474"/>
      <c r="J67" s="474"/>
      <c r="L67" s="474"/>
      <c r="N67" s="474"/>
      <c r="O67" s="479"/>
      <c r="P67" s="479"/>
      <c r="Q67" s="479"/>
      <c r="R67" s="478"/>
      <c r="S67" s="478"/>
      <c r="T67" s="478"/>
      <c r="U67" s="478" t="s">
        <v>1044</v>
      </c>
      <c r="V67" s="571" t="b">
        <v>0</v>
      </c>
      <c r="W67" s="571">
        <v>1</v>
      </c>
      <c r="X67" s="571">
        <v>0</v>
      </c>
      <c r="Y67" s="571" t="s">
        <v>861</v>
      </c>
      <c r="Z67" s="478">
        <v>50</v>
      </c>
      <c r="AA67" s="571"/>
      <c r="AB67" s="571"/>
      <c r="AC67" s="571"/>
      <c r="AD67" s="571"/>
      <c r="AE67" s="571"/>
      <c r="AF67" s="571"/>
      <c r="AG67" s="571"/>
      <c r="AH67" s="571"/>
      <c r="AI67" s="571"/>
      <c r="AJ67" s="571"/>
      <c r="AK67" s="55"/>
      <c r="BE67"/>
      <c r="BL67" s="55"/>
    </row>
    <row r="68" spans="1:64" x14ac:dyDescent="0.35">
      <c r="A68" s="474" t="s">
        <v>1045</v>
      </c>
      <c r="B68" s="474" t="s">
        <v>1055</v>
      </c>
      <c r="C68" s="474" t="s">
        <v>30</v>
      </c>
      <c r="D68" s="475"/>
      <c r="E68" s="242" t="s">
        <v>1154</v>
      </c>
      <c r="F68" s="477" t="s">
        <v>1053</v>
      </c>
      <c r="G68" s="478" t="s">
        <v>976</v>
      </c>
      <c r="H68" s="474"/>
      <c r="I68" s="474"/>
      <c r="J68" s="474"/>
      <c r="L68" s="474"/>
      <c r="N68" s="474"/>
      <c r="O68" s="479"/>
      <c r="P68" s="479"/>
      <c r="Q68" s="479"/>
      <c r="R68" s="478"/>
      <c r="S68" s="478"/>
      <c r="T68" s="478"/>
      <c r="U68" s="478" t="s">
        <v>1045</v>
      </c>
      <c r="V68" s="571" t="b">
        <v>0</v>
      </c>
      <c r="W68" s="571">
        <v>1</v>
      </c>
      <c r="X68" s="571">
        <v>0</v>
      </c>
      <c r="Y68" s="571" t="s">
        <v>861</v>
      </c>
      <c r="Z68" s="478">
        <v>50</v>
      </c>
      <c r="AA68" s="571"/>
      <c r="AB68" s="571"/>
      <c r="AC68" s="571"/>
      <c r="AD68" s="571"/>
      <c r="AE68" s="571"/>
      <c r="AF68" s="571"/>
      <c r="AG68" s="571"/>
      <c r="AH68" s="571"/>
      <c r="AI68" s="571"/>
      <c r="AJ68" s="571"/>
      <c r="AK68" s="55"/>
      <c r="BE68"/>
      <c r="BL68" s="55"/>
    </row>
    <row r="69" spans="1:64" x14ac:dyDescent="0.35">
      <c r="A69" s="474" t="s">
        <v>1046</v>
      </c>
      <c r="B69" s="474" t="s">
        <v>1055</v>
      </c>
      <c r="C69" s="474" t="s">
        <v>30</v>
      </c>
      <c r="D69" s="475"/>
      <c r="E69" s="242" t="s">
        <v>1154</v>
      </c>
      <c r="F69" s="477" t="s">
        <v>1054</v>
      </c>
      <c r="G69" s="478" t="s">
        <v>976</v>
      </c>
      <c r="H69" s="474"/>
      <c r="I69" s="474"/>
      <c r="J69" s="474"/>
      <c r="L69" s="474"/>
      <c r="N69" s="474"/>
      <c r="O69" s="479"/>
      <c r="P69" s="479"/>
      <c r="Q69" s="479"/>
      <c r="R69" s="478"/>
      <c r="S69" s="478"/>
      <c r="T69" s="478"/>
      <c r="U69" s="478" t="s">
        <v>1046</v>
      </c>
      <c r="V69" s="571" t="b">
        <v>0</v>
      </c>
      <c r="W69" s="571">
        <v>1</v>
      </c>
      <c r="X69" s="571">
        <v>0</v>
      </c>
      <c r="Y69" s="571" t="s">
        <v>861</v>
      </c>
      <c r="Z69" s="478">
        <v>50</v>
      </c>
      <c r="AA69" s="571"/>
      <c r="AB69" s="571"/>
      <c r="AC69" s="571"/>
      <c r="AD69" s="571"/>
      <c r="AE69" s="571"/>
      <c r="AF69" s="571"/>
      <c r="AG69" s="571"/>
      <c r="AH69" s="571"/>
      <c r="AI69" s="571"/>
      <c r="AJ69" s="571"/>
      <c r="AK69" s="55"/>
      <c r="BE69"/>
      <c r="BL69" s="55"/>
    </row>
    <row r="70" spans="1:64" x14ac:dyDescent="0.35">
      <c r="A70" s="474" t="s">
        <v>713</v>
      </c>
      <c r="B70" s="474" t="s">
        <v>1055</v>
      </c>
      <c r="C70" s="474" t="s">
        <v>19</v>
      </c>
      <c r="D70" s="475"/>
      <c r="E70" s="242" t="s">
        <v>1154</v>
      </c>
      <c r="F70" s="477" t="s">
        <v>721</v>
      </c>
      <c r="G70" s="478" t="s">
        <v>976</v>
      </c>
      <c r="H70" s="474"/>
      <c r="I70" s="474"/>
      <c r="J70" s="474"/>
      <c r="L70" s="474"/>
      <c r="N70" s="474"/>
      <c r="O70" s="479"/>
      <c r="P70" s="479"/>
      <c r="Q70" s="479"/>
      <c r="R70" s="478"/>
      <c r="S70" s="478"/>
      <c r="T70" s="478"/>
      <c r="U70" s="478" t="s">
        <v>713</v>
      </c>
      <c r="V70" s="571" t="b">
        <v>0</v>
      </c>
      <c r="W70" s="571">
        <v>1</v>
      </c>
      <c r="X70" s="571">
        <v>0</v>
      </c>
      <c r="Y70" s="571" t="s">
        <v>861</v>
      </c>
      <c r="Z70" s="478">
        <v>100</v>
      </c>
      <c r="AA70" s="571"/>
      <c r="AB70" s="571"/>
      <c r="AC70" s="571"/>
      <c r="AD70" s="571"/>
      <c r="AE70" s="571"/>
      <c r="AF70" s="571"/>
      <c r="AG70" s="571"/>
      <c r="AH70" s="571"/>
      <c r="AI70" s="571"/>
      <c r="AJ70" s="571"/>
      <c r="AK70" s="55"/>
      <c r="BE70"/>
      <c r="BL70" s="55"/>
    </row>
    <row r="71" spans="1:64" x14ac:dyDescent="0.35">
      <c r="A71" s="474" t="s">
        <v>714</v>
      </c>
      <c r="B71" s="474" t="s">
        <v>1055</v>
      </c>
      <c r="C71" s="474" t="s">
        <v>19</v>
      </c>
      <c r="D71" s="475"/>
      <c r="E71" s="242" t="s">
        <v>1154</v>
      </c>
      <c r="F71" s="477" t="s">
        <v>722</v>
      </c>
      <c r="G71" s="478" t="s">
        <v>976</v>
      </c>
      <c r="H71" s="474"/>
      <c r="I71" s="474"/>
      <c r="J71" s="474"/>
      <c r="L71" s="474"/>
      <c r="N71" s="474"/>
      <c r="O71" s="479"/>
      <c r="P71" s="479"/>
      <c r="Q71" s="479"/>
      <c r="R71" s="478"/>
      <c r="S71" s="478"/>
      <c r="T71" s="478"/>
      <c r="U71" s="478" t="s">
        <v>714</v>
      </c>
      <c r="V71" s="571" t="b">
        <v>0</v>
      </c>
      <c r="W71" s="571">
        <v>1</v>
      </c>
      <c r="X71" s="571">
        <v>0</v>
      </c>
      <c r="Y71" s="571" t="s">
        <v>861</v>
      </c>
      <c r="Z71" s="478">
        <v>100</v>
      </c>
      <c r="AA71" s="571"/>
      <c r="AB71" s="571"/>
      <c r="AC71" s="571"/>
      <c r="AD71" s="571"/>
      <c r="AE71" s="571"/>
      <c r="AF71" s="571"/>
      <c r="AG71" s="571"/>
      <c r="AH71" s="571"/>
      <c r="AI71" s="571"/>
      <c r="AJ71" s="571"/>
      <c r="AK71" s="55"/>
      <c r="BE71"/>
      <c r="BL71" s="55"/>
    </row>
    <row r="72" spans="1:64" x14ac:dyDescent="0.35">
      <c r="A72" s="474" t="s">
        <v>715</v>
      </c>
      <c r="B72" s="474" t="s">
        <v>1055</v>
      </c>
      <c r="C72" s="474" t="s">
        <v>19</v>
      </c>
      <c r="D72" s="475"/>
      <c r="E72" s="242" t="s">
        <v>1154</v>
      </c>
      <c r="F72" s="477" t="s">
        <v>723</v>
      </c>
      <c r="G72" s="478" t="s">
        <v>976</v>
      </c>
      <c r="H72" s="474"/>
      <c r="I72" s="474"/>
      <c r="J72" s="474"/>
      <c r="L72" s="474"/>
      <c r="N72" s="474"/>
      <c r="O72" s="479"/>
      <c r="P72" s="479"/>
      <c r="Q72" s="479"/>
      <c r="R72" s="478"/>
      <c r="S72" s="478"/>
      <c r="T72" s="478"/>
      <c r="U72" s="478" t="s">
        <v>715</v>
      </c>
      <c r="V72" s="571" t="b">
        <v>0</v>
      </c>
      <c r="W72" s="571">
        <v>1</v>
      </c>
      <c r="X72" s="571">
        <v>0</v>
      </c>
      <c r="Y72" s="571" t="s">
        <v>861</v>
      </c>
      <c r="Z72" s="478">
        <v>100</v>
      </c>
      <c r="AA72" s="571"/>
      <c r="AB72" s="571"/>
      <c r="AC72" s="571"/>
      <c r="AD72" s="571"/>
      <c r="AE72" s="571"/>
      <c r="AF72" s="571"/>
      <c r="AG72" s="571"/>
      <c r="AH72" s="571"/>
      <c r="AI72" s="571"/>
      <c r="AJ72" s="571"/>
      <c r="AK72" s="55"/>
      <c r="BE72"/>
      <c r="BL72" s="55"/>
    </row>
    <row r="73" spans="1:64" x14ac:dyDescent="0.35">
      <c r="A73" s="474" t="s">
        <v>716</v>
      </c>
      <c r="B73" s="474" t="s">
        <v>1055</v>
      </c>
      <c r="C73" s="474" t="s">
        <v>19</v>
      </c>
      <c r="D73" s="475"/>
      <c r="E73" s="242" t="s">
        <v>1154</v>
      </c>
      <c r="F73" s="477" t="s">
        <v>724</v>
      </c>
      <c r="G73" s="478" t="s">
        <v>976</v>
      </c>
      <c r="H73" s="474"/>
      <c r="I73" s="474"/>
      <c r="J73" s="474"/>
      <c r="L73" s="474"/>
      <c r="N73" s="474"/>
      <c r="O73" s="479"/>
      <c r="P73" s="479"/>
      <c r="Q73" s="479"/>
      <c r="R73" s="478"/>
      <c r="S73" s="478"/>
      <c r="T73" s="478"/>
      <c r="U73" s="478" t="s">
        <v>716</v>
      </c>
      <c r="V73" s="571" t="b">
        <v>0</v>
      </c>
      <c r="W73" s="571">
        <v>1</v>
      </c>
      <c r="X73" s="571">
        <v>0</v>
      </c>
      <c r="Y73" s="571" t="s">
        <v>861</v>
      </c>
      <c r="Z73" s="478">
        <v>100</v>
      </c>
      <c r="AA73" s="571"/>
      <c r="AB73" s="571"/>
      <c r="AC73" s="571"/>
      <c r="AD73" s="571"/>
      <c r="AE73" s="571"/>
      <c r="AF73" s="571"/>
      <c r="AG73" s="571"/>
      <c r="AH73" s="571"/>
      <c r="AI73" s="571"/>
      <c r="AJ73" s="571"/>
      <c r="AK73" s="55"/>
      <c r="BE73"/>
      <c r="BL73" s="55"/>
    </row>
    <row r="74" spans="1:64" x14ac:dyDescent="0.35">
      <c r="A74" s="474" t="s">
        <v>717</v>
      </c>
      <c r="B74" s="474" t="s">
        <v>1055</v>
      </c>
      <c r="C74" s="474" t="s">
        <v>30</v>
      </c>
      <c r="D74" s="475"/>
      <c r="E74" s="242" t="s">
        <v>1154</v>
      </c>
      <c r="F74" s="477" t="s">
        <v>741</v>
      </c>
      <c r="G74" s="478" t="s">
        <v>976</v>
      </c>
      <c r="H74" s="474"/>
      <c r="I74" s="474"/>
      <c r="J74" s="474"/>
      <c r="L74" s="474"/>
      <c r="N74" s="474"/>
      <c r="O74" s="479"/>
      <c r="P74" s="479"/>
      <c r="Q74" s="479"/>
      <c r="R74" s="478"/>
      <c r="S74" s="478"/>
      <c r="T74" s="478"/>
      <c r="U74" s="478" t="s">
        <v>717</v>
      </c>
      <c r="V74" s="571" t="b">
        <v>0</v>
      </c>
      <c r="W74" s="571">
        <v>1</v>
      </c>
      <c r="X74" s="571">
        <v>0</v>
      </c>
      <c r="Y74" s="571" t="s">
        <v>861</v>
      </c>
      <c r="Z74" s="478">
        <v>100</v>
      </c>
      <c r="AA74" s="571"/>
      <c r="AB74" s="571"/>
      <c r="AC74" s="571"/>
      <c r="AD74" s="571"/>
      <c r="AE74" s="571"/>
      <c r="AF74" s="571"/>
      <c r="AG74" s="571"/>
      <c r="AH74" s="571"/>
      <c r="AI74" s="571"/>
      <c r="AJ74" s="571"/>
      <c r="AK74" s="55"/>
      <c r="BE74"/>
      <c r="BL74" s="55"/>
    </row>
    <row r="75" spans="1:64" x14ac:dyDescent="0.35">
      <c r="A75" s="474" t="s">
        <v>718</v>
      </c>
      <c r="B75" s="474" t="s">
        <v>1055</v>
      </c>
      <c r="C75" s="474" t="s">
        <v>30</v>
      </c>
      <c r="D75" s="475"/>
      <c r="E75" s="242" t="s">
        <v>1154</v>
      </c>
      <c r="F75" s="477" t="s">
        <v>742</v>
      </c>
      <c r="G75" s="478" t="s">
        <v>976</v>
      </c>
      <c r="H75" s="474"/>
      <c r="I75" s="474"/>
      <c r="J75" s="474"/>
      <c r="L75" s="474"/>
      <c r="N75" s="474"/>
      <c r="O75" s="479"/>
      <c r="P75" s="479"/>
      <c r="Q75" s="479"/>
      <c r="R75" s="478"/>
      <c r="S75" s="478"/>
      <c r="T75" s="478"/>
      <c r="U75" s="478" t="s">
        <v>718</v>
      </c>
      <c r="V75" s="571" t="b">
        <v>0</v>
      </c>
      <c r="W75" s="571">
        <v>1</v>
      </c>
      <c r="X75" s="571">
        <v>0</v>
      </c>
      <c r="Y75" s="571" t="s">
        <v>861</v>
      </c>
      <c r="Z75" s="478">
        <v>100</v>
      </c>
      <c r="AA75" s="571"/>
      <c r="AB75" s="571"/>
      <c r="AC75" s="571"/>
      <c r="AD75" s="571"/>
      <c r="AE75" s="571"/>
      <c r="AF75" s="571"/>
      <c r="AG75" s="571"/>
      <c r="AH75" s="571"/>
      <c r="AI75" s="571"/>
      <c r="AJ75" s="571"/>
      <c r="AK75" s="55"/>
      <c r="BE75"/>
      <c r="BL75" s="55"/>
    </row>
    <row r="76" spans="1:64" x14ac:dyDescent="0.35">
      <c r="A76" s="474" t="s">
        <v>719</v>
      </c>
      <c r="B76" s="474" t="s">
        <v>1055</v>
      </c>
      <c r="C76" s="474" t="s">
        <v>30</v>
      </c>
      <c r="D76" s="475"/>
      <c r="E76" s="242" t="s">
        <v>1154</v>
      </c>
      <c r="F76" s="477" t="s">
        <v>743</v>
      </c>
      <c r="G76" s="478" t="s">
        <v>976</v>
      </c>
      <c r="H76" s="474"/>
      <c r="I76" s="474"/>
      <c r="J76" s="474"/>
      <c r="L76" s="474"/>
      <c r="N76" s="474"/>
      <c r="O76" s="479"/>
      <c r="P76" s="479"/>
      <c r="Q76" s="479"/>
      <c r="R76" s="478"/>
      <c r="S76" s="478"/>
      <c r="T76" s="478"/>
      <c r="U76" s="478" t="s">
        <v>719</v>
      </c>
      <c r="V76" s="571" t="b">
        <v>0</v>
      </c>
      <c r="W76" s="571">
        <v>1</v>
      </c>
      <c r="X76" s="571">
        <v>0</v>
      </c>
      <c r="Y76" s="571" t="s">
        <v>861</v>
      </c>
      <c r="Z76" s="478">
        <v>100</v>
      </c>
      <c r="AA76" s="571"/>
      <c r="AB76" s="571"/>
      <c r="AC76" s="571"/>
      <c r="AD76" s="571"/>
      <c r="AE76" s="571"/>
      <c r="AF76" s="571"/>
      <c r="AG76" s="571"/>
      <c r="AH76" s="571"/>
      <c r="AI76" s="571"/>
      <c r="AJ76" s="571"/>
      <c r="AK76" s="55"/>
      <c r="BE76"/>
      <c r="BL76" s="55"/>
    </row>
    <row r="77" spans="1:64" x14ac:dyDescent="0.35">
      <c r="A77" s="474" t="s">
        <v>720</v>
      </c>
      <c r="B77" s="474" t="s">
        <v>1055</v>
      </c>
      <c r="C77" s="474" t="s">
        <v>30</v>
      </c>
      <c r="D77" s="475"/>
      <c r="E77" s="242" t="s">
        <v>1154</v>
      </c>
      <c r="F77" s="477" t="s">
        <v>744</v>
      </c>
      <c r="G77" s="478" t="s">
        <v>976</v>
      </c>
      <c r="H77" s="474"/>
      <c r="I77" s="474"/>
      <c r="J77" s="474"/>
      <c r="L77" s="474"/>
      <c r="N77" s="474"/>
      <c r="O77" s="479"/>
      <c r="P77" s="479"/>
      <c r="Q77" s="479"/>
      <c r="R77" s="478"/>
      <c r="S77" s="478"/>
      <c r="T77" s="478"/>
      <c r="U77" s="478" t="s">
        <v>720</v>
      </c>
      <c r="V77" s="571" t="b">
        <v>0</v>
      </c>
      <c r="W77" s="571">
        <v>1</v>
      </c>
      <c r="X77" s="571">
        <v>0</v>
      </c>
      <c r="Y77" s="571" t="s">
        <v>861</v>
      </c>
      <c r="Z77" s="478">
        <v>100</v>
      </c>
      <c r="AA77" s="571"/>
      <c r="AB77" s="571"/>
      <c r="AC77" s="571"/>
      <c r="AD77" s="571"/>
      <c r="AE77" s="571"/>
      <c r="AF77" s="571"/>
      <c r="AG77" s="571"/>
      <c r="AH77" s="571"/>
      <c r="AI77" s="571"/>
      <c r="AJ77" s="571"/>
      <c r="AK77" s="55"/>
      <c r="BE77"/>
      <c r="BL77" s="55"/>
    </row>
    <row r="78" spans="1:64" x14ac:dyDescent="0.35">
      <c r="A78" s="504" t="s">
        <v>1156</v>
      </c>
      <c r="B78" s="504" t="s">
        <v>1055</v>
      </c>
      <c r="C78" s="504" t="s">
        <v>19</v>
      </c>
      <c r="D78" s="505"/>
      <c r="E78" s="242" t="s">
        <v>1154</v>
      </c>
      <c r="F78" s="55" t="s">
        <v>1158</v>
      </c>
      <c r="G78" s="506" t="s">
        <v>976</v>
      </c>
      <c r="H78" s="504"/>
      <c r="I78" s="504"/>
      <c r="J78" s="504"/>
      <c r="L78" s="504"/>
      <c r="N78" s="504"/>
      <c r="O78" s="507"/>
      <c r="P78" s="507"/>
      <c r="Q78" s="507"/>
      <c r="R78" s="506"/>
      <c r="S78" s="506"/>
      <c r="T78" s="506"/>
      <c r="U78" s="508"/>
      <c r="V78" s="571" t="b">
        <v>0</v>
      </c>
      <c r="W78" s="571">
        <v>1</v>
      </c>
      <c r="X78" s="571">
        <v>0</v>
      </c>
      <c r="Y78" s="571" t="s">
        <v>861</v>
      </c>
      <c r="Z78" s="506">
        <v>100</v>
      </c>
      <c r="AA78" s="571"/>
      <c r="AB78" s="571"/>
      <c r="AC78" s="571"/>
      <c r="AD78" s="571"/>
      <c r="AE78" s="571"/>
      <c r="AF78" s="571"/>
      <c r="AG78" s="571"/>
      <c r="AH78" s="571"/>
      <c r="AI78" s="571"/>
      <c r="AJ78" s="571"/>
      <c r="AK78" s="55"/>
      <c r="BE78"/>
      <c r="BL78" s="55"/>
    </row>
    <row r="79" spans="1:64" x14ac:dyDescent="0.35">
      <c r="A79" s="504" t="s">
        <v>1157</v>
      </c>
      <c r="B79" s="504" t="s">
        <v>1055</v>
      </c>
      <c r="C79" s="504" t="s">
        <v>19</v>
      </c>
      <c r="D79" s="505"/>
      <c r="E79" s="242" t="s">
        <v>1154</v>
      </c>
      <c r="F79" s="55" t="s">
        <v>1159</v>
      </c>
      <c r="G79" s="506" t="s">
        <v>976</v>
      </c>
      <c r="H79" s="504"/>
      <c r="I79" s="504"/>
      <c r="J79" s="504"/>
      <c r="L79" s="504"/>
      <c r="N79" s="504"/>
      <c r="O79" s="507"/>
      <c r="P79" s="507"/>
      <c r="Q79" s="507"/>
      <c r="R79" s="506"/>
      <c r="S79" s="506"/>
      <c r="T79" s="506"/>
      <c r="U79" s="508"/>
      <c r="V79" s="571" t="b">
        <v>0</v>
      </c>
      <c r="W79" s="571">
        <v>1</v>
      </c>
      <c r="X79" s="571">
        <v>0</v>
      </c>
      <c r="Y79" s="571" t="s">
        <v>861</v>
      </c>
      <c r="Z79" s="506">
        <v>100</v>
      </c>
      <c r="AA79" s="571"/>
      <c r="AB79" s="571"/>
      <c r="AC79" s="571"/>
      <c r="AD79" s="571"/>
      <c r="AE79" s="571"/>
      <c r="AF79" s="571"/>
      <c r="AG79" s="571"/>
      <c r="AH79" s="571"/>
      <c r="AI79" s="571"/>
      <c r="AJ79" s="571"/>
      <c r="AK79" s="55"/>
      <c r="BE79"/>
      <c r="BL79" s="55"/>
    </row>
    <row r="80" spans="1:64" x14ac:dyDescent="0.35">
      <c r="A80" s="474" t="s">
        <v>427</v>
      </c>
      <c r="B80" s="474" t="s">
        <v>1055</v>
      </c>
      <c r="C80" s="474" t="s">
        <v>19</v>
      </c>
      <c r="D80" s="475"/>
      <c r="E80" s="242" t="s">
        <v>1154</v>
      </c>
      <c r="F80" s="477" t="s">
        <v>428</v>
      </c>
      <c r="G80" s="478" t="s">
        <v>976</v>
      </c>
      <c r="H80" s="474"/>
      <c r="I80" s="474"/>
      <c r="J80" s="474"/>
      <c r="L80" s="474"/>
      <c r="N80" s="474"/>
      <c r="O80" s="479"/>
      <c r="P80" s="479"/>
      <c r="Q80" s="479"/>
      <c r="R80" s="478"/>
      <c r="S80" s="478"/>
      <c r="T80" s="478"/>
      <c r="U80" s="478" t="s">
        <v>427</v>
      </c>
      <c r="V80" s="571" t="b">
        <v>0</v>
      </c>
      <c r="W80" s="571">
        <v>1</v>
      </c>
      <c r="X80" s="571">
        <v>0</v>
      </c>
      <c r="Y80" s="571" t="s">
        <v>861</v>
      </c>
      <c r="Z80" s="478"/>
      <c r="AA80" s="571"/>
      <c r="AB80" s="571"/>
      <c r="AC80" s="571"/>
      <c r="AD80" s="571"/>
      <c r="AE80" s="571"/>
      <c r="AF80" s="571"/>
      <c r="AG80" s="571"/>
      <c r="AH80" s="571"/>
      <c r="AI80" s="571"/>
      <c r="AJ80" s="571"/>
      <c r="AK80" s="55"/>
      <c r="BE80"/>
      <c r="BL80" s="55"/>
    </row>
    <row r="81" spans="1:64" x14ac:dyDescent="0.35">
      <c r="A81" s="474" t="s">
        <v>429</v>
      </c>
      <c r="B81" s="474" t="s">
        <v>1055</v>
      </c>
      <c r="C81" s="474" t="s">
        <v>30</v>
      </c>
      <c r="D81" s="475"/>
      <c r="E81" s="242" t="s">
        <v>1154</v>
      </c>
      <c r="F81" s="477" t="s">
        <v>430</v>
      </c>
      <c r="G81" s="478" t="s">
        <v>976</v>
      </c>
      <c r="H81" s="474"/>
      <c r="I81" s="474"/>
      <c r="J81" s="474"/>
      <c r="L81" s="474"/>
      <c r="N81" s="474"/>
      <c r="O81" s="479"/>
      <c r="P81" s="479"/>
      <c r="Q81" s="479"/>
      <c r="R81" s="478"/>
      <c r="S81" s="478"/>
      <c r="T81" s="478"/>
      <c r="U81" s="478" t="s">
        <v>429</v>
      </c>
      <c r="V81" s="571" t="b">
        <v>0</v>
      </c>
      <c r="W81" s="571">
        <v>1</v>
      </c>
      <c r="X81" s="571">
        <v>0</v>
      </c>
      <c r="Y81" s="571" t="s">
        <v>861</v>
      </c>
      <c r="Z81" s="478"/>
      <c r="AA81" s="571"/>
      <c r="AB81" s="571"/>
      <c r="AC81" s="571"/>
      <c r="AD81" s="571"/>
      <c r="AE81" s="571"/>
      <c r="AF81" s="571"/>
      <c r="AG81" s="571"/>
      <c r="AH81" s="571"/>
      <c r="AI81" s="571"/>
      <c r="AJ81" s="571"/>
      <c r="AK81" s="55"/>
      <c r="BE81"/>
      <c r="BL81" s="55"/>
    </row>
    <row r="82" spans="1:64" x14ac:dyDescent="0.35">
      <c r="A82" s="474" t="s">
        <v>745</v>
      </c>
      <c r="B82" s="474" t="s">
        <v>1055</v>
      </c>
      <c r="C82" s="474" t="s">
        <v>19</v>
      </c>
      <c r="D82" s="475"/>
      <c r="E82" s="242" t="s">
        <v>1154</v>
      </c>
      <c r="F82" s="477" t="s">
        <v>746</v>
      </c>
      <c r="G82" s="478" t="s">
        <v>976</v>
      </c>
      <c r="H82" s="474"/>
      <c r="I82" s="474"/>
      <c r="J82" s="474"/>
      <c r="L82" s="474"/>
      <c r="N82" s="474"/>
      <c r="O82" s="479"/>
      <c r="P82" s="479"/>
      <c r="Q82" s="479"/>
      <c r="R82" s="478"/>
      <c r="S82" s="478"/>
      <c r="T82" s="478"/>
      <c r="U82" s="478" t="s">
        <v>745</v>
      </c>
      <c r="V82" s="571" t="b">
        <v>0</v>
      </c>
      <c r="W82" s="571">
        <v>1</v>
      </c>
      <c r="X82" s="571">
        <v>0</v>
      </c>
      <c r="Y82" s="571" t="s">
        <v>861</v>
      </c>
      <c r="Z82" s="478"/>
      <c r="AA82" s="571"/>
      <c r="AB82" s="571"/>
      <c r="AC82" s="571"/>
      <c r="AD82" s="571"/>
      <c r="AE82" s="571"/>
      <c r="AF82" s="571"/>
      <c r="AG82" s="571"/>
      <c r="AH82" s="571"/>
      <c r="AI82" s="571"/>
      <c r="AJ82" s="571"/>
      <c r="AK82" s="55"/>
      <c r="BE82"/>
      <c r="BL82" s="55"/>
    </row>
    <row r="83" spans="1:64" x14ac:dyDescent="0.35">
      <c r="A83" s="474" t="s">
        <v>747</v>
      </c>
      <c r="B83" s="474" t="s">
        <v>1055</v>
      </c>
      <c r="C83" s="474" t="s">
        <v>30</v>
      </c>
      <c r="D83" s="475"/>
      <c r="E83" s="242" t="s">
        <v>1154</v>
      </c>
      <c r="F83" s="477" t="s">
        <v>748</v>
      </c>
      <c r="G83" s="478" t="s">
        <v>976</v>
      </c>
      <c r="H83" s="474"/>
      <c r="I83" s="474"/>
      <c r="J83" s="474"/>
      <c r="L83" s="474"/>
      <c r="N83" s="474"/>
      <c r="O83" s="479"/>
      <c r="P83" s="479"/>
      <c r="Q83" s="479"/>
      <c r="R83" s="478"/>
      <c r="S83" s="478"/>
      <c r="T83" s="478"/>
      <c r="U83" s="478" t="s">
        <v>747</v>
      </c>
      <c r="V83" s="571" t="b">
        <v>0</v>
      </c>
      <c r="W83" s="571">
        <v>1</v>
      </c>
      <c r="X83" s="571">
        <v>0</v>
      </c>
      <c r="Y83" s="571" t="s">
        <v>861</v>
      </c>
      <c r="Z83" s="478"/>
      <c r="AA83" s="571"/>
      <c r="AB83" s="571"/>
      <c r="AC83" s="571"/>
      <c r="AD83" s="571"/>
      <c r="AE83" s="571"/>
      <c r="AF83" s="571"/>
      <c r="AG83" s="571"/>
      <c r="AH83" s="571"/>
      <c r="AI83" s="571"/>
      <c r="AJ83" s="571"/>
      <c r="AK83" s="55"/>
      <c r="BE83"/>
      <c r="BL83" s="55"/>
    </row>
    <row r="84" spans="1:64" x14ac:dyDescent="0.35">
      <c r="A84" s="474" t="s">
        <v>749</v>
      </c>
      <c r="B84" s="474" t="s">
        <v>1055</v>
      </c>
      <c r="C84" s="474" t="s">
        <v>19</v>
      </c>
      <c r="D84" s="475"/>
      <c r="E84" s="242" t="s">
        <v>1154</v>
      </c>
      <c r="F84" s="477" t="s">
        <v>750</v>
      </c>
      <c r="G84" s="478" t="s">
        <v>976</v>
      </c>
      <c r="H84" s="474"/>
      <c r="I84" s="474"/>
      <c r="J84" s="474"/>
      <c r="L84" s="474"/>
      <c r="N84" s="474"/>
      <c r="O84" s="479"/>
      <c r="P84" s="479"/>
      <c r="Q84" s="479"/>
      <c r="R84" s="478"/>
      <c r="S84" s="478"/>
      <c r="T84" s="478"/>
      <c r="U84" s="478" t="s">
        <v>749</v>
      </c>
      <c r="V84" s="571" t="b">
        <v>0</v>
      </c>
      <c r="W84" s="571">
        <v>1</v>
      </c>
      <c r="X84" s="571">
        <v>0</v>
      </c>
      <c r="Y84" s="571" t="s">
        <v>861</v>
      </c>
      <c r="Z84" s="478"/>
      <c r="AA84" s="571"/>
      <c r="AB84" s="571"/>
      <c r="AC84" s="571"/>
      <c r="AD84" s="571"/>
      <c r="AE84" s="571"/>
      <c r="AF84" s="571"/>
      <c r="AG84" s="571"/>
      <c r="AH84" s="571"/>
      <c r="AI84" s="571"/>
      <c r="AJ84" s="571"/>
      <c r="AK84" s="55"/>
      <c r="BE84"/>
      <c r="BL84" s="55"/>
    </row>
    <row r="85" spans="1:64" x14ac:dyDescent="0.35">
      <c r="A85" s="474" t="s">
        <v>431</v>
      </c>
      <c r="B85" s="474" t="s">
        <v>1055</v>
      </c>
      <c r="C85" s="474" t="s">
        <v>19</v>
      </c>
      <c r="D85" s="475"/>
      <c r="E85" s="242" t="s">
        <v>1154</v>
      </c>
      <c r="F85" s="477" t="s">
        <v>432</v>
      </c>
      <c r="G85" s="478" t="s">
        <v>976</v>
      </c>
      <c r="H85" s="474"/>
      <c r="I85" s="474"/>
      <c r="J85" s="474"/>
      <c r="L85" s="474"/>
      <c r="N85" s="474"/>
      <c r="O85" s="479"/>
      <c r="P85" s="479"/>
      <c r="Q85" s="479"/>
      <c r="R85" s="478"/>
      <c r="S85" s="478"/>
      <c r="T85" s="478"/>
      <c r="U85" s="478" t="s">
        <v>431</v>
      </c>
      <c r="V85" s="571" t="b">
        <v>0</v>
      </c>
      <c r="W85" s="571">
        <v>1</v>
      </c>
      <c r="X85" s="571">
        <v>0</v>
      </c>
      <c r="Y85" s="571" t="s">
        <v>861</v>
      </c>
      <c r="Z85" s="478"/>
      <c r="AA85" s="571"/>
      <c r="AB85" s="571"/>
      <c r="AC85" s="571"/>
      <c r="AD85" s="571"/>
      <c r="AE85" s="571"/>
      <c r="AF85" s="571"/>
      <c r="AG85" s="571"/>
      <c r="AH85" s="571"/>
      <c r="AI85" s="571"/>
      <c r="AJ85" s="571"/>
      <c r="AK85" s="55"/>
      <c r="BE85"/>
      <c r="BL85" s="55"/>
    </row>
    <row r="86" spans="1:64" x14ac:dyDescent="0.35">
      <c r="A86" s="474" t="s">
        <v>433</v>
      </c>
      <c r="B86" s="474" t="s">
        <v>1055</v>
      </c>
      <c r="C86" s="474" t="s">
        <v>30</v>
      </c>
      <c r="D86" s="475"/>
      <c r="E86" s="242" t="s">
        <v>1154</v>
      </c>
      <c r="F86" s="477" t="s">
        <v>434</v>
      </c>
      <c r="G86" s="478" t="s">
        <v>976</v>
      </c>
      <c r="H86" s="474"/>
      <c r="I86" s="474"/>
      <c r="J86" s="474"/>
      <c r="L86" s="474"/>
      <c r="N86" s="474"/>
      <c r="O86" s="479"/>
      <c r="P86" s="479"/>
      <c r="Q86" s="479"/>
      <c r="R86" s="478"/>
      <c r="S86" s="478"/>
      <c r="T86" s="478"/>
      <c r="U86" s="478" t="s">
        <v>433</v>
      </c>
      <c r="V86" s="571" t="b">
        <v>0</v>
      </c>
      <c r="W86" s="571">
        <v>1</v>
      </c>
      <c r="X86" s="571">
        <v>0</v>
      </c>
      <c r="Y86" s="571" t="s">
        <v>861</v>
      </c>
      <c r="Z86" s="478"/>
      <c r="AA86" s="571"/>
      <c r="AB86" s="571"/>
      <c r="AC86" s="571"/>
      <c r="AD86" s="571"/>
      <c r="AE86" s="571"/>
      <c r="AF86" s="571"/>
      <c r="AG86" s="571"/>
      <c r="AH86" s="571"/>
      <c r="AI86" s="571"/>
      <c r="AJ86" s="571"/>
      <c r="AK86" s="55"/>
      <c r="BE86"/>
      <c r="BL86" s="55"/>
    </row>
    <row r="87" spans="1:64" x14ac:dyDescent="0.35">
      <c r="A87" s="474" t="s">
        <v>149</v>
      </c>
      <c r="B87" s="474" t="s">
        <v>150</v>
      </c>
      <c r="C87" s="474" t="s">
        <v>30</v>
      </c>
      <c r="D87" s="475">
        <v>8718719850244</v>
      </c>
      <c r="E87" s="476" t="s">
        <v>151</v>
      </c>
      <c r="F87" s="477" t="s">
        <v>152</v>
      </c>
      <c r="G87" s="478" t="s">
        <v>153</v>
      </c>
      <c r="H87" s="474">
        <v>48</v>
      </c>
      <c r="I87" s="474">
        <v>48</v>
      </c>
      <c r="J87" s="474">
        <v>72</v>
      </c>
      <c r="L87" s="474">
        <v>8</v>
      </c>
      <c r="N87" s="474">
        <v>6</v>
      </c>
      <c r="O87" s="479">
        <v>400</v>
      </c>
      <c r="P87" s="479">
        <v>320</v>
      </c>
      <c r="Q87" s="479">
        <v>205</v>
      </c>
      <c r="R87" s="478">
        <v>6.2880000000000003</v>
      </c>
      <c r="S87" s="478">
        <v>7.0359999999999996</v>
      </c>
      <c r="T87" s="478" t="s">
        <v>22</v>
      </c>
      <c r="U87" s="478" t="s">
        <v>149</v>
      </c>
      <c r="V87" s="571" t="b">
        <v>1</v>
      </c>
      <c r="W87" s="571">
        <v>1</v>
      </c>
      <c r="X87" s="571">
        <v>1</v>
      </c>
      <c r="Y87" s="571" t="s">
        <v>150</v>
      </c>
      <c r="Z87" s="478">
        <v>150</v>
      </c>
      <c r="AA87" s="571">
        <v>1</v>
      </c>
      <c r="AB87" s="571"/>
      <c r="AC87" s="571"/>
      <c r="AD87" s="571"/>
      <c r="AE87" s="571"/>
      <c r="AF87" s="571"/>
      <c r="AG87" s="571"/>
      <c r="AH87" s="571"/>
      <c r="AI87" s="571"/>
      <c r="AJ87" s="571"/>
      <c r="AK87" s="55"/>
      <c r="BE87"/>
      <c r="BL87" s="55"/>
    </row>
    <row r="88" spans="1:64" x14ac:dyDescent="0.35">
      <c r="A88" s="474" t="s">
        <v>154</v>
      </c>
      <c r="B88" s="474" t="s">
        <v>150</v>
      </c>
      <c r="C88" s="474" t="s">
        <v>30</v>
      </c>
      <c r="D88" s="475">
        <v>8718719850251</v>
      </c>
      <c r="E88" s="476" t="s">
        <v>151</v>
      </c>
      <c r="F88" s="477" t="s">
        <v>155</v>
      </c>
      <c r="G88" s="478" t="s">
        <v>153</v>
      </c>
      <c r="H88" s="474">
        <v>48</v>
      </c>
      <c r="I88" s="474">
        <v>48</v>
      </c>
      <c r="J88" s="474">
        <v>72</v>
      </c>
      <c r="L88" s="474">
        <v>8</v>
      </c>
      <c r="N88" s="474">
        <v>6</v>
      </c>
      <c r="O88" s="479">
        <v>400</v>
      </c>
      <c r="P88" s="479">
        <v>320</v>
      </c>
      <c r="Q88" s="479">
        <v>205</v>
      </c>
      <c r="R88" s="478">
        <v>6.2880000000000003</v>
      </c>
      <c r="S88" s="478">
        <v>7.0359999999999996</v>
      </c>
      <c r="T88" s="478" t="s">
        <v>22</v>
      </c>
      <c r="U88" s="478" t="s">
        <v>154</v>
      </c>
      <c r="V88" s="571" t="b">
        <v>1</v>
      </c>
      <c r="W88" s="571">
        <v>1</v>
      </c>
      <c r="X88" s="571">
        <v>1</v>
      </c>
      <c r="Y88" s="571" t="s">
        <v>150</v>
      </c>
      <c r="Z88" s="478">
        <v>150</v>
      </c>
      <c r="AA88" s="571">
        <v>1</v>
      </c>
      <c r="AB88" s="571"/>
      <c r="AC88" s="571"/>
      <c r="AD88" s="571"/>
      <c r="AE88" s="571"/>
      <c r="AF88" s="571"/>
      <c r="AG88" s="571"/>
      <c r="AH88" s="571"/>
      <c r="AI88" s="571"/>
      <c r="AJ88" s="571"/>
      <c r="AK88" s="55"/>
      <c r="BE88"/>
      <c r="BL88" s="55"/>
    </row>
    <row r="89" spans="1:64" x14ac:dyDescent="0.35">
      <c r="A89" s="474" t="s">
        <v>156</v>
      </c>
      <c r="B89" s="474" t="s">
        <v>150</v>
      </c>
      <c r="C89" s="474" t="s">
        <v>30</v>
      </c>
      <c r="D89" s="475">
        <v>8718719850268</v>
      </c>
      <c r="E89" s="476" t="s">
        <v>151</v>
      </c>
      <c r="F89" s="477" t="s">
        <v>157</v>
      </c>
      <c r="G89" s="478" t="s">
        <v>153</v>
      </c>
      <c r="H89" s="474">
        <v>48</v>
      </c>
      <c r="I89" s="474">
        <v>48</v>
      </c>
      <c r="J89" s="474">
        <v>72</v>
      </c>
      <c r="L89" s="474">
        <v>8</v>
      </c>
      <c r="N89" s="474">
        <v>6</v>
      </c>
      <c r="O89" s="479">
        <v>400</v>
      </c>
      <c r="P89" s="479">
        <v>320</v>
      </c>
      <c r="Q89" s="479">
        <v>205</v>
      </c>
      <c r="R89" s="478">
        <v>6.2880000000000003</v>
      </c>
      <c r="S89" s="478">
        <v>7.0359999999999996</v>
      </c>
      <c r="T89" s="478" t="s">
        <v>22</v>
      </c>
      <c r="U89" s="478" t="s">
        <v>156</v>
      </c>
      <c r="V89" s="571" t="b">
        <v>1</v>
      </c>
      <c r="W89" s="571">
        <v>1</v>
      </c>
      <c r="X89" s="571">
        <v>1</v>
      </c>
      <c r="Y89" s="571" t="s">
        <v>150</v>
      </c>
      <c r="Z89" s="478">
        <v>150</v>
      </c>
      <c r="AA89" s="571">
        <v>1</v>
      </c>
      <c r="AB89" s="571"/>
      <c r="AC89" s="571"/>
      <c r="AD89" s="571"/>
      <c r="AE89" s="571"/>
      <c r="AF89" s="571"/>
      <c r="AG89" s="571"/>
      <c r="AH89" s="571"/>
      <c r="AI89" s="571"/>
      <c r="AJ89" s="571"/>
      <c r="AK89" s="55"/>
      <c r="BE89"/>
      <c r="BL89" s="55"/>
    </row>
    <row r="90" spans="1:64" x14ac:dyDescent="0.35">
      <c r="A90" s="474" t="s">
        <v>158</v>
      </c>
      <c r="B90" s="474" t="s">
        <v>150</v>
      </c>
      <c r="C90" s="474" t="s">
        <v>30</v>
      </c>
      <c r="D90" s="475">
        <v>8718719850275</v>
      </c>
      <c r="E90" s="476" t="s">
        <v>151</v>
      </c>
      <c r="F90" s="477" t="s">
        <v>159</v>
      </c>
      <c r="G90" s="478" t="s">
        <v>153</v>
      </c>
      <c r="H90" s="474">
        <v>48</v>
      </c>
      <c r="I90" s="474">
        <v>48</v>
      </c>
      <c r="J90" s="474">
        <v>72</v>
      </c>
      <c r="L90" s="474">
        <v>8</v>
      </c>
      <c r="N90" s="474">
        <v>6</v>
      </c>
      <c r="O90" s="479">
        <v>400</v>
      </c>
      <c r="P90" s="479">
        <v>320</v>
      </c>
      <c r="Q90" s="479">
        <v>205</v>
      </c>
      <c r="R90" s="478">
        <v>6.2880000000000003</v>
      </c>
      <c r="S90" s="478">
        <v>7.0359999999999996</v>
      </c>
      <c r="T90" s="478" t="s">
        <v>22</v>
      </c>
      <c r="U90" s="478" t="s">
        <v>158</v>
      </c>
      <c r="V90" s="571" t="b">
        <v>1</v>
      </c>
      <c r="W90" s="571">
        <v>1</v>
      </c>
      <c r="X90" s="571">
        <v>1</v>
      </c>
      <c r="Y90" s="571" t="s">
        <v>150</v>
      </c>
      <c r="Z90" s="478">
        <v>150</v>
      </c>
      <c r="AA90" s="571">
        <v>1</v>
      </c>
      <c r="AB90" s="571"/>
      <c r="AC90" s="571"/>
      <c r="AD90" s="571"/>
      <c r="AE90" s="571"/>
      <c r="AF90" s="571"/>
      <c r="AG90" s="571"/>
      <c r="AH90" s="571"/>
      <c r="AI90" s="571"/>
      <c r="AJ90" s="571"/>
      <c r="AK90" s="55"/>
      <c r="BE90"/>
      <c r="BL90" s="55"/>
    </row>
    <row r="91" spans="1:64" x14ac:dyDescent="0.35">
      <c r="A91" s="474" t="s">
        <v>160</v>
      </c>
      <c r="B91" s="474" t="s">
        <v>150</v>
      </c>
      <c r="C91" s="474" t="s">
        <v>19</v>
      </c>
      <c r="D91" s="475">
        <v>8718719850008</v>
      </c>
      <c r="E91" s="476" t="s">
        <v>151</v>
      </c>
      <c r="F91" s="477" t="s">
        <v>161</v>
      </c>
      <c r="G91" s="478" t="s">
        <v>153</v>
      </c>
      <c r="H91" s="474">
        <v>48</v>
      </c>
      <c r="I91" s="474">
        <v>36</v>
      </c>
      <c r="J91" s="474">
        <v>54</v>
      </c>
      <c r="L91" s="474">
        <v>9</v>
      </c>
      <c r="N91" s="474">
        <v>4</v>
      </c>
      <c r="O91" s="479">
        <v>485</v>
      </c>
      <c r="P91" s="479">
        <v>360</v>
      </c>
      <c r="Q91" s="479">
        <v>195</v>
      </c>
      <c r="R91" s="478">
        <v>7.48</v>
      </c>
      <c r="S91" s="478">
        <v>7.7</v>
      </c>
      <c r="T91" s="478" t="s">
        <v>22</v>
      </c>
      <c r="U91" s="478" t="s">
        <v>160</v>
      </c>
      <c r="V91" s="571" t="b">
        <v>1</v>
      </c>
      <c r="W91" s="571">
        <v>1</v>
      </c>
      <c r="X91" s="571">
        <v>1</v>
      </c>
      <c r="Y91" s="571" t="s">
        <v>150</v>
      </c>
      <c r="Z91" s="478">
        <v>175</v>
      </c>
      <c r="AA91" s="571">
        <v>1</v>
      </c>
      <c r="AB91" s="571"/>
      <c r="AC91" s="571"/>
      <c r="AD91" s="571"/>
      <c r="AE91" s="571"/>
      <c r="AF91" s="571"/>
      <c r="AG91" s="571"/>
      <c r="AH91" s="571"/>
      <c r="AI91" s="571"/>
      <c r="AJ91" s="571"/>
      <c r="AK91" s="55"/>
      <c r="BE91"/>
      <c r="BL91" s="55"/>
    </row>
    <row r="92" spans="1:64" x14ac:dyDescent="0.35">
      <c r="A92" s="474" t="s">
        <v>162</v>
      </c>
      <c r="B92" s="474" t="s">
        <v>150</v>
      </c>
      <c r="C92" s="474" t="s">
        <v>19</v>
      </c>
      <c r="D92" s="475">
        <v>8718719850015</v>
      </c>
      <c r="E92" s="476" t="s">
        <v>151</v>
      </c>
      <c r="F92" s="477" t="s">
        <v>163</v>
      </c>
      <c r="G92" s="478" t="s">
        <v>153</v>
      </c>
      <c r="H92" s="474">
        <v>48</v>
      </c>
      <c r="I92" s="474">
        <v>36</v>
      </c>
      <c r="J92" s="474">
        <v>54</v>
      </c>
      <c r="L92" s="474">
        <v>9</v>
      </c>
      <c r="N92" s="474">
        <v>4</v>
      </c>
      <c r="O92" s="479">
        <v>485</v>
      </c>
      <c r="P92" s="479">
        <v>360</v>
      </c>
      <c r="Q92" s="479">
        <v>195</v>
      </c>
      <c r="R92" s="478">
        <v>7.48</v>
      </c>
      <c r="S92" s="478">
        <v>7.7</v>
      </c>
      <c r="T92" s="478" t="s">
        <v>22</v>
      </c>
      <c r="U92" s="478" t="s">
        <v>162</v>
      </c>
      <c r="V92" s="571" t="b">
        <v>1</v>
      </c>
      <c r="W92" s="571">
        <v>1</v>
      </c>
      <c r="X92" s="571">
        <v>1</v>
      </c>
      <c r="Y92" s="571" t="s">
        <v>150</v>
      </c>
      <c r="Z92" s="478">
        <v>175</v>
      </c>
      <c r="AA92" s="571">
        <v>1</v>
      </c>
      <c r="AB92" s="571"/>
      <c r="AC92" s="571"/>
      <c r="AD92" s="571"/>
      <c r="AE92" s="571"/>
      <c r="AF92" s="571"/>
      <c r="AG92" s="571"/>
      <c r="AH92" s="571"/>
      <c r="AI92" s="571"/>
      <c r="AJ92" s="571"/>
      <c r="AK92" s="55"/>
      <c r="BE92"/>
      <c r="BL92" s="55"/>
    </row>
    <row r="93" spans="1:64" x14ac:dyDescent="0.35">
      <c r="A93" s="474" t="s">
        <v>164</v>
      </c>
      <c r="B93" s="474" t="s">
        <v>150</v>
      </c>
      <c r="C93" s="474" t="s">
        <v>19</v>
      </c>
      <c r="D93" s="475">
        <v>8718719850022</v>
      </c>
      <c r="E93" s="476" t="s">
        <v>151</v>
      </c>
      <c r="F93" s="477" t="s">
        <v>165</v>
      </c>
      <c r="G93" s="478" t="s">
        <v>153</v>
      </c>
      <c r="H93" s="474">
        <v>48</v>
      </c>
      <c r="I93" s="474">
        <v>36</v>
      </c>
      <c r="J93" s="474">
        <v>54</v>
      </c>
      <c r="L93" s="474">
        <v>9</v>
      </c>
      <c r="N93" s="474">
        <v>4</v>
      </c>
      <c r="O93" s="479">
        <v>485</v>
      </c>
      <c r="P93" s="479">
        <v>360</v>
      </c>
      <c r="Q93" s="479">
        <v>195</v>
      </c>
      <c r="R93" s="478">
        <v>7.48</v>
      </c>
      <c r="S93" s="478">
        <v>7.7</v>
      </c>
      <c r="T93" s="478" t="s">
        <v>22</v>
      </c>
      <c r="U93" s="478" t="s">
        <v>164</v>
      </c>
      <c r="V93" s="571" t="b">
        <v>1</v>
      </c>
      <c r="W93" s="571">
        <v>1</v>
      </c>
      <c r="X93" s="571">
        <v>1</v>
      </c>
      <c r="Y93" s="571" t="s">
        <v>150</v>
      </c>
      <c r="Z93" s="478">
        <v>175</v>
      </c>
      <c r="AA93" s="571">
        <v>1</v>
      </c>
      <c r="AB93" s="571"/>
      <c r="AC93" s="571"/>
      <c r="AD93" s="571"/>
      <c r="AE93" s="571"/>
      <c r="AF93" s="571"/>
      <c r="AG93" s="571"/>
      <c r="AH93" s="571"/>
      <c r="AI93" s="571"/>
      <c r="AJ93" s="571"/>
      <c r="AK93" s="55"/>
      <c r="BE93"/>
      <c r="BL93" s="55"/>
    </row>
    <row r="94" spans="1:64" x14ac:dyDescent="0.35">
      <c r="A94" s="474" t="s">
        <v>166</v>
      </c>
      <c r="B94" s="474" t="s">
        <v>150</v>
      </c>
      <c r="C94" s="474" t="s">
        <v>19</v>
      </c>
      <c r="D94" s="475">
        <v>8718719850039</v>
      </c>
      <c r="E94" s="476" t="s">
        <v>151</v>
      </c>
      <c r="F94" s="477" t="s">
        <v>167</v>
      </c>
      <c r="G94" s="478" t="s">
        <v>153</v>
      </c>
      <c r="H94" s="474">
        <v>48</v>
      </c>
      <c r="I94" s="474">
        <v>36</v>
      </c>
      <c r="J94" s="474">
        <v>54</v>
      </c>
      <c r="L94" s="474">
        <v>9</v>
      </c>
      <c r="N94" s="474">
        <v>4</v>
      </c>
      <c r="O94" s="479">
        <v>485</v>
      </c>
      <c r="P94" s="479">
        <v>360</v>
      </c>
      <c r="Q94" s="479">
        <v>195</v>
      </c>
      <c r="R94" s="478">
        <v>7.48</v>
      </c>
      <c r="S94" s="478">
        <v>7.7</v>
      </c>
      <c r="T94" s="478" t="s">
        <v>22</v>
      </c>
      <c r="U94" s="478" t="s">
        <v>166</v>
      </c>
      <c r="V94" s="571" t="b">
        <v>1</v>
      </c>
      <c r="W94" s="571">
        <v>1</v>
      </c>
      <c r="X94" s="571">
        <v>1</v>
      </c>
      <c r="Y94" s="571" t="s">
        <v>150</v>
      </c>
      <c r="Z94" s="478">
        <v>175</v>
      </c>
      <c r="AA94" s="571">
        <v>1</v>
      </c>
      <c r="AB94" s="571"/>
      <c r="AC94" s="571"/>
      <c r="AD94" s="571"/>
      <c r="AE94" s="571"/>
      <c r="AF94" s="571"/>
      <c r="AG94" s="571"/>
      <c r="AH94" s="571"/>
      <c r="AI94" s="571"/>
      <c r="AJ94" s="571"/>
      <c r="AK94" s="55"/>
      <c r="BE94"/>
      <c r="BL94" s="55"/>
    </row>
    <row r="95" spans="1:64" x14ac:dyDescent="0.35">
      <c r="A95" s="474" t="s">
        <v>672</v>
      </c>
      <c r="B95" s="474" t="s">
        <v>150</v>
      </c>
      <c r="C95" s="474" t="s">
        <v>30</v>
      </c>
      <c r="D95" s="475"/>
      <c r="E95" s="476" t="s">
        <v>151</v>
      </c>
      <c r="F95" s="477" t="s">
        <v>851</v>
      </c>
      <c r="G95" s="478" t="s">
        <v>153</v>
      </c>
      <c r="H95" s="474">
        <v>24</v>
      </c>
      <c r="I95" s="474"/>
      <c r="J95" s="474"/>
      <c r="L95" s="474"/>
      <c r="N95" s="474">
        <v>11</v>
      </c>
      <c r="O95" s="479">
        <v>350</v>
      </c>
      <c r="P95" s="479">
        <v>235</v>
      </c>
      <c r="Q95" s="479">
        <v>195</v>
      </c>
      <c r="R95" s="615">
        <v>6.5039999999999996</v>
      </c>
      <c r="S95" s="478" t="s">
        <v>1684</v>
      </c>
      <c r="T95" s="478" t="s">
        <v>22</v>
      </c>
      <c r="U95" s="478" t="s">
        <v>672</v>
      </c>
      <c r="V95" s="571" t="b">
        <v>1</v>
      </c>
      <c r="W95" s="571">
        <v>1</v>
      </c>
      <c r="X95" s="571">
        <v>1</v>
      </c>
      <c r="Y95" s="56" t="s">
        <v>169</v>
      </c>
      <c r="Z95" s="478">
        <v>250</v>
      </c>
      <c r="AA95" s="571">
        <v>1</v>
      </c>
      <c r="AB95" s="571"/>
      <c r="AC95" s="571"/>
      <c r="AD95" s="571"/>
      <c r="AE95" s="571"/>
      <c r="AF95" s="571"/>
      <c r="AG95" s="571"/>
      <c r="AH95" s="571"/>
      <c r="AI95" s="571"/>
      <c r="AJ95" s="571"/>
      <c r="AK95" s="55"/>
      <c r="BE95"/>
      <c r="BL95" s="55"/>
    </row>
    <row r="96" spans="1:64" x14ac:dyDescent="0.35">
      <c r="A96" s="474" t="s">
        <v>674</v>
      </c>
      <c r="B96" s="474" t="s">
        <v>150</v>
      </c>
      <c r="C96" s="474" t="s">
        <v>30</v>
      </c>
      <c r="D96" s="475"/>
      <c r="E96" s="476" t="s">
        <v>151</v>
      </c>
      <c r="F96" s="477" t="s">
        <v>852</v>
      </c>
      <c r="G96" s="478" t="s">
        <v>153</v>
      </c>
      <c r="H96" s="474">
        <v>24</v>
      </c>
      <c r="I96" s="474"/>
      <c r="J96" s="474"/>
      <c r="L96" s="474"/>
      <c r="N96" s="474">
        <v>11</v>
      </c>
      <c r="O96" s="479">
        <v>350</v>
      </c>
      <c r="P96" s="479">
        <v>235</v>
      </c>
      <c r="Q96" s="479">
        <v>195</v>
      </c>
      <c r="R96" s="615">
        <v>6.5039999999999996</v>
      </c>
      <c r="S96" s="478" t="s">
        <v>1684</v>
      </c>
      <c r="T96" s="478" t="s">
        <v>22</v>
      </c>
      <c r="U96" s="478" t="s">
        <v>674</v>
      </c>
      <c r="V96" s="571" t="b">
        <v>1</v>
      </c>
      <c r="W96" s="571">
        <v>1</v>
      </c>
      <c r="X96" s="571">
        <v>1</v>
      </c>
      <c r="Y96" s="56" t="s">
        <v>169</v>
      </c>
      <c r="Z96" s="478">
        <v>250</v>
      </c>
      <c r="AA96" s="571">
        <v>1</v>
      </c>
      <c r="AB96" s="571"/>
      <c r="AC96" s="571"/>
      <c r="AD96" s="571"/>
      <c r="AE96" s="571"/>
      <c r="AF96" s="571"/>
      <c r="AG96" s="571"/>
      <c r="AH96" s="571"/>
      <c r="AI96" s="571"/>
      <c r="AJ96" s="571"/>
      <c r="AK96" s="55"/>
      <c r="BE96"/>
      <c r="BL96" s="55"/>
    </row>
    <row r="97" spans="1:64" x14ac:dyDescent="0.35">
      <c r="A97" s="474" t="s">
        <v>676</v>
      </c>
      <c r="B97" s="474" t="s">
        <v>150</v>
      </c>
      <c r="C97" s="474" t="s">
        <v>30</v>
      </c>
      <c r="D97" s="475"/>
      <c r="E97" s="476" t="s">
        <v>151</v>
      </c>
      <c r="F97" s="477" t="s">
        <v>853</v>
      </c>
      <c r="G97" s="478" t="s">
        <v>153</v>
      </c>
      <c r="H97" s="474">
        <v>24</v>
      </c>
      <c r="I97" s="474"/>
      <c r="J97" s="474"/>
      <c r="L97" s="474"/>
      <c r="N97" s="474">
        <v>11</v>
      </c>
      <c r="O97" s="479">
        <v>350</v>
      </c>
      <c r="P97" s="479">
        <v>235</v>
      </c>
      <c r="Q97" s="479">
        <v>195</v>
      </c>
      <c r="R97" s="615">
        <v>6.5039999999999996</v>
      </c>
      <c r="S97" s="478" t="s">
        <v>1684</v>
      </c>
      <c r="T97" s="478" t="s">
        <v>22</v>
      </c>
      <c r="U97" s="478" t="s">
        <v>676</v>
      </c>
      <c r="V97" s="571" t="b">
        <v>1</v>
      </c>
      <c r="W97" s="571">
        <v>1</v>
      </c>
      <c r="X97" s="571">
        <v>1</v>
      </c>
      <c r="Y97" s="56" t="s">
        <v>169</v>
      </c>
      <c r="Z97" s="478">
        <v>250</v>
      </c>
      <c r="AA97" s="571">
        <v>1</v>
      </c>
      <c r="AB97" s="571"/>
      <c r="AC97" s="571"/>
      <c r="AD97" s="571"/>
      <c r="AE97" s="571"/>
      <c r="AF97" s="571"/>
      <c r="AG97" s="571"/>
      <c r="AH97" s="571"/>
      <c r="AI97" s="571"/>
      <c r="AJ97" s="571"/>
      <c r="AK97" s="55"/>
      <c r="BE97"/>
      <c r="BL97" s="55"/>
    </row>
    <row r="98" spans="1:64" x14ac:dyDescent="0.35">
      <c r="A98" s="474" t="s">
        <v>678</v>
      </c>
      <c r="B98" s="474" t="s">
        <v>150</v>
      </c>
      <c r="C98" s="474" t="s">
        <v>30</v>
      </c>
      <c r="D98" s="475"/>
      <c r="E98" s="476" t="s">
        <v>151</v>
      </c>
      <c r="F98" s="477" t="s">
        <v>854</v>
      </c>
      <c r="G98" s="478" t="s">
        <v>153</v>
      </c>
      <c r="H98" s="474">
        <v>24</v>
      </c>
      <c r="I98" s="474"/>
      <c r="J98" s="474"/>
      <c r="L98" s="474"/>
      <c r="N98" s="474">
        <v>11</v>
      </c>
      <c r="O98" s="479">
        <v>350</v>
      </c>
      <c r="P98" s="479">
        <v>235</v>
      </c>
      <c r="Q98" s="479">
        <v>195</v>
      </c>
      <c r="R98" s="615">
        <v>6.5039999999999996</v>
      </c>
      <c r="S98" s="478" t="s">
        <v>1684</v>
      </c>
      <c r="T98" s="478" t="s">
        <v>22</v>
      </c>
      <c r="U98" s="478" t="s">
        <v>678</v>
      </c>
      <c r="V98" s="571" t="b">
        <v>1</v>
      </c>
      <c r="W98" s="571">
        <v>1</v>
      </c>
      <c r="X98" s="571">
        <v>1</v>
      </c>
      <c r="Y98" s="56" t="s">
        <v>169</v>
      </c>
      <c r="Z98" s="478">
        <v>250</v>
      </c>
      <c r="AA98" s="571">
        <v>1</v>
      </c>
      <c r="AB98" s="571"/>
      <c r="AC98" s="571"/>
      <c r="AD98" s="571"/>
      <c r="AE98" s="571"/>
      <c r="AF98" s="571"/>
      <c r="AG98" s="571"/>
      <c r="AH98" s="571"/>
      <c r="AI98" s="571"/>
      <c r="AJ98" s="571"/>
      <c r="AK98" s="55"/>
      <c r="BE98"/>
      <c r="BL98" s="55"/>
    </row>
    <row r="99" spans="1:64" x14ac:dyDescent="0.35">
      <c r="A99" s="474" t="s">
        <v>680</v>
      </c>
      <c r="B99" s="474" t="s">
        <v>150</v>
      </c>
      <c r="C99" s="474" t="s">
        <v>19</v>
      </c>
      <c r="D99" s="475"/>
      <c r="E99" s="476" t="s">
        <v>151</v>
      </c>
      <c r="F99" s="477" t="s">
        <v>847</v>
      </c>
      <c r="G99" s="478" t="s">
        <v>153</v>
      </c>
      <c r="H99" s="474">
        <v>24</v>
      </c>
      <c r="I99" s="474"/>
      <c r="J99" s="474"/>
      <c r="L99" s="474"/>
      <c r="N99" s="474">
        <v>8</v>
      </c>
      <c r="O99" s="479">
        <v>430</v>
      </c>
      <c r="P99" s="479">
        <v>285</v>
      </c>
      <c r="Q99" s="479">
        <v>185</v>
      </c>
      <c r="R99" s="615">
        <v>6.0960000000000001</v>
      </c>
      <c r="S99" s="478">
        <v>6.8</v>
      </c>
      <c r="T99" s="478" t="s">
        <v>22</v>
      </c>
      <c r="U99" s="478" t="s">
        <v>680</v>
      </c>
      <c r="V99" s="571" t="b">
        <v>1</v>
      </c>
      <c r="W99" s="571">
        <v>1</v>
      </c>
      <c r="X99" s="571">
        <v>1</v>
      </c>
      <c r="Y99" s="56" t="s">
        <v>150</v>
      </c>
      <c r="Z99" s="478">
        <v>300</v>
      </c>
      <c r="AA99" s="571">
        <v>1</v>
      </c>
      <c r="AB99" s="571"/>
      <c r="AC99" s="571"/>
      <c r="AD99" s="571"/>
      <c r="AE99" s="571"/>
      <c r="AF99" s="571"/>
      <c r="AG99" s="571"/>
      <c r="AH99" s="571"/>
      <c r="AI99" s="571"/>
      <c r="AJ99" s="571"/>
      <c r="AK99" s="55"/>
      <c r="BE99"/>
      <c r="BL99" s="55"/>
    </row>
    <row r="100" spans="1:64" x14ac:dyDescent="0.35">
      <c r="A100" s="474" t="s">
        <v>682</v>
      </c>
      <c r="B100" s="474" t="s">
        <v>150</v>
      </c>
      <c r="C100" s="474" t="s">
        <v>19</v>
      </c>
      <c r="D100" s="475"/>
      <c r="E100" s="476" t="s">
        <v>151</v>
      </c>
      <c r="F100" s="477" t="s">
        <v>848</v>
      </c>
      <c r="G100" s="478" t="s">
        <v>153</v>
      </c>
      <c r="H100" s="474">
        <v>24</v>
      </c>
      <c r="I100" s="474"/>
      <c r="J100" s="474"/>
      <c r="L100" s="474"/>
      <c r="N100" s="474">
        <v>8</v>
      </c>
      <c r="O100" s="479">
        <v>430</v>
      </c>
      <c r="P100" s="479">
        <v>285</v>
      </c>
      <c r="Q100" s="479">
        <v>185</v>
      </c>
      <c r="R100" s="615">
        <v>6.0960000000000001</v>
      </c>
      <c r="S100" s="478">
        <v>6.8</v>
      </c>
      <c r="T100" s="478" t="s">
        <v>22</v>
      </c>
      <c r="U100" s="478" t="s">
        <v>682</v>
      </c>
      <c r="V100" s="571" t="b">
        <v>1</v>
      </c>
      <c r="W100" s="571">
        <v>1</v>
      </c>
      <c r="X100" s="571">
        <v>1</v>
      </c>
      <c r="Y100" s="56" t="s">
        <v>150</v>
      </c>
      <c r="Z100" s="478">
        <v>300</v>
      </c>
      <c r="AA100" s="571">
        <v>1</v>
      </c>
      <c r="AB100" s="571"/>
      <c r="AC100" s="571"/>
      <c r="AD100" s="571"/>
      <c r="AE100" s="571"/>
      <c r="AF100" s="571"/>
      <c r="AG100" s="571"/>
      <c r="AH100" s="571"/>
      <c r="AI100" s="571"/>
      <c r="AJ100" s="571"/>
      <c r="AK100" s="55"/>
      <c r="BE100"/>
      <c r="BL100" s="55"/>
    </row>
    <row r="101" spans="1:64" x14ac:dyDescent="0.35">
      <c r="A101" s="474" t="s">
        <v>684</v>
      </c>
      <c r="B101" s="474" t="s">
        <v>150</v>
      </c>
      <c r="C101" s="474" t="s">
        <v>19</v>
      </c>
      <c r="D101" s="475"/>
      <c r="E101" s="476" t="s">
        <v>151</v>
      </c>
      <c r="F101" s="477" t="s">
        <v>850</v>
      </c>
      <c r="G101" s="478" t="s">
        <v>153</v>
      </c>
      <c r="H101" s="474">
        <v>24</v>
      </c>
      <c r="I101" s="474"/>
      <c r="J101" s="474"/>
      <c r="L101" s="474"/>
      <c r="N101" s="474">
        <v>8</v>
      </c>
      <c r="O101" s="479">
        <v>430</v>
      </c>
      <c r="P101" s="479">
        <v>285</v>
      </c>
      <c r="Q101" s="479">
        <v>185</v>
      </c>
      <c r="R101" s="615">
        <v>6.0960000000000001</v>
      </c>
      <c r="S101" s="478">
        <v>6.8</v>
      </c>
      <c r="T101" s="478" t="s">
        <v>22</v>
      </c>
      <c r="U101" s="478" t="s">
        <v>684</v>
      </c>
      <c r="V101" s="571" t="b">
        <v>1</v>
      </c>
      <c r="W101" s="571">
        <v>1</v>
      </c>
      <c r="X101" s="571">
        <v>1</v>
      </c>
      <c r="Y101" s="56" t="s">
        <v>150</v>
      </c>
      <c r="Z101" s="478">
        <v>300</v>
      </c>
      <c r="AA101" s="571">
        <v>1</v>
      </c>
      <c r="AB101" s="571"/>
      <c r="AC101" s="571"/>
      <c r="AD101" s="571"/>
      <c r="AE101" s="571"/>
      <c r="AF101" s="571"/>
      <c r="AG101" s="571"/>
      <c r="AH101" s="571"/>
      <c r="AI101" s="571"/>
      <c r="AJ101" s="571"/>
      <c r="AK101" s="55"/>
      <c r="BE101"/>
      <c r="BL101" s="55"/>
    </row>
    <row r="102" spans="1:64" x14ac:dyDescent="0.35">
      <c r="A102" s="474" t="s">
        <v>686</v>
      </c>
      <c r="B102" s="474" t="s">
        <v>150</v>
      </c>
      <c r="C102" s="474" t="s">
        <v>19</v>
      </c>
      <c r="D102" s="475"/>
      <c r="E102" s="476" t="s">
        <v>151</v>
      </c>
      <c r="F102" s="477" t="s">
        <v>849</v>
      </c>
      <c r="G102" s="478" t="s">
        <v>153</v>
      </c>
      <c r="H102" s="474">
        <v>24</v>
      </c>
      <c r="I102" s="474"/>
      <c r="J102" s="474"/>
      <c r="L102" s="474"/>
      <c r="N102" s="474">
        <v>8</v>
      </c>
      <c r="O102" s="479">
        <v>430</v>
      </c>
      <c r="P102" s="479">
        <v>285</v>
      </c>
      <c r="Q102" s="479">
        <v>185</v>
      </c>
      <c r="R102" s="615">
        <v>6.0960000000000001</v>
      </c>
      <c r="S102" s="478">
        <v>6.8</v>
      </c>
      <c r="T102" s="478" t="s">
        <v>22</v>
      </c>
      <c r="U102" s="478" t="s">
        <v>686</v>
      </c>
      <c r="V102" s="571" t="b">
        <v>1</v>
      </c>
      <c r="W102" s="571">
        <v>1</v>
      </c>
      <c r="X102" s="571">
        <v>1</v>
      </c>
      <c r="Y102" s="56" t="s">
        <v>150</v>
      </c>
      <c r="Z102" s="478">
        <v>300</v>
      </c>
      <c r="AA102" s="571">
        <v>1</v>
      </c>
      <c r="AB102" s="571"/>
      <c r="AC102" s="571"/>
      <c r="AD102" s="571"/>
      <c r="AE102" s="571"/>
      <c r="AF102" s="571"/>
      <c r="AG102" s="571"/>
      <c r="AH102" s="571"/>
      <c r="AI102" s="571"/>
      <c r="AJ102" s="571"/>
      <c r="AK102" s="55"/>
      <c r="BE102"/>
      <c r="BL102" s="55"/>
    </row>
    <row r="103" spans="1:64" x14ac:dyDescent="0.35">
      <c r="A103" s="57" t="s">
        <v>1667</v>
      </c>
      <c r="B103" s="474" t="s">
        <v>1055</v>
      </c>
      <c r="C103" s="474"/>
      <c r="D103" s="475"/>
      <c r="E103" s="242" t="s">
        <v>1154</v>
      </c>
      <c r="F103" s="55" t="s">
        <v>1669</v>
      </c>
      <c r="G103" s="478" t="s">
        <v>1038</v>
      </c>
      <c r="H103" s="474"/>
      <c r="I103" s="474"/>
      <c r="J103" s="474"/>
      <c r="L103" s="474"/>
      <c r="N103" s="474"/>
      <c r="O103" s="479"/>
      <c r="P103" s="479"/>
      <c r="Q103" s="479"/>
      <c r="R103" s="478"/>
      <c r="S103" s="478"/>
      <c r="T103" s="478"/>
      <c r="U103" s="478" t="s">
        <v>1037</v>
      </c>
      <c r="V103" s="571" t="b">
        <v>0</v>
      </c>
      <c r="W103" s="571">
        <v>1</v>
      </c>
      <c r="X103" s="571">
        <v>0</v>
      </c>
      <c r="Y103" s="571" t="s">
        <v>861</v>
      </c>
      <c r="Z103" s="478"/>
      <c r="AA103" s="571"/>
      <c r="AB103" s="571"/>
      <c r="AC103" s="571"/>
      <c r="AD103" s="571"/>
      <c r="AE103" s="571"/>
      <c r="AF103" s="571"/>
      <c r="AG103" s="571"/>
      <c r="AH103" s="571"/>
      <c r="AI103" s="571"/>
      <c r="AJ103" s="571"/>
      <c r="AK103" s="55"/>
      <c r="BE103"/>
      <c r="BL103" s="55"/>
    </row>
    <row r="104" spans="1:64" x14ac:dyDescent="0.35">
      <c r="A104" s="587" t="s">
        <v>1666</v>
      </c>
      <c r="B104" s="587" t="s">
        <v>1055</v>
      </c>
      <c r="C104" s="587"/>
      <c r="D104" s="588"/>
      <c r="E104" s="589" t="s">
        <v>1154</v>
      </c>
      <c r="F104" s="590" t="s">
        <v>1668</v>
      </c>
      <c r="G104" s="591" t="s">
        <v>1038</v>
      </c>
      <c r="H104" s="587"/>
      <c r="I104" s="587"/>
      <c r="J104" s="587"/>
      <c r="L104" s="587"/>
      <c r="N104" s="587"/>
      <c r="O104" s="592"/>
      <c r="P104" s="592"/>
      <c r="Q104" s="592"/>
      <c r="R104" s="591"/>
      <c r="S104" s="591"/>
      <c r="T104" s="591"/>
      <c r="U104" s="591" t="s">
        <v>1037</v>
      </c>
      <c r="V104" s="591" t="b">
        <v>0</v>
      </c>
      <c r="W104" s="591">
        <v>1</v>
      </c>
      <c r="X104" s="591">
        <v>0</v>
      </c>
      <c r="Y104" s="591" t="s">
        <v>861</v>
      </c>
      <c r="Z104" s="591"/>
      <c r="AA104" s="591"/>
      <c r="AB104" s="591"/>
      <c r="AC104" s="591"/>
      <c r="AD104" s="591"/>
      <c r="AE104" s="591"/>
      <c r="AF104" s="591"/>
      <c r="AG104" s="591"/>
      <c r="AH104" s="591"/>
      <c r="AI104" s="591"/>
      <c r="AJ104" s="591"/>
      <c r="AK104" s="55"/>
      <c r="BE104"/>
      <c r="BL104" s="55"/>
    </row>
    <row r="105" spans="1:64" x14ac:dyDescent="0.35">
      <c r="A105" s="474" t="s">
        <v>1036</v>
      </c>
      <c r="B105" s="474" t="s">
        <v>1055</v>
      </c>
      <c r="C105" s="474"/>
      <c r="D105" s="475"/>
      <c r="E105" s="242" t="s">
        <v>1154</v>
      </c>
      <c r="F105" s="477" t="s">
        <v>1034</v>
      </c>
      <c r="G105" s="478" t="s">
        <v>1038</v>
      </c>
      <c r="H105" s="474"/>
      <c r="I105" s="474"/>
      <c r="J105" s="474"/>
      <c r="L105" s="474"/>
      <c r="N105" s="474"/>
      <c r="O105" s="479"/>
      <c r="P105" s="479"/>
      <c r="Q105" s="479"/>
      <c r="R105" s="478"/>
      <c r="S105" s="478"/>
      <c r="T105" s="478"/>
      <c r="U105" s="478" t="s">
        <v>1036</v>
      </c>
      <c r="V105" s="571" t="b">
        <v>0</v>
      </c>
      <c r="W105" s="571">
        <v>1</v>
      </c>
      <c r="X105" s="571">
        <v>0</v>
      </c>
      <c r="Y105" s="571" t="s">
        <v>861</v>
      </c>
      <c r="Z105" s="478"/>
      <c r="AA105" s="571"/>
      <c r="AB105" s="571"/>
      <c r="AC105" s="571"/>
      <c r="AD105" s="571"/>
      <c r="AE105" s="571"/>
      <c r="AF105" s="571"/>
      <c r="AG105" s="571"/>
      <c r="AH105" s="571"/>
      <c r="AI105" s="571"/>
      <c r="AJ105" s="571"/>
      <c r="AK105" s="55"/>
      <c r="BE105"/>
      <c r="BL105" s="55"/>
    </row>
    <row r="106" spans="1:64" x14ac:dyDescent="0.35">
      <c r="A106" s="474" t="s">
        <v>17</v>
      </c>
      <c r="B106" s="474" t="s">
        <v>18</v>
      </c>
      <c r="C106" s="474" t="s">
        <v>19</v>
      </c>
      <c r="D106" s="475">
        <v>6291107160993</v>
      </c>
      <c r="E106" s="242" t="s">
        <v>1695</v>
      </c>
      <c r="F106" s="477" t="s">
        <v>20</v>
      </c>
      <c r="G106" s="478" t="s">
        <v>21</v>
      </c>
      <c r="H106" s="474">
        <v>12</v>
      </c>
      <c r="I106" s="474">
        <v>42</v>
      </c>
      <c r="J106" s="474">
        <v>63</v>
      </c>
      <c r="L106" s="474">
        <v>7</v>
      </c>
      <c r="N106" s="474">
        <v>6</v>
      </c>
      <c r="O106" s="479">
        <v>370</v>
      </c>
      <c r="P106" s="479">
        <v>330</v>
      </c>
      <c r="Q106" s="479">
        <v>230</v>
      </c>
      <c r="R106" s="478">
        <v>5.04</v>
      </c>
      <c r="S106" s="478">
        <v>5.79</v>
      </c>
      <c r="T106" s="478" t="s">
        <v>22</v>
      </c>
      <c r="U106" s="478" t="s">
        <v>17</v>
      </c>
      <c r="V106" s="571" t="b">
        <v>1</v>
      </c>
      <c r="W106" s="571">
        <v>2</v>
      </c>
      <c r="X106" s="571">
        <v>2</v>
      </c>
      <c r="Y106" s="571" t="s">
        <v>1600</v>
      </c>
      <c r="Z106" s="478">
        <v>50</v>
      </c>
      <c r="AA106" s="571">
        <v>0.55000000000000004</v>
      </c>
      <c r="AB106" s="571" t="s">
        <v>150</v>
      </c>
      <c r="AC106" s="571">
        <v>175</v>
      </c>
      <c r="AD106" s="571">
        <v>0.45</v>
      </c>
      <c r="AE106" s="571"/>
      <c r="AF106" s="571"/>
      <c r="AG106" s="571"/>
      <c r="AH106" s="571"/>
      <c r="AI106" s="571"/>
      <c r="AJ106" s="571"/>
      <c r="AK106" s="55"/>
      <c r="BE106"/>
      <c r="BL106" s="55"/>
    </row>
    <row r="107" spans="1:64" x14ac:dyDescent="0.35">
      <c r="A107" s="474" t="s">
        <v>23</v>
      </c>
      <c r="B107" s="474" t="s">
        <v>18</v>
      </c>
      <c r="C107" s="474" t="s">
        <v>19</v>
      </c>
      <c r="D107" s="475">
        <v>6291107161006</v>
      </c>
      <c r="F107" s="477" t="s">
        <v>24</v>
      </c>
      <c r="G107" s="478" t="s">
        <v>21</v>
      </c>
      <c r="H107" s="474">
        <v>12</v>
      </c>
      <c r="I107" s="474">
        <v>42</v>
      </c>
      <c r="J107" s="474">
        <v>63</v>
      </c>
      <c r="L107" s="474">
        <v>7</v>
      </c>
      <c r="N107" s="474">
        <v>6</v>
      </c>
      <c r="O107" s="479">
        <v>370</v>
      </c>
      <c r="P107" s="479">
        <v>330</v>
      </c>
      <c r="Q107" s="479">
        <v>230</v>
      </c>
      <c r="R107" s="478">
        <v>5.04</v>
      </c>
      <c r="S107" s="478">
        <v>5.79</v>
      </c>
      <c r="T107" s="478" t="s">
        <v>22</v>
      </c>
      <c r="U107" s="478" t="s">
        <v>23</v>
      </c>
      <c r="V107" s="571" t="b">
        <v>1</v>
      </c>
      <c r="W107" s="571">
        <v>2</v>
      </c>
      <c r="X107" s="571">
        <v>2</v>
      </c>
      <c r="Y107" s="571" t="s">
        <v>1600</v>
      </c>
      <c r="Z107" s="478">
        <v>50</v>
      </c>
      <c r="AA107" s="571">
        <v>0.55000000000000004</v>
      </c>
      <c r="AB107" s="571" t="s">
        <v>150</v>
      </c>
      <c r="AC107" s="571">
        <v>175</v>
      </c>
      <c r="AD107" s="571">
        <v>0.45</v>
      </c>
      <c r="AE107" s="571"/>
      <c r="AF107" s="571"/>
      <c r="AG107" s="571"/>
      <c r="AH107" s="571"/>
      <c r="AI107" s="571"/>
      <c r="AJ107" s="571"/>
      <c r="AK107" s="55"/>
      <c r="BE107"/>
      <c r="BL107" s="55"/>
    </row>
    <row r="108" spans="1:64" x14ac:dyDescent="0.35">
      <c r="A108" s="474" t="s">
        <v>25</v>
      </c>
      <c r="B108" s="474" t="s">
        <v>18</v>
      </c>
      <c r="C108" s="474" t="s">
        <v>19</v>
      </c>
      <c r="D108" s="475">
        <v>6291107161013</v>
      </c>
      <c r="E108" s="242" t="s">
        <v>1686</v>
      </c>
      <c r="F108" s="477" t="s">
        <v>26</v>
      </c>
      <c r="G108" s="478" t="s">
        <v>21</v>
      </c>
      <c r="H108" s="474">
        <v>12</v>
      </c>
      <c r="I108" s="474">
        <v>42</v>
      </c>
      <c r="J108" s="474">
        <v>63</v>
      </c>
      <c r="L108" s="474">
        <v>7</v>
      </c>
      <c r="N108" s="474">
        <v>6</v>
      </c>
      <c r="O108" s="479">
        <v>370</v>
      </c>
      <c r="P108" s="479">
        <v>330</v>
      </c>
      <c r="Q108" s="479">
        <v>230</v>
      </c>
      <c r="R108" s="478">
        <v>5.04</v>
      </c>
      <c r="S108" s="478">
        <v>5.79</v>
      </c>
      <c r="T108" s="478" t="s">
        <v>22</v>
      </c>
      <c r="U108" s="478" t="s">
        <v>25</v>
      </c>
      <c r="V108" s="571" t="b">
        <v>1</v>
      </c>
      <c r="W108" s="571">
        <v>2</v>
      </c>
      <c r="X108" s="571">
        <v>2</v>
      </c>
      <c r="Y108" s="571" t="s">
        <v>1600</v>
      </c>
      <c r="Z108" s="478">
        <v>50</v>
      </c>
      <c r="AA108" s="571">
        <v>0.55000000000000004</v>
      </c>
      <c r="AB108" s="571" t="s">
        <v>150</v>
      </c>
      <c r="AC108" s="571">
        <v>175</v>
      </c>
      <c r="AD108" s="571">
        <v>0.45</v>
      </c>
      <c r="AE108" s="571"/>
      <c r="AF108" s="571"/>
      <c r="AG108" s="571"/>
      <c r="AH108" s="571"/>
      <c r="AI108" s="571"/>
      <c r="AJ108" s="571"/>
      <c r="AK108" s="55"/>
      <c r="BE108"/>
      <c r="BL108" s="55"/>
    </row>
    <row r="109" spans="1:64" x14ac:dyDescent="0.35">
      <c r="A109" s="474" t="s">
        <v>27</v>
      </c>
      <c r="B109" s="474" t="s">
        <v>18</v>
      </c>
      <c r="C109" s="474" t="s">
        <v>19</v>
      </c>
      <c r="D109" s="475">
        <v>6291107161020</v>
      </c>
      <c r="F109" s="477" t="s">
        <v>28</v>
      </c>
      <c r="G109" s="478" t="s">
        <v>21</v>
      </c>
      <c r="H109" s="474">
        <v>12</v>
      </c>
      <c r="I109" s="474">
        <v>42</v>
      </c>
      <c r="J109" s="474">
        <v>63</v>
      </c>
      <c r="L109" s="474">
        <v>7</v>
      </c>
      <c r="N109" s="474">
        <v>6</v>
      </c>
      <c r="O109" s="479">
        <v>370</v>
      </c>
      <c r="P109" s="479">
        <v>330</v>
      </c>
      <c r="Q109" s="479">
        <v>230</v>
      </c>
      <c r="R109" s="478">
        <v>5.04</v>
      </c>
      <c r="S109" s="478">
        <v>5.79</v>
      </c>
      <c r="T109" s="478" t="s">
        <v>22</v>
      </c>
      <c r="U109" s="478" t="s">
        <v>27</v>
      </c>
      <c r="V109" s="571" t="b">
        <v>1</v>
      </c>
      <c r="W109" s="571">
        <v>2</v>
      </c>
      <c r="X109" s="571">
        <v>2</v>
      </c>
      <c r="Y109" s="571" t="s">
        <v>1600</v>
      </c>
      <c r="Z109" s="478">
        <v>50</v>
      </c>
      <c r="AA109" s="571">
        <v>0.55000000000000004</v>
      </c>
      <c r="AB109" s="571" t="s">
        <v>150</v>
      </c>
      <c r="AC109" s="571">
        <v>175</v>
      </c>
      <c r="AD109" s="571">
        <v>0.45</v>
      </c>
      <c r="AE109" s="571"/>
      <c r="AF109" s="571"/>
      <c r="AG109" s="571"/>
      <c r="AH109" s="571"/>
      <c r="AI109" s="571"/>
      <c r="AJ109" s="571"/>
      <c r="AK109" s="55"/>
      <c r="BE109"/>
      <c r="BL109" s="55"/>
    </row>
    <row r="110" spans="1:64" x14ac:dyDescent="0.35">
      <c r="A110" s="474" t="s">
        <v>29</v>
      </c>
      <c r="B110" s="474" t="s">
        <v>18</v>
      </c>
      <c r="C110" s="474" t="s">
        <v>30</v>
      </c>
      <c r="D110" s="475">
        <v>6291107161037</v>
      </c>
      <c r="F110" s="477" t="s">
        <v>31</v>
      </c>
      <c r="G110" s="478" t="s">
        <v>21</v>
      </c>
      <c r="H110" s="474">
        <v>12</v>
      </c>
      <c r="I110" s="474">
        <v>42</v>
      </c>
      <c r="J110" s="474">
        <v>63</v>
      </c>
      <c r="L110" s="474">
        <v>7</v>
      </c>
      <c r="N110" s="474">
        <v>6</v>
      </c>
      <c r="O110" s="479">
        <v>370</v>
      </c>
      <c r="P110" s="479">
        <v>330</v>
      </c>
      <c r="Q110" s="479">
        <v>230</v>
      </c>
      <c r="R110" s="478">
        <v>4.78</v>
      </c>
      <c r="S110" s="478">
        <v>5.25</v>
      </c>
      <c r="T110" s="478" t="s">
        <v>22</v>
      </c>
      <c r="U110" s="478" t="s">
        <v>29</v>
      </c>
      <c r="V110" s="571" t="b">
        <v>1</v>
      </c>
      <c r="W110" s="571">
        <v>2</v>
      </c>
      <c r="X110" s="571">
        <v>2</v>
      </c>
      <c r="Y110" s="571" t="s">
        <v>1600</v>
      </c>
      <c r="Z110" s="478">
        <v>50</v>
      </c>
      <c r="AA110" s="571">
        <v>0.55000000000000004</v>
      </c>
      <c r="AB110" s="571" t="s">
        <v>150</v>
      </c>
      <c r="AC110" s="571">
        <v>150</v>
      </c>
      <c r="AD110" s="571">
        <v>0.45</v>
      </c>
      <c r="AE110" s="571"/>
      <c r="AF110" s="571"/>
      <c r="AG110" s="571"/>
      <c r="AH110" s="571"/>
      <c r="AI110" s="571"/>
      <c r="AJ110" s="571"/>
      <c r="AK110" s="55"/>
      <c r="BE110"/>
      <c r="BL110" s="55"/>
    </row>
    <row r="111" spans="1:64" x14ac:dyDescent="0.35">
      <c r="A111" s="474" t="s">
        <v>32</v>
      </c>
      <c r="B111" s="474" t="s">
        <v>18</v>
      </c>
      <c r="C111" s="474" t="s">
        <v>30</v>
      </c>
      <c r="D111" s="475">
        <v>6291107161044</v>
      </c>
      <c r="E111" s="242" t="s">
        <v>1687</v>
      </c>
      <c r="F111" s="477" t="s">
        <v>33</v>
      </c>
      <c r="G111" s="478" t="s">
        <v>21</v>
      </c>
      <c r="H111" s="474">
        <v>12</v>
      </c>
      <c r="I111" s="474">
        <v>42</v>
      </c>
      <c r="J111" s="474">
        <v>63</v>
      </c>
      <c r="L111" s="474">
        <v>7</v>
      </c>
      <c r="N111" s="474">
        <v>6</v>
      </c>
      <c r="O111" s="479">
        <v>370</v>
      </c>
      <c r="P111" s="479">
        <v>330</v>
      </c>
      <c r="Q111" s="479">
        <v>230</v>
      </c>
      <c r="R111" s="478">
        <v>4.78</v>
      </c>
      <c r="S111" s="478">
        <v>5.25</v>
      </c>
      <c r="T111" s="478" t="s">
        <v>22</v>
      </c>
      <c r="U111" s="478" t="s">
        <v>32</v>
      </c>
      <c r="V111" s="571" t="b">
        <v>1</v>
      </c>
      <c r="W111" s="571">
        <v>2</v>
      </c>
      <c r="X111" s="571">
        <v>2</v>
      </c>
      <c r="Y111" s="571" t="s">
        <v>1600</v>
      </c>
      <c r="Z111" s="478">
        <v>50</v>
      </c>
      <c r="AA111" s="571">
        <v>0.55000000000000004</v>
      </c>
      <c r="AB111" s="571" t="s">
        <v>150</v>
      </c>
      <c r="AC111" s="571">
        <v>150</v>
      </c>
      <c r="AD111" s="571">
        <v>0.45</v>
      </c>
      <c r="AE111" s="571"/>
      <c r="AF111" s="571"/>
      <c r="AG111" s="571"/>
      <c r="AH111" s="571"/>
      <c r="AI111" s="571"/>
      <c r="AJ111" s="571"/>
      <c r="AK111" s="55"/>
      <c r="BE111"/>
      <c r="BL111" s="55"/>
    </row>
    <row r="112" spans="1:64" x14ac:dyDescent="0.35">
      <c r="A112" s="474" t="s">
        <v>34</v>
      </c>
      <c r="B112" s="474" t="s">
        <v>18</v>
      </c>
      <c r="C112" s="474" t="s">
        <v>30</v>
      </c>
      <c r="D112" s="475">
        <v>6291107161051</v>
      </c>
      <c r="F112" s="477" t="s">
        <v>35</v>
      </c>
      <c r="G112" s="478" t="s">
        <v>21</v>
      </c>
      <c r="H112" s="474">
        <v>12</v>
      </c>
      <c r="I112" s="474">
        <v>42</v>
      </c>
      <c r="J112" s="474">
        <v>63</v>
      </c>
      <c r="L112" s="474">
        <v>7</v>
      </c>
      <c r="N112" s="474">
        <v>6</v>
      </c>
      <c r="O112" s="479">
        <v>370</v>
      </c>
      <c r="P112" s="479">
        <v>330</v>
      </c>
      <c r="Q112" s="479">
        <v>230</v>
      </c>
      <c r="R112" s="478">
        <v>4.78</v>
      </c>
      <c r="S112" s="478">
        <v>5.25</v>
      </c>
      <c r="T112" s="478" t="s">
        <v>22</v>
      </c>
      <c r="U112" s="478" t="s">
        <v>34</v>
      </c>
      <c r="V112" s="571" t="b">
        <v>1</v>
      </c>
      <c r="W112" s="571">
        <v>2</v>
      </c>
      <c r="X112" s="571">
        <v>2</v>
      </c>
      <c r="Y112" s="571" t="s">
        <v>1600</v>
      </c>
      <c r="Z112" s="478">
        <v>50</v>
      </c>
      <c r="AA112" s="571">
        <v>0.55000000000000004</v>
      </c>
      <c r="AB112" s="571" t="s">
        <v>150</v>
      </c>
      <c r="AC112" s="571">
        <v>150</v>
      </c>
      <c r="AD112" s="571">
        <v>0.45</v>
      </c>
      <c r="AE112" s="571"/>
      <c r="AF112" s="571"/>
      <c r="AG112" s="571"/>
      <c r="AH112" s="571"/>
      <c r="AI112" s="571"/>
      <c r="AJ112" s="571"/>
      <c r="AK112" s="55"/>
      <c r="BE112"/>
      <c r="BL112" s="55"/>
    </row>
    <row r="113" spans="1:64" x14ac:dyDescent="0.35">
      <c r="A113" s="474" t="s">
        <v>36</v>
      </c>
      <c r="B113" s="474" t="s">
        <v>18</v>
      </c>
      <c r="C113" s="474" t="s">
        <v>30</v>
      </c>
      <c r="D113" s="475">
        <v>6291107161068</v>
      </c>
      <c r="F113" s="477" t="s">
        <v>37</v>
      </c>
      <c r="G113" s="478" t="s">
        <v>21</v>
      </c>
      <c r="H113" s="474">
        <v>12</v>
      </c>
      <c r="I113" s="474">
        <v>42</v>
      </c>
      <c r="J113" s="474">
        <v>63</v>
      </c>
      <c r="L113" s="474">
        <v>7</v>
      </c>
      <c r="N113" s="474">
        <v>6</v>
      </c>
      <c r="O113" s="479">
        <v>370</v>
      </c>
      <c r="P113" s="479">
        <v>330</v>
      </c>
      <c r="Q113" s="479">
        <v>230</v>
      </c>
      <c r="R113" s="478">
        <v>4.78</v>
      </c>
      <c r="S113" s="478">
        <v>5.25</v>
      </c>
      <c r="T113" s="478" t="s">
        <v>22</v>
      </c>
      <c r="U113" s="478" t="s">
        <v>36</v>
      </c>
      <c r="V113" s="571" t="b">
        <v>1</v>
      </c>
      <c r="W113" s="571">
        <v>2</v>
      </c>
      <c r="X113" s="571">
        <v>2</v>
      </c>
      <c r="Y113" s="571" t="s">
        <v>1600</v>
      </c>
      <c r="Z113" s="478">
        <v>50</v>
      </c>
      <c r="AA113" s="571">
        <v>0.55000000000000004</v>
      </c>
      <c r="AB113" s="571" t="s">
        <v>150</v>
      </c>
      <c r="AC113" s="571">
        <v>150</v>
      </c>
      <c r="AD113" s="571">
        <v>0.45</v>
      </c>
      <c r="AE113" s="571"/>
      <c r="AF113" s="571"/>
      <c r="AG113" s="571"/>
      <c r="AH113" s="571"/>
      <c r="AI113" s="571"/>
      <c r="AJ113" s="571"/>
      <c r="AK113" s="55"/>
      <c r="BE113"/>
      <c r="BL113" s="55"/>
    </row>
    <row r="114" spans="1:64" x14ac:dyDescent="0.35">
      <c r="A114" s="474" t="s">
        <v>38</v>
      </c>
      <c r="B114" s="474" t="s">
        <v>18</v>
      </c>
      <c r="C114" s="474" t="s">
        <v>19</v>
      </c>
      <c r="D114" s="475">
        <v>6291107168203</v>
      </c>
      <c r="F114" s="477" t="s">
        <v>39</v>
      </c>
      <c r="G114" s="478" t="s">
        <v>21</v>
      </c>
      <c r="H114" s="474">
        <v>12</v>
      </c>
      <c r="I114" s="474">
        <v>48</v>
      </c>
      <c r="J114" s="474"/>
      <c r="L114" s="474">
        <v>6</v>
      </c>
      <c r="N114" s="474">
        <v>8</v>
      </c>
      <c r="O114" s="479">
        <v>445</v>
      </c>
      <c r="P114" s="479">
        <v>365</v>
      </c>
      <c r="Q114" s="479">
        <v>240</v>
      </c>
      <c r="R114" s="478">
        <v>6.17</v>
      </c>
      <c r="S114" s="478">
        <v>6.77</v>
      </c>
      <c r="T114" s="478" t="s">
        <v>22</v>
      </c>
      <c r="U114" s="478" t="s">
        <v>38</v>
      </c>
      <c r="V114" s="571" t="b">
        <v>1</v>
      </c>
      <c r="W114" s="571">
        <v>3</v>
      </c>
      <c r="X114" s="571">
        <v>2</v>
      </c>
      <c r="Y114" s="571" t="s">
        <v>1600</v>
      </c>
      <c r="Z114" s="478">
        <v>50</v>
      </c>
      <c r="AA114" s="571">
        <v>0.55000000000000004</v>
      </c>
      <c r="AB114" s="571" t="s">
        <v>150</v>
      </c>
      <c r="AC114" s="571">
        <v>175</v>
      </c>
      <c r="AD114" s="571">
        <v>0.45</v>
      </c>
      <c r="AE114" s="571"/>
      <c r="AF114" s="571"/>
      <c r="AG114" s="571"/>
      <c r="AH114" s="571"/>
      <c r="AI114" s="571"/>
      <c r="AJ114" s="571"/>
      <c r="AK114" s="55"/>
      <c r="BE114"/>
      <c r="BL114" s="55"/>
    </row>
    <row r="115" spans="1:64" x14ac:dyDescent="0.35">
      <c r="A115" s="474" t="s">
        <v>40</v>
      </c>
      <c r="B115" s="474" t="s">
        <v>18</v>
      </c>
      <c r="C115" s="474" t="s">
        <v>19</v>
      </c>
      <c r="D115" s="475">
        <v>6291107168210</v>
      </c>
      <c r="F115" s="477" t="s">
        <v>41</v>
      </c>
      <c r="G115" s="478" t="s">
        <v>21</v>
      </c>
      <c r="H115" s="474">
        <v>12</v>
      </c>
      <c r="I115" s="474">
        <v>48</v>
      </c>
      <c r="J115" s="474"/>
      <c r="L115" s="474">
        <v>6</v>
      </c>
      <c r="N115" s="474">
        <v>8</v>
      </c>
      <c r="O115" s="479">
        <v>445</v>
      </c>
      <c r="P115" s="479">
        <v>365</v>
      </c>
      <c r="Q115" s="479">
        <v>240</v>
      </c>
      <c r="R115" s="478">
        <v>6.17</v>
      </c>
      <c r="S115" s="478">
        <v>6.77</v>
      </c>
      <c r="T115" s="478" t="s">
        <v>22</v>
      </c>
      <c r="U115" s="478" t="s">
        <v>40</v>
      </c>
      <c r="V115" s="571" t="b">
        <v>1</v>
      </c>
      <c r="W115" s="571">
        <v>3</v>
      </c>
      <c r="X115" s="571">
        <v>2</v>
      </c>
      <c r="Y115" s="571" t="s">
        <v>1600</v>
      </c>
      <c r="Z115" s="478">
        <v>50</v>
      </c>
      <c r="AA115" s="571">
        <v>0.55000000000000004</v>
      </c>
      <c r="AB115" s="571" t="s">
        <v>150</v>
      </c>
      <c r="AC115" s="571">
        <v>175</v>
      </c>
      <c r="AD115" s="571">
        <v>0.45</v>
      </c>
      <c r="AE115" s="571"/>
      <c r="AF115" s="571"/>
      <c r="AG115" s="571"/>
      <c r="AH115" s="571"/>
      <c r="AI115" s="571"/>
      <c r="AJ115" s="571"/>
      <c r="AK115" s="55"/>
      <c r="BE115"/>
      <c r="BL115" s="55"/>
    </row>
    <row r="116" spans="1:64" x14ac:dyDescent="0.35">
      <c r="A116" s="474" t="s">
        <v>42</v>
      </c>
      <c r="B116" s="474" t="s">
        <v>18</v>
      </c>
      <c r="C116" s="474" t="s">
        <v>19</v>
      </c>
      <c r="D116" s="475">
        <v>6291107168227</v>
      </c>
      <c r="F116" s="477" t="s">
        <v>43</v>
      </c>
      <c r="G116" s="478" t="s">
        <v>21</v>
      </c>
      <c r="H116" s="474">
        <v>12</v>
      </c>
      <c r="I116" s="474">
        <v>48</v>
      </c>
      <c r="J116" s="474"/>
      <c r="L116" s="474">
        <v>6</v>
      </c>
      <c r="N116" s="474">
        <v>8</v>
      </c>
      <c r="O116" s="479">
        <v>445</v>
      </c>
      <c r="P116" s="479">
        <v>365</v>
      </c>
      <c r="Q116" s="479">
        <v>240</v>
      </c>
      <c r="R116" s="478">
        <v>6.17</v>
      </c>
      <c r="S116" s="478">
        <v>6.77</v>
      </c>
      <c r="T116" s="478" t="s">
        <v>22</v>
      </c>
      <c r="U116" s="478" t="s">
        <v>42</v>
      </c>
      <c r="V116" s="571" t="b">
        <v>1</v>
      </c>
      <c r="W116" s="571">
        <v>3</v>
      </c>
      <c r="X116" s="571">
        <v>2</v>
      </c>
      <c r="Y116" s="571" t="s">
        <v>1600</v>
      </c>
      <c r="Z116" s="478">
        <v>50</v>
      </c>
      <c r="AA116" s="571">
        <v>0.55000000000000004</v>
      </c>
      <c r="AB116" s="571" t="s">
        <v>150</v>
      </c>
      <c r="AC116" s="571">
        <v>175</v>
      </c>
      <c r="AD116" s="571">
        <v>0.45</v>
      </c>
      <c r="AE116" s="571"/>
      <c r="AF116" s="571"/>
      <c r="AG116" s="571"/>
      <c r="AH116" s="571"/>
      <c r="AI116" s="571"/>
      <c r="AJ116" s="571"/>
      <c r="AK116" s="55"/>
      <c r="BE116"/>
      <c r="BL116" s="55"/>
    </row>
    <row r="117" spans="1:64" x14ac:dyDescent="0.35">
      <c r="A117" s="474" t="s">
        <v>44</v>
      </c>
      <c r="B117" s="474" t="s">
        <v>18</v>
      </c>
      <c r="C117" s="474" t="s">
        <v>19</v>
      </c>
      <c r="D117" s="475">
        <v>6291107168234</v>
      </c>
      <c r="F117" s="477" t="s">
        <v>45</v>
      </c>
      <c r="G117" s="478" t="s">
        <v>21</v>
      </c>
      <c r="H117" s="474">
        <v>12</v>
      </c>
      <c r="I117" s="474">
        <v>48</v>
      </c>
      <c r="J117" s="474"/>
      <c r="L117" s="474">
        <v>6</v>
      </c>
      <c r="N117" s="474">
        <v>8</v>
      </c>
      <c r="O117" s="479">
        <v>445</v>
      </c>
      <c r="P117" s="479">
        <v>365</v>
      </c>
      <c r="Q117" s="479">
        <v>240</v>
      </c>
      <c r="R117" s="478">
        <v>6.17</v>
      </c>
      <c r="S117" s="478">
        <v>6.77</v>
      </c>
      <c r="T117" s="478" t="s">
        <v>22</v>
      </c>
      <c r="U117" s="478" t="s">
        <v>44</v>
      </c>
      <c r="V117" s="571" t="b">
        <v>1</v>
      </c>
      <c r="W117" s="571">
        <v>3</v>
      </c>
      <c r="X117" s="571">
        <v>2</v>
      </c>
      <c r="Y117" s="571" t="s">
        <v>1600</v>
      </c>
      <c r="Z117" s="478">
        <v>50</v>
      </c>
      <c r="AA117" s="571">
        <v>0.55000000000000004</v>
      </c>
      <c r="AB117" s="571" t="s">
        <v>150</v>
      </c>
      <c r="AC117" s="571">
        <v>175</v>
      </c>
      <c r="AD117" s="571">
        <v>0.45</v>
      </c>
      <c r="AE117" s="571"/>
      <c r="AF117" s="571"/>
      <c r="AG117" s="571"/>
      <c r="AH117" s="571"/>
      <c r="AI117" s="571"/>
      <c r="AJ117" s="571"/>
      <c r="AK117" s="55"/>
      <c r="BE117"/>
      <c r="BL117" s="55"/>
    </row>
    <row r="118" spans="1:64" x14ac:dyDescent="0.35">
      <c r="A118" s="474" t="s">
        <v>46</v>
      </c>
      <c r="B118" s="474" t="s">
        <v>18</v>
      </c>
      <c r="C118" s="474" t="s">
        <v>30</v>
      </c>
      <c r="D118" s="475">
        <v>6291107168241</v>
      </c>
      <c r="F118" s="477" t="s">
        <v>47</v>
      </c>
      <c r="G118" s="478" t="s">
        <v>21</v>
      </c>
      <c r="H118" s="474">
        <v>12</v>
      </c>
      <c r="I118" s="474">
        <v>48</v>
      </c>
      <c r="J118" s="474"/>
      <c r="L118" s="474">
        <v>6</v>
      </c>
      <c r="N118" s="474">
        <v>8</v>
      </c>
      <c r="O118" s="479">
        <v>445</v>
      </c>
      <c r="P118" s="479">
        <v>365</v>
      </c>
      <c r="Q118" s="479">
        <v>240</v>
      </c>
      <c r="R118" s="478">
        <v>5.7</v>
      </c>
      <c r="S118" s="478">
        <v>6.3</v>
      </c>
      <c r="T118" s="478" t="s">
        <v>22</v>
      </c>
      <c r="U118" s="478" t="s">
        <v>46</v>
      </c>
      <c r="V118" s="571" t="b">
        <v>1</v>
      </c>
      <c r="W118" s="571">
        <v>3</v>
      </c>
      <c r="X118" s="571">
        <v>2</v>
      </c>
      <c r="Y118" s="571" t="s">
        <v>1600</v>
      </c>
      <c r="Z118" s="478">
        <v>50</v>
      </c>
      <c r="AA118" s="571">
        <v>0.55000000000000004</v>
      </c>
      <c r="AB118" s="571" t="s">
        <v>150</v>
      </c>
      <c r="AC118" s="571">
        <v>150</v>
      </c>
      <c r="AD118" s="571">
        <v>0.45</v>
      </c>
      <c r="AE118" s="571"/>
      <c r="AF118" s="571"/>
      <c r="AG118" s="571"/>
      <c r="AH118" s="571"/>
      <c r="AI118" s="571"/>
      <c r="AJ118" s="571"/>
      <c r="AK118" s="55"/>
      <c r="BE118"/>
      <c r="BL118" s="55"/>
    </row>
    <row r="119" spans="1:64" x14ac:dyDescent="0.35">
      <c r="A119" s="474" t="s">
        <v>48</v>
      </c>
      <c r="B119" s="474" t="s">
        <v>18</v>
      </c>
      <c r="C119" s="474" t="s">
        <v>30</v>
      </c>
      <c r="D119" s="475">
        <v>6291107168258</v>
      </c>
      <c r="F119" s="477" t="s">
        <v>49</v>
      </c>
      <c r="G119" s="478" t="s">
        <v>21</v>
      </c>
      <c r="H119" s="474">
        <v>12</v>
      </c>
      <c r="I119" s="474">
        <v>48</v>
      </c>
      <c r="J119" s="474"/>
      <c r="L119" s="474">
        <v>6</v>
      </c>
      <c r="N119" s="474">
        <v>8</v>
      </c>
      <c r="O119" s="479">
        <v>445</v>
      </c>
      <c r="P119" s="479">
        <v>365</v>
      </c>
      <c r="Q119" s="479">
        <v>240</v>
      </c>
      <c r="R119" s="478">
        <v>5.7</v>
      </c>
      <c r="S119" s="478">
        <v>6.3</v>
      </c>
      <c r="T119" s="478" t="s">
        <v>22</v>
      </c>
      <c r="U119" s="478" t="s">
        <v>48</v>
      </c>
      <c r="V119" s="571" t="b">
        <v>1</v>
      </c>
      <c r="W119" s="571">
        <v>3</v>
      </c>
      <c r="X119" s="571">
        <v>2</v>
      </c>
      <c r="Y119" s="571" t="s">
        <v>1600</v>
      </c>
      <c r="Z119" s="478">
        <v>50</v>
      </c>
      <c r="AA119" s="571">
        <v>0.55000000000000004</v>
      </c>
      <c r="AB119" s="571" t="s">
        <v>150</v>
      </c>
      <c r="AC119" s="571">
        <v>150</v>
      </c>
      <c r="AD119" s="571">
        <v>0.45</v>
      </c>
      <c r="AE119" s="571"/>
      <c r="AF119" s="571"/>
      <c r="AG119" s="571"/>
      <c r="AH119" s="571"/>
      <c r="AI119" s="571"/>
      <c r="AJ119" s="571"/>
      <c r="AK119" s="55"/>
      <c r="BE119"/>
      <c r="BL119" s="55"/>
    </row>
    <row r="120" spans="1:64" x14ac:dyDescent="0.35">
      <c r="A120" s="474" t="s">
        <v>50</v>
      </c>
      <c r="B120" s="474" t="s">
        <v>18</v>
      </c>
      <c r="C120" s="474" t="s">
        <v>30</v>
      </c>
      <c r="D120" s="475">
        <v>6291107168265</v>
      </c>
      <c r="F120" s="477" t="s">
        <v>51</v>
      </c>
      <c r="G120" s="478" t="s">
        <v>21</v>
      </c>
      <c r="H120" s="474">
        <v>12</v>
      </c>
      <c r="I120" s="474">
        <v>48</v>
      </c>
      <c r="J120" s="474"/>
      <c r="L120" s="474">
        <v>6</v>
      </c>
      <c r="N120" s="474">
        <v>8</v>
      </c>
      <c r="O120" s="479">
        <v>445</v>
      </c>
      <c r="P120" s="479">
        <v>365</v>
      </c>
      <c r="Q120" s="479">
        <v>240</v>
      </c>
      <c r="R120" s="478">
        <v>5.7</v>
      </c>
      <c r="S120" s="478">
        <v>6.3</v>
      </c>
      <c r="T120" s="478" t="s">
        <v>22</v>
      </c>
      <c r="U120" s="478" t="s">
        <v>50</v>
      </c>
      <c r="V120" s="571" t="b">
        <v>1</v>
      </c>
      <c r="W120" s="571">
        <v>3</v>
      </c>
      <c r="X120" s="571">
        <v>2</v>
      </c>
      <c r="Y120" s="571" t="s">
        <v>1600</v>
      </c>
      <c r="Z120" s="478">
        <v>50</v>
      </c>
      <c r="AA120" s="571">
        <v>0.55000000000000004</v>
      </c>
      <c r="AB120" s="571" t="s">
        <v>150</v>
      </c>
      <c r="AC120" s="571">
        <v>150</v>
      </c>
      <c r="AD120" s="571">
        <v>0.45</v>
      </c>
      <c r="AE120" s="571"/>
      <c r="AF120" s="571"/>
      <c r="AG120" s="571"/>
      <c r="AH120" s="571"/>
      <c r="AI120" s="571"/>
      <c r="AJ120" s="571"/>
      <c r="AK120" s="55"/>
      <c r="BE120"/>
      <c r="BL120" s="55"/>
    </row>
    <row r="121" spans="1:64" x14ac:dyDescent="0.35">
      <c r="A121" s="474" t="s">
        <v>52</v>
      </c>
      <c r="B121" s="474" t="s">
        <v>18</v>
      </c>
      <c r="C121" s="474" t="s">
        <v>30</v>
      </c>
      <c r="D121" s="475">
        <v>6291107168272</v>
      </c>
      <c r="F121" s="477" t="s">
        <v>53</v>
      </c>
      <c r="G121" s="478" t="s">
        <v>21</v>
      </c>
      <c r="H121" s="474">
        <v>12</v>
      </c>
      <c r="I121" s="474">
        <v>48</v>
      </c>
      <c r="J121" s="474"/>
      <c r="L121" s="474">
        <v>6</v>
      </c>
      <c r="N121" s="474">
        <v>8</v>
      </c>
      <c r="O121" s="479">
        <v>445</v>
      </c>
      <c r="P121" s="479">
        <v>365</v>
      </c>
      <c r="Q121" s="479">
        <v>240</v>
      </c>
      <c r="R121" s="478">
        <v>5.7</v>
      </c>
      <c r="S121" s="478">
        <v>6.3</v>
      </c>
      <c r="T121" s="478" t="s">
        <v>22</v>
      </c>
      <c r="U121" s="478" t="s">
        <v>52</v>
      </c>
      <c r="V121" s="571" t="b">
        <v>1</v>
      </c>
      <c r="W121" s="571">
        <v>3</v>
      </c>
      <c r="X121" s="571">
        <v>2</v>
      </c>
      <c r="Y121" s="571" t="s">
        <v>1600</v>
      </c>
      <c r="Z121" s="478">
        <v>50</v>
      </c>
      <c r="AA121" s="571">
        <v>0.55000000000000004</v>
      </c>
      <c r="AB121" s="571" t="s">
        <v>150</v>
      </c>
      <c r="AC121" s="571">
        <v>150</v>
      </c>
      <c r="AD121" s="571">
        <v>0.45</v>
      </c>
      <c r="AE121" s="571"/>
      <c r="AF121" s="571"/>
      <c r="AG121" s="571"/>
      <c r="AH121" s="571"/>
      <c r="AI121" s="571"/>
      <c r="AJ121" s="571"/>
      <c r="AK121" s="55"/>
      <c r="BE121"/>
      <c r="BL121" s="55"/>
    </row>
    <row r="122" spans="1:64" x14ac:dyDescent="0.35">
      <c r="A122" s="474" t="s">
        <v>72</v>
      </c>
      <c r="B122" s="474" t="s">
        <v>18</v>
      </c>
      <c r="C122" s="474" t="s">
        <v>19</v>
      </c>
      <c r="D122" s="486">
        <v>6291107160856</v>
      </c>
      <c r="F122" s="477" t="s">
        <v>73</v>
      </c>
      <c r="G122" s="478" t="s">
        <v>21</v>
      </c>
      <c r="H122" s="474">
        <v>12</v>
      </c>
      <c r="I122" s="474">
        <v>48</v>
      </c>
      <c r="J122" s="474">
        <v>48</v>
      </c>
      <c r="L122" s="474">
        <v>6</v>
      </c>
      <c r="N122" s="474">
        <v>8</v>
      </c>
      <c r="O122" s="478">
        <v>472</v>
      </c>
      <c r="P122" s="478">
        <v>344</v>
      </c>
      <c r="Q122" s="478">
        <v>201</v>
      </c>
      <c r="R122" s="478">
        <v>5.85</v>
      </c>
      <c r="S122" s="478">
        <v>6.6</v>
      </c>
      <c r="T122" s="478" t="s">
        <v>22</v>
      </c>
      <c r="U122" s="56" t="s">
        <v>72</v>
      </c>
      <c r="V122" s="571" t="b">
        <v>1</v>
      </c>
      <c r="W122" s="571">
        <v>2</v>
      </c>
      <c r="X122" s="571">
        <v>2</v>
      </c>
      <c r="Y122" s="571" t="s">
        <v>1600</v>
      </c>
      <c r="Z122" s="478">
        <v>100</v>
      </c>
      <c r="AA122" s="571">
        <v>0.55000000000000004</v>
      </c>
      <c r="AB122" s="571" t="s">
        <v>150</v>
      </c>
      <c r="AC122" s="571">
        <v>175</v>
      </c>
      <c r="AD122" s="571">
        <v>0.45</v>
      </c>
      <c r="AE122" s="571"/>
      <c r="AF122" s="571"/>
      <c r="AG122" s="571"/>
      <c r="AH122" s="571"/>
      <c r="AI122" s="571"/>
      <c r="AJ122" s="571"/>
      <c r="AK122" s="55"/>
      <c r="BE122"/>
      <c r="BL122" s="55"/>
    </row>
    <row r="123" spans="1:64" x14ac:dyDescent="0.35">
      <c r="A123" s="474" t="s">
        <v>74</v>
      </c>
      <c r="B123" s="474" t="s">
        <v>18</v>
      </c>
      <c r="C123" s="474" t="s">
        <v>19</v>
      </c>
      <c r="D123" s="475">
        <v>6291107160863</v>
      </c>
      <c r="F123" s="477" t="s">
        <v>75</v>
      </c>
      <c r="G123" s="478" t="s">
        <v>21</v>
      </c>
      <c r="H123" s="474">
        <v>12</v>
      </c>
      <c r="I123" s="474">
        <v>48</v>
      </c>
      <c r="J123" s="474">
        <v>48</v>
      </c>
      <c r="L123" s="474">
        <v>6</v>
      </c>
      <c r="N123" s="474">
        <v>8</v>
      </c>
      <c r="O123" s="479">
        <v>472</v>
      </c>
      <c r="P123" s="479">
        <v>344</v>
      </c>
      <c r="Q123" s="479">
        <v>201</v>
      </c>
      <c r="R123" s="478">
        <v>5.85</v>
      </c>
      <c r="S123" s="478">
        <v>6.6</v>
      </c>
      <c r="T123" s="478" t="s">
        <v>22</v>
      </c>
      <c r="U123" s="478" t="s">
        <v>74</v>
      </c>
      <c r="V123" s="571" t="b">
        <v>1</v>
      </c>
      <c r="W123" s="571">
        <v>2</v>
      </c>
      <c r="X123" s="571">
        <v>2</v>
      </c>
      <c r="Y123" s="571" t="s">
        <v>1600</v>
      </c>
      <c r="Z123" s="478">
        <v>100</v>
      </c>
      <c r="AA123" s="571">
        <v>0.55000000000000004</v>
      </c>
      <c r="AB123" s="571" t="s">
        <v>150</v>
      </c>
      <c r="AC123" s="571">
        <v>175</v>
      </c>
      <c r="AD123" s="571">
        <v>0.45</v>
      </c>
      <c r="AE123" s="571"/>
      <c r="AF123" s="571"/>
      <c r="AG123" s="571"/>
      <c r="AH123" s="571"/>
      <c r="AI123" s="571"/>
      <c r="AJ123" s="571"/>
      <c r="AK123" s="55"/>
      <c r="BE123"/>
      <c r="BL123" s="55"/>
    </row>
    <row r="124" spans="1:64" x14ac:dyDescent="0.35">
      <c r="A124" s="474" t="s">
        <v>76</v>
      </c>
      <c r="B124" s="474" t="s">
        <v>18</v>
      </c>
      <c r="C124" s="474" t="s">
        <v>19</v>
      </c>
      <c r="D124" s="475">
        <v>6291107160870</v>
      </c>
      <c r="F124" s="477" t="s">
        <v>77</v>
      </c>
      <c r="G124" s="478" t="s">
        <v>21</v>
      </c>
      <c r="H124" s="474">
        <v>12</v>
      </c>
      <c r="I124" s="474">
        <v>48</v>
      </c>
      <c r="J124" s="474">
        <v>48</v>
      </c>
      <c r="L124" s="474">
        <v>6</v>
      </c>
      <c r="N124" s="474">
        <v>8</v>
      </c>
      <c r="O124" s="479">
        <v>472</v>
      </c>
      <c r="P124" s="479">
        <v>344</v>
      </c>
      <c r="Q124" s="479">
        <v>201</v>
      </c>
      <c r="R124" s="478">
        <v>5.85</v>
      </c>
      <c r="S124" s="478">
        <v>6.6</v>
      </c>
      <c r="T124" s="478" t="s">
        <v>22</v>
      </c>
      <c r="U124" s="478" t="s">
        <v>76</v>
      </c>
      <c r="V124" s="571" t="b">
        <v>1</v>
      </c>
      <c r="W124" s="571">
        <v>2</v>
      </c>
      <c r="X124" s="571">
        <v>2</v>
      </c>
      <c r="Y124" s="571" t="s">
        <v>1600</v>
      </c>
      <c r="Z124" s="478">
        <v>100</v>
      </c>
      <c r="AA124" s="571">
        <v>0.55000000000000004</v>
      </c>
      <c r="AB124" s="571" t="s">
        <v>150</v>
      </c>
      <c r="AC124" s="571">
        <v>175</v>
      </c>
      <c r="AD124" s="571">
        <v>0.45</v>
      </c>
      <c r="AE124" s="571"/>
      <c r="AF124" s="571"/>
      <c r="AG124" s="571"/>
      <c r="AH124" s="571"/>
      <c r="AI124" s="571"/>
      <c r="AJ124" s="571"/>
      <c r="AK124" s="55"/>
      <c r="BE124"/>
      <c r="BL124" s="55"/>
    </row>
    <row r="125" spans="1:64" x14ac:dyDescent="0.35">
      <c r="A125" s="474" t="s">
        <v>78</v>
      </c>
      <c r="B125" s="474" t="s">
        <v>18</v>
      </c>
      <c r="C125" s="474" t="s">
        <v>19</v>
      </c>
      <c r="D125" s="475">
        <v>6291107160887</v>
      </c>
      <c r="F125" s="477" t="s">
        <v>79</v>
      </c>
      <c r="G125" s="478" t="s">
        <v>21</v>
      </c>
      <c r="H125" s="474">
        <v>12</v>
      </c>
      <c r="I125" s="474">
        <v>48</v>
      </c>
      <c r="J125" s="474">
        <v>48</v>
      </c>
      <c r="L125" s="474">
        <v>6</v>
      </c>
      <c r="N125" s="474">
        <v>8</v>
      </c>
      <c r="O125" s="479">
        <v>472</v>
      </c>
      <c r="P125" s="479">
        <v>344</v>
      </c>
      <c r="Q125" s="479">
        <v>201</v>
      </c>
      <c r="R125" s="478">
        <v>5.85</v>
      </c>
      <c r="S125" s="478">
        <v>6.6</v>
      </c>
      <c r="T125" s="478" t="s">
        <v>22</v>
      </c>
      <c r="U125" s="478" t="s">
        <v>78</v>
      </c>
      <c r="V125" s="571" t="b">
        <v>1</v>
      </c>
      <c r="W125" s="571">
        <v>2</v>
      </c>
      <c r="X125" s="571">
        <v>2</v>
      </c>
      <c r="Y125" s="571" t="s">
        <v>1600</v>
      </c>
      <c r="Z125" s="478">
        <v>100</v>
      </c>
      <c r="AA125" s="571">
        <v>0.55000000000000004</v>
      </c>
      <c r="AB125" s="571" t="s">
        <v>150</v>
      </c>
      <c r="AC125" s="571">
        <v>175</v>
      </c>
      <c r="AD125" s="571">
        <v>0.45</v>
      </c>
      <c r="AE125" s="571"/>
      <c r="AF125" s="571"/>
      <c r="AG125" s="571"/>
      <c r="AH125" s="571"/>
      <c r="AI125" s="571"/>
      <c r="AJ125" s="571"/>
      <c r="AK125" s="55"/>
      <c r="BE125"/>
      <c r="BL125" s="55"/>
    </row>
    <row r="126" spans="1:64" x14ac:dyDescent="0.35">
      <c r="A126" s="474" t="s">
        <v>80</v>
      </c>
      <c r="B126" s="474" t="s">
        <v>18</v>
      </c>
      <c r="C126" s="474" t="s">
        <v>30</v>
      </c>
      <c r="D126" s="475"/>
      <c r="F126" s="477" t="s">
        <v>81</v>
      </c>
      <c r="G126" s="478" t="s">
        <v>21</v>
      </c>
      <c r="H126" s="474">
        <v>12</v>
      </c>
      <c r="I126" s="474">
        <v>48</v>
      </c>
      <c r="J126" s="474">
        <v>48</v>
      </c>
      <c r="L126" s="474">
        <v>6</v>
      </c>
      <c r="N126" s="474">
        <v>8</v>
      </c>
      <c r="O126" s="478">
        <v>460</v>
      </c>
      <c r="P126" s="478">
        <v>340</v>
      </c>
      <c r="Q126" s="478">
        <v>205</v>
      </c>
      <c r="R126" s="478">
        <v>5.25</v>
      </c>
      <c r="S126" s="478">
        <v>6</v>
      </c>
      <c r="T126" s="478" t="s">
        <v>22</v>
      </c>
      <c r="U126" s="478" t="s">
        <v>80</v>
      </c>
      <c r="V126" s="571" t="b">
        <v>1</v>
      </c>
      <c r="W126" s="571">
        <v>2</v>
      </c>
      <c r="X126" s="571">
        <v>2</v>
      </c>
      <c r="Y126" s="571" t="s">
        <v>1600</v>
      </c>
      <c r="Z126" s="478">
        <v>100</v>
      </c>
      <c r="AA126" s="571">
        <v>0.55000000000000004</v>
      </c>
      <c r="AB126" s="571" t="s">
        <v>150</v>
      </c>
      <c r="AC126" s="571">
        <v>150</v>
      </c>
      <c r="AD126" s="571">
        <v>0.45</v>
      </c>
      <c r="AE126" s="571"/>
      <c r="AF126" s="571"/>
      <c r="AG126" s="571"/>
      <c r="AH126" s="571"/>
      <c r="AI126" s="571"/>
      <c r="AJ126" s="571"/>
      <c r="AK126" s="55"/>
      <c r="BE126"/>
      <c r="BL126" s="55"/>
    </row>
    <row r="127" spans="1:64" x14ac:dyDescent="0.35">
      <c r="A127" s="474" t="s">
        <v>82</v>
      </c>
      <c r="B127" s="474" t="s">
        <v>18</v>
      </c>
      <c r="C127" s="474" t="s">
        <v>30</v>
      </c>
      <c r="D127" s="475"/>
      <c r="F127" s="477" t="s">
        <v>83</v>
      </c>
      <c r="G127" s="478" t="s">
        <v>21</v>
      </c>
      <c r="H127" s="474">
        <v>12</v>
      </c>
      <c r="I127" s="474">
        <v>48</v>
      </c>
      <c r="J127" s="474">
        <v>48</v>
      </c>
      <c r="L127" s="474">
        <v>6</v>
      </c>
      <c r="N127" s="474">
        <v>8</v>
      </c>
      <c r="O127" s="479">
        <v>460</v>
      </c>
      <c r="P127" s="479">
        <v>340</v>
      </c>
      <c r="Q127" s="479">
        <v>205</v>
      </c>
      <c r="R127" s="478">
        <v>5.25</v>
      </c>
      <c r="S127" s="478">
        <v>6</v>
      </c>
      <c r="T127" s="478" t="s">
        <v>22</v>
      </c>
      <c r="U127" s="478" t="s">
        <v>82</v>
      </c>
      <c r="V127" s="571" t="b">
        <v>1</v>
      </c>
      <c r="W127" s="571">
        <v>2</v>
      </c>
      <c r="X127" s="571">
        <v>2</v>
      </c>
      <c r="Y127" s="571" t="s">
        <v>1600</v>
      </c>
      <c r="Z127" s="478">
        <v>100</v>
      </c>
      <c r="AA127" s="571">
        <v>0.55000000000000004</v>
      </c>
      <c r="AB127" s="571" t="s">
        <v>150</v>
      </c>
      <c r="AC127" s="571">
        <v>150</v>
      </c>
      <c r="AD127" s="571">
        <v>0.45</v>
      </c>
      <c r="AE127" s="571"/>
      <c r="AF127" s="571"/>
      <c r="AG127" s="571"/>
      <c r="AH127" s="571"/>
      <c r="AI127" s="571"/>
      <c r="AJ127" s="571"/>
      <c r="AK127" s="55"/>
      <c r="BE127"/>
      <c r="BL127" s="55"/>
    </row>
    <row r="128" spans="1:64" x14ac:dyDescent="0.35">
      <c r="A128" s="474" t="s">
        <v>84</v>
      </c>
      <c r="B128" s="474" t="s">
        <v>18</v>
      </c>
      <c r="C128" s="474" t="s">
        <v>30</v>
      </c>
      <c r="D128" s="475"/>
      <c r="F128" s="477" t="s">
        <v>85</v>
      </c>
      <c r="G128" s="478" t="s">
        <v>21</v>
      </c>
      <c r="H128" s="474">
        <v>12</v>
      </c>
      <c r="I128" s="474">
        <v>48</v>
      </c>
      <c r="J128" s="474">
        <v>48</v>
      </c>
      <c r="L128" s="474">
        <v>6</v>
      </c>
      <c r="N128" s="474">
        <v>8</v>
      </c>
      <c r="O128" s="479">
        <v>460</v>
      </c>
      <c r="P128" s="479">
        <v>340</v>
      </c>
      <c r="Q128" s="479">
        <v>205</v>
      </c>
      <c r="R128" s="478">
        <v>5.25</v>
      </c>
      <c r="S128" s="478">
        <v>6</v>
      </c>
      <c r="T128" s="478" t="s">
        <v>22</v>
      </c>
      <c r="U128" s="478" t="s">
        <v>84</v>
      </c>
      <c r="V128" s="571" t="b">
        <v>1</v>
      </c>
      <c r="W128" s="571">
        <v>2</v>
      </c>
      <c r="X128" s="571">
        <v>2</v>
      </c>
      <c r="Y128" s="571" t="s">
        <v>1600</v>
      </c>
      <c r="Z128" s="478">
        <v>100</v>
      </c>
      <c r="AA128" s="571">
        <v>0.55000000000000004</v>
      </c>
      <c r="AB128" s="571" t="s">
        <v>150</v>
      </c>
      <c r="AC128" s="571">
        <v>150</v>
      </c>
      <c r="AD128" s="571">
        <v>0.45</v>
      </c>
      <c r="AE128" s="571"/>
      <c r="AF128" s="571"/>
      <c r="AG128" s="571"/>
      <c r="AH128" s="571"/>
      <c r="AI128" s="571"/>
      <c r="AJ128" s="571"/>
      <c r="AK128" s="55"/>
      <c r="BE128"/>
      <c r="BL128" s="55"/>
    </row>
    <row r="129" spans="1:64" x14ac:dyDescent="0.35">
      <c r="A129" s="474" t="s">
        <v>86</v>
      </c>
      <c r="B129" s="474" t="s">
        <v>18</v>
      </c>
      <c r="C129" s="474" t="s">
        <v>30</v>
      </c>
      <c r="D129" s="475"/>
      <c r="F129" s="477" t="s">
        <v>87</v>
      </c>
      <c r="G129" s="478" t="s">
        <v>21</v>
      </c>
      <c r="H129" s="474">
        <v>12</v>
      </c>
      <c r="I129" s="474">
        <v>48</v>
      </c>
      <c r="J129" s="474">
        <v>48</v>
      </c>
      <c r="L129" s="474">
        <v>6</v>
      </c>
      <c r="N129" s="474">
        <v>8</v>
      </c>
      <c r="O129" s="479">
        <v>460</v>
      </c>
      <c r="P129" s="479">
        <v>340</v>
      </c>
      <c r="Q129" s="479">
        <v>205</v>
      </c>
      <c r="R129" s="478">
        <v>5.25</v>
      </c>
      <c r="S129" s="478">
        <v>6</v>
      </c>
      <c r="T129" s="478" t="s">
        <v>22</v>
      </c>
      <c r="U129" s="478" t="s">
        <v>86</v>
      </c>
      <c r="V129" s="571" t="b">
        <v>1</v>
      </c>
      <c r="W129" s="571">
        <v>2</v>
      </c>
      <c r="X129" s="571">
        <v>2</v>
      </c>
      <c r="Y129" s="571" t="s">
        <v>1600</v>
      </c>
      <c r="Z129" s="478">
        <v>100</v>
      </c>
      <c r="AA129" s="571">
        <v>0.55000000000000004</v>
      </c>
      <c r="AB129" s="571" t="s">
        <v>150</v>
      </c>
      <c r="AC129" s="571">
        <v>150</v>
      </c>
      <c r="AD129" s="571">
        <v>0.45</v>
      </c>
      <c r="AE129" s="571"/>
      <c r="AF129" s="571"/>
      <c r="AG129" s="571"/>
      <c r="AH129" s="571"/>
      <c r="AI129" s="571"/>
      <c r="AJ129" s="571"/>
      <c r="AK129" s="55"/>
      <c r="BE129"/>
      <c r="BL129" s="55"/>
    </row>
    <row r="130" spans="1:64" x14ac:dyDescent="0.35">
      <c r="A130" s="57" t="s">
        <v>1219</v>
      </c>
      <c r="B130" s="474" t="s">
        <v>18</v>
      </c>
      <c r="C130" s="474" t="s">
        <v>30</v>
      </c>
      <c r="D130" s="475"/>
      <c r="F130" s="477" t="s">
        <v>90</v>
      </c>
      <c r="G130" s="478" t="s">
        <v>21</v>
      </c>
      <c r="H130" s="474">
        <v>20</v>
      </c>
      <c r="I130" s="474">
        <v>18</v>
      </c>
      <c r="J130" s="474"/>
      <c r="L130" s="474">
        <v>3</v>
      </c>
      <c r="N130" s="474">
        <v>6</v>
      </c>
      <c r="O130" s="479">
        <v>400</v>
      </c>
      <c r="P130" s="479">
        <v>400</v>
      </c>
      <c r="Q130" s="479">
        <v>460</v>
      </c>
      <c r="R130" s="478">
        <v>14.6</v>
      </c>
      <c r="S130" s="478">
        <v>20.5</v>
      </c>
      <c r="T130" s="478" t="s">
        <v>22</v>
      </c>
      <c r="U130" s="488"/>
      <c r="V130" s="571" t="b">
        <v>1</v>
      </c>
      <c r="W130" s="571">
        <v>2</v>
      </c>
      <c r="X130" s="571">
        <v>2</v>
      </c>
      <c r="Y130" s="571" t="s">
        <v>1600</v>
      </c>
      <c r="Z130" s="478">
        <v>100</v>
      </c>
      <c r="AA130" s="571">
        <v>0.6</v>
      </c>
      <c r="AB130" s="571" t="s">
        <v>150</v>
      </c>
      <c r="AC130" s="571">
        <v>300</v>
      </c>
      <c r="AD130" s="571">
        <v>0.4</v>
      </c>
      <c r="AE130" s="571"/>
      <c r="AF130" s="571"/>
      <c r="AG130" s="571"/>
      <c r="AH130" s="571"/>
      <c r="AI130" s="571"/>
      <c r="AJ130" s="571"/>
      <c r="AK130" s="55"/>
      <c r="BE130"/>
      <c r="BL130" s="55"/>
    </row>
    <row r="131" spans="1:64" x14ac:dyDescent="0.35">
      <c r="A131" s="474" t="s">
        <v>88</v>
      </c>
      <c r="B131" s="474" t="s">
        <v>18</v>
      </c>
      <c r="C131" s="474" t="s">
        <v>19</v>
      </c>
      <c r="D131" s="475"/>
      <c r="F131" s="477" t="s">
        <v>89</v>
      </c>
      <c r="G131" s="478" t="s">
        <v>21</v>
      </c>
      <c r="H131" s="474">
        <v>20</v>
      </c>
      <c r="I131" s="474">
        <v>18</v>
      </c>
      <c r="J131" s="474"/>
      <c r="L131" s="474">
        <v>3</v>
      </c>
      <c r="N131" s="474">
        <v>6</v>
      </c>
      <c r="O131" s="479">
        <v>400</v>
      </c>
      <c r="P131" s="479">
        <v>400</v>
      </c>
      <c r="Q131" s="479">
        <v>460</v>
      </c>
      <c r="R131" s="478">
        <v>14.6</v>
      </c>
      <c r="S131" s="478">
        <v>20.5</v>
      </c>
      <c r="T131" s="478" t="s">
        <v>22</v>
      </c>
      <c r="U131" s="478" t="s">
        <v>88</v>
      </c>
      <c r="V131" s="571" t="b">
        <v>1</v>
      </c>
      <c r="W131" s="571">
        <v>2</v>
      </c>
      <c r="X131" s="571">
        <v>2</v>
      </c>
      <c r="Y131" s="571" t="s">
        <v>1600</v>
      </c>
      <c r="Z131" s="478">
        <v>100</v>
      </c>
      <c r="AA131" s="571">
        <v>0.6</v>
      </c>
      <c r="AB131" s="571" t="s">
        <v>150</v>
      </c>
      <c r="AC131" s="571">
        <v>300</v>
      </c>
      <c r="AD131" s="571">
        <v>0.4</v>
      </c>
      <c r="AE131" s="571"/>
      <c r="AF131" s="571"/>
      <c r="AG131" s="571"/>
      <c r="AH131" s="571"/>
      <c r="AI131" s="571"/>
      <c r="AJ131" s="571"/>
      <c r="AK131" s="55"/>
      <c r="BE131"/>
      <c r="BL131" s="55"/>
    </row>
    <row r="132" spans="1:64" x14ac:dyDescent="0.35">
      <c r="A132" s="474" t="s">
        <v>188</v>
      </c>
      <c r="B132" s="474" t="s">
        <v>18</v>
      </c>
      <c r="C132" s="474" t="s">
        <v>19</v>
      </c>
      <c r="D132" s="475">
        <v>6291107160733</v>
      </c>
      <c r="E132" s="476" t="s">
        <v>151</v>
      </c>
      <c r="F132" s="477" t="s">
        <v>189</v>
      </c>
      <c r="G132" s="478" t="s">
        <v>21</v>
      </c>
      <c r="H132" s="474"/>
      <c r="I132" s="474"/>
      <c r="J132" s="474"/>
      <c r="L132" s="474"/>
      <c r="N132" s="474"/>
      <c r="O132" s="479"/>
      <c r="P132" s="479"/>
      <c r="Q132" s="479"/>
      <c r="R132" s="478"/>
      <c r="S132" s="478"/>
      <c r="T132" s="478"/>
      <c r="U132" s="478" t="s">
        <v>188</v>
      </c>
      <c r="V132" s="571" t="b">
        <v>1</v>
      </c>
      <c r="W132" s="571">
        <v>2</v>
      </c>
      <c r="X132" s="571">
        <v>2</v>
      </c>
      <c r="Y132" s="571" t="s">
        <v>1600</v>
      </c>
      <c r="AA132" s="571">
        <v>0.55000000000000004</v>
      </c>
      <c r="AB132" s="571" t="s">
        <v>150</v>
      </c>
      <c r="AC132" s="478">
        <v>175</v>
      </c>
      <c r="AD132" s="571">
        <v>0.45</v>
      </c>
      <c r="AE132" s="571"/>
      <c r="AF132" s="571"/>
      <c r="AG132" s="571"/>
      <c r="AH132" s="571"/>
      <c r="AI132" s="571"/>
      <c r="AJ132" s="571"/>
      <c r="AK132" s="55"/>
      <c r="BE132"/>
      <c r="BL132" s="55"/>
    </row>
    <row r="133" spans="1:64" x14ac:dyDescent="0.35">
      <c r="A133" s="474" t="s">
        <v>190</v>
      </c>
      <c r="B133" s="474" t="s">
        <v>18</v>
      </c>
      <c r="C133" s="474" t="s">
        <v>19</v>
      </c>
      <c r="D133" s="475">
        <v>6291107160733</v>
      </c>
      <c r="E133" s="476" t="s">
        <v>151</v>
      </c>
      <c r="F133" s="477" t="s">
        <v>191</v>
      </c>
      <c r="G133" s="478" t="s">
        <v>21</v>
      </c>
      <c r="H133" s="474"/>
      <c r="I133" s="474"/>
      <c r="J133" s="474"/>
      <c r="L133" s="474"/>
      <c r="N133" s="474"/>
      <c r="O133" s="479"/>
      <c r="P133" s="479"/>
      <c r="Q133" s="479"/>
      <c r="R133" s="478"/>
      <c r="S133" s="478"/>
      <c r="T133" s="478"/>
      <c r="U133" s="478" t="s">
        <v>190</v>
      </c>
      <c r="V133" s="571" t="b">
        <v>1</v>
      </c>
      <c r="W133" s="571">
        <v>2</v>
      </c>
      <c r="X133" s="571">
        <v>2</v>
      </c>
      <c r="Y133" s="571" t="s">
        <v>1600</v>
      </c>
      <c r="AA133" s="571">
        <v>0.55000000000000004</v>
      </c>
      <c r="AB133" s="571" t="s">
        <v>150</v>
      </c>
      <c r="AC133" s="478">
        <v>175</v>
      </c>
      <c r="AD133" s="571">
        <v>0.45</v>
      </c>
      <c r="AE133" s="571"/>
      <c r="AF133" s="571"/>
      <c r="AG133" s="571"/>
      <c r="AH133" s="571"/>
      <c r="AI133" s="571"/>
      <c r="AJ133" s="571"/>
      <c r="AK133" s="55"/>
      <c r="BE133"/>
      <c r="BL133" s="55"/>
    </row>
    <row r="134" spans="1:64" x14ac:dyDescent="0.35">
      <c r="A134" s="474" t="s">
        <v>192</v>
      </c>
      <c r="B134" s="474" t="s">
        <v>18</v>
      </c>
      <c r="C134" s="474" t="s">
        <v>19</v>
      </c>
      <c r="D134" s="475">
        <v>6291107160733</v>
      </c>
      <c r="E134" s="476" t="s">
        <v>151</v>
      </c>
      <c r="F134" s="477" t="s">
        <v>193</v>
      </c>
      <c r="G134" s="478" t="s">
        <v>21</v>
      </c>
      <c r="H134" s="474"/>
      <c r="I134" s="474"/>
      <c r="J134" s="474"/>
      <c r="L134" s="474"/>
      <c r="N134" s="474"/>
      <c r="O134" s="479"/>
      <c r="P134" s="479"/>
      <c r="Q134" s="479"/>
      <c r="R134" s="478"/>
      <c r="S134" s="478"/>
      <c r="T134" s="478"/>
      <c r="U134" s="478" t="s">
        <v>192</v>
      </c>
      <c r="V134" s="571" t="b">
        <v>1</v>
      </c>
      <c r="W134" s="571">
        <v>2</v>
      </c>
      <c r="X134" s="571">
        <v>2</v>
      </c>
      <c r="Y134" s="571" t="s">
        <v>1600</v>
      </c>
      <c r="AA134" s="571">
        <v>0.55000000000000004</v>
      </c>
      <c r="AB134" s="571" t="s">
        <v>150</v>
      </c>
      <c r="AC134" s="478">
        <v>175</v>
      </c>
      <c r="AD134" s="571">
        <v>0.45</v>
      </c>
      <c r="AE134" s="571"/>
      <c r="AF134" s="571"/>
      <c r="AG134" s="571"/>
      <c r="AH134" s="571"/>
      <c r="AI134" s="571"/>
      <c r="AJ134" s="571"/>
      <c r="AK134" s="55"/>
      <c r="BE134"/>
      <c r="BL134" s="55"/>
    </row>
    <row r="135" spans="1:64" x14ac:dyDescent="0.35">
      <c r="A135" s="474" t="s">
        <v>194</v>
      </c>
      <c r="B135" s="474" t="s">
        <v>18</v>
      </c>
      <c r="C135" s="474" t="s">
        <v>19</v>
      </c>
      <c r="D135" s="475">
        <v>6291107160733</v>
      </c>
      <c r="E135" s="476" t="s">
        <v>151</v>
      </c>
      <c r="F135" s="477" t="s">
        <v>195</v>
      </c>
      <c r="G135" s="478" t="s">
        <v>21</v>
      </c>
      <c r="H135" s="474"/>
      <c r="I135" s="474"/>
      <c r="J135" s="474"/>
      <c r="L135" s="474"/>
      <c r="N135" s="474"/>
      <c r="O135" s="479"/>
      <c r="P135" s="479"/>
      <c r="Q135" s="479"/>
      <c r="R135" s="478"/>
      <c r="S135" s="478"/>
      <c r="T135" s="478"/>
      <c r="U135" s="478" t="s">
        <v>194</v>
      </c>
      <c r="V135" s="571" t="b">
        <v>1</v>
      </c>
      <c r="W135" s="571">
        <v>2</v>
      </c>
      <c r="X135" s="571">
        <v>2</v>
      </c>
      <c r="Y135" s="571" t="s">
        <v>1600</v>
      </c>
      <c r="AA135" s="571">
        <v>0.55000000000000004</v>
      </c>
      <c r="AB135" s="571" t="s">
        <v>150</v>
      </c>
      <c r="AC135" s="478">
        <v>175</v>
      </c>
      <c r="AD135" s="571">
        <v>0.45</v>
      </c>
      <c r="AE135" s="571"/>
      <c r="AF135" s="571"/>
      <c r="AG135" s="571"/>
      <c r="AH135" s="571"/>
      <c r="AI135" s="571"/>
      <c r="AJ135" s="571"/>
      <c r="AK135" s="55"/>
      <c r="BE135"/>
      <c r="BL135" s="55"/>
    </row>
    <row r="136" spans="1:64" x14ac:dyDescent="0.35">
      <c r="A136" s="474" t="s">
        <v>196</v>
      </c>
      <c r="B136" s="474" t="s">
        <v>18</v>
      </c>
      <c r="C136" s="474" t="s">
        <v>19</v>
      </c>
      <c r="D136" s="475">
        <v>6291107160733</v>
      </c>
      <c r="E136" s="476" t="s">
        <v>151</v>
      </c>
      <c r="F136" s="477" t="s">
        <v>197</v>
      </c>
      <c r="G136" s="478" t="s">
        <v>21</v>
      </c>
      <c r="H136" s="474"/>
      <c r="I136" s="474"/>
      <c r="J136" s="474"/>
      <c r="L136" s="474"/>
      <c r="N136" s="474"/>
      <c r="O136" s="479"/>
      <c r="P136" s="479"/>
      <c r="Q136" s="479"/>
      <c r="R136" s="478"/>
      <c r="S136" s="478"/>
      <c r="T136" s="478"/>
      <c r="U136" s="478" t="s">
        <v>196</v>
      </c>
      <c r="V136" s="571" t="b">
        <v>1</v>
      </c>
      <c r="W136" s="571">
        <v>2</v>
      </c>
      <c r="X136" s="571">
        <v>2</v>
      </c>
      <c r="Y136" s="571" t="s">
        <v>1600</v>
      </c>
      <c r="AA136" s="571">
        <v>0.55000000000000004</v>
      </c>
      <c r="AB136" s="571" t="s">
        <v>150</v>
      </c>
      <c r="AC136" s="478">
        <v>175</v>
      </c>
      <c r="AD136" s="571">
        <v>0.45</v>
      </c>
      <c r="AE136" s="571"/>
      <c r="AF136" s="571"/>
      <c r="AG136" s="571"/>
      <c r="AH136" s="571"/>
      <c r="AI136" s="571"/>
      <c r="AJ136" s="571"/>
      <c r="AK136" s="55"/>
      <c r="BE136"/>
      <c r="BL136" s="55"/>
    </row>
    <row r="137" spans="1:64" x14ac:dyDescent="0.35">
      <c r="A137" s="474" t="s">
        <v>198</v>
      </c>
      <c r="B137" s="474" t="s">
        <v>18</v>
      </c>
      <c r="C137" s="474" t="s">
        <v>19</v>
      </c>
      <c r="D137" s="475">
        <v>6291107160733</v>
      </c>
      <c r="E137" s="476" t="s">
        <v>151</v>
      </c>
      <c r="F137" s="477" t="s">
        <v>199</v>
      </c>
      <c r="G137" s="478" t="s">
        <v>21</v>
      </c>
      <c r="H137" s="474"/>
      <c r="I137" s="474"/>
      <c r="J137" s="474"/>
      <c r="L137" s="474"/>
      <c r="N137" s="474"/>
      <c r="O137" s="479"/>
      <c r="P137" s="479"/>
      <c r="Q137" s="479"/>
      <c r="R137" s="478"/>
      <c r="S137" s="478"/>
      <c r="T137" s="478"/>
      <c r="U137" s="478" t="s">
        <v>198</v>
      </c>
      <c r="V137" s="571" t="b">
        <v>1</v>
      </c>
      <c r="W137" s="571">
        <v>2</v>
      </c>
      <c r="X137" s="571">
        <v>2</v>
      </c>
      <c r="Y137" s="571" t="s">
        <v>1600</v>
      </c>
      <c r="AA137" s="571">
        <v>0.55000000000000004</v>
      </c>
      <c r="AB137" s="571" t="s">
        <v>150</v>
      </c>
      <c r="AC137" s="478">
        <v>175</v>
      </c>
      <c r="AD137" s="571">
        <v>0.45</v>
      </c>
      <c r="AE137" s="571"/>
      <c r="AF137" s="571"/>
      <c r="AG137" s="571"/>
      <c r="AH137" s="571"/>
      <c r="AI137" s="571"/>
      <c r="AJ137" s="571"/>
      <c r="AK137" s="55"/>
      <c r="BE137"/>
      <c r="BL137" s="55"/>
    </row>
    <row r="138" spans="1:64" x14ac:dyDescent="0.35">
      <c r="A138" s="474" t="s">
        <v>200</v>
      </c>
      <c r="B138" s="474" t="s">
        <v>18</v>
      </c>
      <c r="C138" s="474" t="s">
        <v>19</v>
      </c>
      <c r="D138" s="475">
        <v>6291107160740</v>
      </c>
      <c r="E138" s="476" t="s">
        <v>151</v>
      </c>
      <c r="F138" s="477" t="s">
        <v>201</v>
      </c>
      <c r="G138" s="478" t="s">
        <v>21</v>
      </c>
      <c r="H138" s="474"/>
      <c r="I138" s="474"/>
      <c r="J138" s="474"/>
      <c r="L138" s="474"/>
      <c r="N138" s="474"/>
      <c r="O138" s="479"/>
      <c r="P138" s="479"/>
      <c r="Q138" s="479"/>
      <c r="R138" s="478"/>
      <c r="S138" s="478"/>
      <c r="T138" s="478"/>
      <c r="U138" s="478" t="s">
        <v>200</v>
      </c>
      <c r="V138" s="571" t="b">
        <v>1</v>
      </c>
      <c r="W138" s="571">
        <v>2</v>
      </c>
      <c r="X138" s="571">
        <v>2</v>
      </c>
      <c r="Y138" s="571" t="s">
        <v>1600</v>
      </c>
      <c r="Z138" s="478"/>
      <c r="AA138" s="571">
        <v>0.55000000000000004</v>
      </c>
      <c r="AB138" s="571" t="s">
        <v>150</v>
      </c>
      <c r="AC138" s="571">
        <v>150</v>
      </c>
      <c r="AD138" s="571">
        <v>0.45</v>
      </c>
      <c r="AE138" s="571"/>
      <c r="AF138" s="571"/>
      <c r="AG138" s="571"/>
      <c r="AH138" s="571"/>
      <c r="AI138" s="571"/>
      <c r="AJ138" s="571"/>
      <c r="AK138" s="55"/>
      <c r="BE138"/>
      <c r="BL138" s="55"/>
    </row>
    <row r="139" spans="1:64" x14ac:dyDescent="0.35">
      <c r="A139" s="474" t="s">
        <v>202</v>
      </c>
      <c r="B139" s="474" t="s">
        <v>18</v>
      </c>
      <c r="C139" s="474" t="s">
        <v>19</v>
      </c>
      <c r="D139" s="475">
        <v>6291107160740</v>
      </c>
      <c r="E139" s="476" t="s">
        <v>151</v>
      </c>
      <c r="F139" s="477" t="s">
        <v>203</v>
      </c>
      <c r="G139" s="478" t="s">
        <v>21</v>
      </c>
      <c r="H139" s="474"/>
      <c r="I139" s="474"/>
      <c r="J139" s="474"/>
      <c r="L139" s="474"/>
      <c r="N139" s="474"/>
      <c r="O139" s="479"/>
      <c r="P139" s="479"/>
      <c r="Q139" s="479"/>
      <c r="R139" s="478"/>
      <c r="S139" s="478"/>
      <c r="T139" s="478"/>
      <c r="U139" s="478" t="s">
        <v>202</v>
      </c>
      <c r="V139" s="571" t="b">
        <v>1</v>
      </c>
      <c r="W139" s="571">
        <v>2</v>
      </c>
      <c r="X139" s="571">
        <v>2</v>
      </c>
      <c r="Y139" s="571" t="s">
        <v>1600</v>
      </c>
      <c r="Z139" s="478"/>
      <c r="AA139" s="571">
        <v>0.55000000000000004</v>
      </c>
      <c r="AB139" s="571" t="s">
        <v>150</v>
      </c>
      <c r="AC139" s="571">
        <v>150</v>
      </c>
      <c r="AD139" s="571">
        <v>0.45</v>
      </c>
      <c r="AE139" s="571"/>
      <c r="AF139" s="571"/>
      <c r="AG139" s="571"/>
      <c r="AH139" s="571"/>
      <c r="AI139" s="571"/>
      <c r="AJ139" s="571"/>
      <c r="AK139" s="55"/>
      <c r="BE139"/>
      <c r="BL139" s="55"/>
    </row>
    <row r="140" spans="1:64" x14ac:dyDescent="0.35">
      <c r="A140" s="474" t="s">
        <v>204</v>
      </c>
      <c r="B140" s="474" t="s">
        <v>18</v>
      </c>
      <c r="C140" s="474" t="s">
        <v>19</v>
      </c>
      <c r="D140" s="475">
        <v>6291107160740</v>
      </c>
      <c r="E140" s="476" t="s">
        <v>151</v>
      </c>
      <c r="F140" s="477" t="s">
        <v>205</v>
      </c>
      <c r="G140" s="478" t="s">
        <v>21</v>
      </c>
      <c r="H140" s="474"/>
      <c r="I140" s="474"/>
      <c r="J140" s="474"/>
      <c r="L140" s="474"/>
      <c r="N140" s="474"/>
      <c r="O140" s="479"/>
      <c r="P140" s="479"/>
      <c r="Q140" s="479"/>
      <c r="R140" s="478"/>
      <c r="S140" s="478"/>
      <c r="T140" s="478"/>
      <c r="U140" s="478" t="s">
        <v>204</v>
      </c>
      <c r="V140" s="571" t="b">
        <v>1</v>
      </c>
      <c r="W140" s="571">
        <v>2</v>
      </c>
      <c r="X140" s="571">
        <v>2</v>
      </c>
      <c r="Y140" s="571" t="s">
        <v>1600</v>
      </c>
      <c r="Z140" s="478"/>
      <c r="AA140" s="571">
        <v>0.55000000000000004</v>
      </c>
      <c r="AB140" s="571" t="s">
        <v>150</v>
      </c>
      <c r="AC140" s="571">
        <v>150</v>
      </c>
      <c r="AD140" s="571">
        <v>0.45</v>
      </c>
      <c r="AE140" s="571"/>
      <c r="AF140" s="571"/>
      <c r="AG140" s="571"/>
      <c r="AH140" s="571"/>
      <c r="AI140" s="571"/>
      <c r="AJ140" s="571"/>
      <c r="AK140" s="55"/>
      <c r="BE140"/>
      <c r="BL140" s="55"/>
    </row>
    <row r="141" spans="1:64" x14ac:dyDescent="0.35">
      <c r="A141" s="538" t="s">
        <v>395</v>
      </c>
      <c r="B141" s="526" t="s">
        <v>18</v>
      </c>
      <c r="C141" s="57" t="s">
        <v>19</v>
      </c>
      <c r="D141" s="539"/>
      <c r="E141" s="540"/>
      <c r="F141" s="541" t="s">
        <v>1362</v>
      </c>
      <c r="G141" s="56" t="s">
        <v>871</v>
      </c>
      <c r="H141" s="538"/>
      <c r="I141" s="538"/>
      <c r="J141" s="538"/>
      <c r="L141" s="538"/>
      <c r="N141" s="538"/>
      <c r="O141" s="543"/>
      <c r="P141" s="543"/>
      <c r="Q141" s="543"/>
      <c r="R141" s="542"/>
      <c r="S141" s="542"/>
      <c r="T141" s="542"/>
      <c r="U141" s="544"/>
      <c r="V141" s="571" t="b">
        <v>0</v>
      </c>
      <c r="W141" s="571">
        <v>4</v>
      </c>
      <c r="X141" s="571">
        <v>4</v>
      </c>
      <c r="Y141" s="571" t="s">
        <v>150</v>
      </c>
      <c r="Z141" s="542">
        <v>175</v>
      </c>
      <c r="AA141" s="571" t="s">
        <v>1610</v>
      </c>
      <c r="AB141" s="571" t="s">
        <v>150</v>
      </c>
      <c r="AC141" s="571">
        <v>175</v>
      </c>
      <c r="AD141" s="571" t="s">
        <v>1610</v>
      </c>
      <c r="AE141" s="571" t="s">
        <v>150</v>
      </c>
      <c r="AF141" s="571">
        <v>175</v>
      </c>
      <c r="AG141" s="571" t="s">
        <v>1610</v>
      </c>
      <c r="AH141" s="571" t="s">
        <v>150</v>
      </c>
      <c r="AI141" s="571">
        <v>175</v>
      </c>
      <c r="AJ141" s="571" t="s">
        <v>1610</v>
      </c>
      <c r="AK141" s="55"/>
      <c r="BE141"/>
      <c r="BL141" s="55"/>
    </row>
    <row r="142" spans="1:64" x14ac:dyDescent="0.35">
      <c r="A142" s="550" t="s">
        <v>1422</v>
      </c>
      <c r="B142" s="550" t="s">
        <v>1426</v>
      </c>
      <c r="C142" s="550"/>
      <c r="D142" s="551"/>
      <c r="E142" s="552"/>
      <c r="F142" s="553" t="s">
        <v>1427</v>
      </c>
      <c r="G142" s="554" t="s">
        <v>871</v>
      </c>
      <c r="H142" s="550"/>
      <c r="I142" s="550"/>
      <c r="J142" s="550"/>
      <c r="L142" s="550"/>
      <c r="N142" s="550"/>
      <c r="O142" s="555"/>
      <c r="P142" s="555"/>
      <c r="Q142" s="555"/>
      <c r="R142" s="554"/>
      <c r="S142" s="554"/>
      <c r="T142" s="554"/>
      <c r="U142" s="556"/>
      <c r="V142" s="571" t="b">
        <v>0</v>
      </c>
      <c r="W142" s="571">
        <v>1</v>
      </c>
      <c r="X142" s="571">
        <v>0</v>
      </c>
      <c r="Y142" s="571" t="s">
        <v>861</v>
      </c>
      <c r="Z142" s="554"/>
      <c r="AA142" s="571"/>
      <c r="AB142" s="571"/>
      <c r="AC142" s="571"/>
      <c r="AD142" s="571"/>
      <c r="AE142" s="571"/>
      <c r="AF142" s="571"/>
      <c r="AG142" s="571"/>
      <c r="AH142" s="571"/>
      <c r="AI142" s="571"/>
      <c r="AJ142" s="571"/>
      <c r="AK142" s="55"/>
      <c r="BE142"/>
      <c r="BL142" s="55"/>
    </row>
    <row r="143" spans="1:64" x14ac:dyDescent="0.35">
      <c r="A143" s="550" t="s">
        <v>1423</v>
      </c>
      <c r="B143" s="550" t="s">
        <v>1426</v>
      </c>
      <c r="C143" s="550"/>
      <c r="D143" s="551"/>
      <c r="E143" s="552"/>
      <c r="F143" s="553" t="s">
        <v>1428</v>
      </c>
      <c r="G143" s="554" t="s">
        <v>871</v>
      </c>
      <c r="H143" s="550"/>
      <c r="I143" s="550"/>
      <c r="J143" s="550"/>
      <c r="L143" s="550"/>
      <c r="N143" s="550"/>
      <c r="O143" s="555"/>
      <c r="P143" s="555"/>
      <c r="Q143" s="555"/>
      <c r="R143" s="554"/>
      <c r="S143" s="554"/>
      <c r="T143" s="554"/>
      <c r="U143" s="556"/>
      <c r="V143" s="571" t="b">
        <v>0</v>
      </c>
      <c r="W143" s="571">
        <v>1</v>
      </c>
      <c r="X143" s="571">
        <v>0</v>
      </c>
      <c r="Y143" s="571" t="s">
        <v>861</v>
      </c>
      <c r="Z143" s="554"/>
      <c r="AA143" s="571"/>
      <c r="AB143" s="571"/>
      <c r="AC143" s="571"/>
      <c r="AD143" s="571"/>
      <c r="AE143" s="571"/>
      <c r="AF143" s="571"/>
      <c r="AG143" s="571"/>
      <c r="AH143" s="571"/>
      <c r="AI143" s="571"/>
      <c r="AJ143" s="571"/>
      <c r="AK143" s="55"/>
      <c r="BE143"/>
      <c r="BL143" s="55"/>
    </row>
    <row r="144" spans="1:64" x14ac:dyDescent="0.35">
      <c r="A144" s="550" t="s">
        <v>1424</v>
      </c>
      <c r="B144" s="550" t="s">
        <v>1426</v>
      </c>
      <c r="C144" s="550"/>
      <c r="D144" s="551"/>
      <c r="E144" s="552"/>
      <c r="F144" s="553" t="s">
        <v>1429</v>
      </c>
      <c r="G144" s="554" t="s">
        <v>871</v>
      </c>
      <c r="H144" s="550"/>
      <c r="I144" s="550"/>
      <c r="J144" s="550"/>
      <c r="L144" s="550"/>
      <c r="N144" s="550"/>
      <c r="O144" s="555"/>
      <c r="P144" s="555"/>
      <c r="Q144" s="555"/>
      <c r="R144" s="554"/>
      <c r="S144" s="554"/>
      <c r="T144" s="554"/>
      <c r="U144" s="556"/>
      <c r="V144" s="571" t="b">
        <v>0</v>
      </c>
      <c r="W144" s="571">
        <v>1</v>
      </c>
      <c r="X144" s="571">
        <v>0</v>
      </c>
      <c r="Y144" s="571" t="s">
        <v>861</v>
      </c>
      <c r="Z144" s="554"/>
      <c r="AA144" s="571"/>
      <c r="AB144" s="571"/>
      <c r="AC144" s="571"/>
      <c r="AD144" s="571"/>
      <c r="AE144" s="571"/>
      <c r="AF144" s="571"/>
      <c r="AG144" s="571"/>
      <c r="AH144" s="571"/>
      <c r="AI144" s="571"/>
      <c r="AJ144" s="571"/>
      <c r="AK144" s="55"/>
      <c r="BE144"/>
      <c r="BL144" s="55"/>
    </row>
    <row r="145" spans="1:64" x14ac:dyDescent="0.35">
      <c r="A145" s="550" t="s">
        <v>1425</v>
      </c>
      <c r="B145" s="550" t="s">
        <v>1426</v>
      </c>
      <c r="C145" s="550"/>
      <c r="D145" s="551"/>
      <c r="E145" s="552"/>
      <c r="F145" s="553" t="s">
        <v>1430</v>
      </c>
      <c r="G145" s="554" t="s">
        <v>871</v>
      </c>
      <c r="H145" s="550"/>
      <c r="I145" s="550"/>
      <c r="J145" s="550"/>
      <c r="L145" s="550"/>
      <c r="N145" s="550"/>
      <c r="O145" s="555"/>
      <c r="P145" s="555"/>
      <c r="Q145" s="555"/>
      <c r="R145" s="554"/>
      <c r="S145" s="554"/>
      <c r="T145" s="554"/>
      <c r="U145" s="556"/>
      <c r="V145" s="571" t="b">
        <v>0</v>
      </c>
      <c r="W145" s="571">
        <v>1</v>
      </c>
      <c r="X145" s="571">
        <v>0</v>
      </c>
      <c r="Y145" s="571" t="s">
        <v>861</v>
      </c>
      <c r="Z145" s="554"/>
      <c r="AA145" s="571"/>
      <c r="AB145" s="571"/>
      <c r="AC145" s="571"/>
      <c r="AD145" s="571"/>
      <c r="AE145" s="571"/>
      <c r="AF145" s="571"/>
      <c r="AG145" s="571"/>
      <c r="AH145" s="571"/>
      <c r="AI145" s="571"/>
      <c r="AJ145" s="571"/>
      <c r="AK145" s="55"/>
      <c r="BE145"/>
      <c r="BL145" s="55"/>
    </row>
    <row r="146" spans="1:64" x14ac:dyDescent="0.35">
      <c r="A146" s="557" t="s">
        <v>1487</v>
      </c>
      <c r="B146" s="550" t="s">
        <v>1426</v>
      </c>
      <c r="D146" s="558"/>
      <c r="F146" s="55" t="s">
        <v>1521</v>
      </c>
      <c r="G146" s="554" t="s">
        <v>871</v>
      </c>
      <c r="O146" s="491"/>
      <c r="P146" s="491"/>
      <c r="Q146" s="491"/>
      <c r="T146" s="56"/>
      <c r="U146" s="203"/>
      <c r="V146" s="571" t="b">
        <v>0</v>
      </c>
      <c r="W146" s="571">
        <v>1</v>
      </c>
      <c r="X146" s="571">
        <v>0</v>
      </c>
      <c r="Y146" s="571" t="s">
        <v>861</v>
      </c>
      <c r="AA146" s="571"/>
      <c r="AB146" s="571"/>
      <c r="AC146" s="571"/>
      <c r="AD146" s="571"/>
      <c r="AE146" s="571"/>
      <c r="AF146" s="571"/>
      <c r="AG146" s="571"/>
      <c r="AH146" s="571"/>
      <c r="AI146" s="571"/>
      <c r="AJ146" s="571"/>
      <c r="AK146" s="55"/>
      <c r="BE146"/>
      <c r="BL146" s="55"/>
    </row>
    <row r="147" spans="1:64" x14ac:dyDescent="0.35">
      <c r="A147" s="557" t="s">
        <v>1486</v>
      </c>
      <c r="B147" s="550" t="s">
        <v>1426</v>
      </c>
      <c r="D147" s="558"/>
      <c r="F147" s="55" t="s">
        <v>1522</v>
      </c>
      <c r="G147" s="554" t="s">
        <v>871</v>
      </c>
      <c r="O147" s="491"/>
      <c r="P147" s="491"/>
      <c r="Q147" s="491"/>
      <c r="T147" s="56"/>
      <c r="U147" s="203"/>
      <c r="V147" s="571" t="b">
        <v>0</v>
      </c>
      <c r="W147" s="571">
        <v>1</v>
      </c>
      <c r="X147" s="571">
        <v>0</v>
      </c>
      <c r="Y147" s="571" t="s">
        <v>861</v>
      </c>
      <c r="AA147" s="571"/>
      <c r="AB147" s="571"/>
      <c r="AC147" s="571"/>
      <c r="AD147" s="571"/>
      <c r="AE147" s="571"/>
      <c r="AF147" s="571"/>
      <c r="AG147" s="571"/>
      <c r="AH147" s="571"/>
      <c r="AI147" s="571"/>
      <c r="AJ147" s="571"/>
      <c r="AK147" s="55"/>
      <c r="BE147"/>
      <c r="BL147" s="55"/>
    </row>
    <row r="148" spans="1:64" x14ac:dyDescent="0.35">
      <c r="A148" s="557" t="s">
        <v>1485</v>
      </c>
      <c r="B148" s="550" t="s">
        <v>1426</v>
      </c>
      <c r="D148" s="558"/>
      <c r="F148" s="55" t="s">
        <v>1523</v>
      </c>
      <c r="G148" s="554" t="s">
        <v>871</v>
      </c>
      <c r="O148" s="491"/>
      <c r="P148" s="491"/>
      <c r="Q148" s="491"/>
      <c r="T148" s="56"/>
      <c r="U148" s="203"/>
      <c r="V148" s="571" t="b">
        <v>0</v>
      </c>
      <c r="W148" s="571">
        <v>1</v>
      </c>
      <c r="X148" s="571">
        <v>0</v>
      </c>
      <c r="Y148" s="571" t="s">
        <v>861</v>
      </c>
      <c r="AA148" s="571"/>
      <c r="AB148" s="571"/>
      <c r="AC148" s="571"/>
      <c r="AD148" s="571"/>
      <c r="AE148" s="571"/>
      <c r="AF148" s="571"/>
      <c r="AG148" s="571"/>
      <c r="AH148" s="571"/>
      <c r="AI148" s="571"/>
      <c r="AJ148" s="571"/>
      <c r="AK148" s="55"/>
      <c r="BE148"/>
      <c r="BL148" s="55"/>
    </row>
    <row r="149" spans="1:64" x14ac:dyDescent="0.35">
      <c r="A149" s="557" t="s">
        <v>1490</v>
      </c>
      <c r="B149" s="550" t="s">
        <v>1426</v>
      </c>
      <c r="D149" s="558"/>
      <c r="F149" s="55" t="s">
        <v>1524</v>
      </c>
      <c r="G149" s="554" t="s">
        <v>871</v>
      </c>
      <c r="O149" s="491"/>
      <c r="P149" s="491"/>
      <c r="Q149" s="491"/>
      <c r="T149" s="56"/>
      <c r="U149" s="203"/>
      <c r="V149" s="571" t="b">
        <v>0</v>
      </c>
      <c r="W149" s="571">
        <v>1</v>
      </c>
      <c r="X149" s="571">
        <v>0</v>
      </c>
      <c r="Y149" s="571" t="s">
        <v>861</v>
      </c>
      <c r="AA149" s="571"/>
      <c r="AB149" s="571"/>
      <c r="AC149" s="571"/>
      <c r="AD149" s="571"/>
      <c r="AE149" s="571"/>
      <c r="AF149" s="571"/>
      <c r="AG149" s="571"/>
      <c r="AH149" s="571"/>
      <c r="AI149" s="571"/>
      <c r="AJ149" s="571"/>
      <c r="AK149" s="55"/>
      <c r="BE149"/>
      <c r="BL149" s="55"/>
    </row>
    <row r="150" spans="1:64" x14ac:dyDescent="0.35">
      <c r="A150" s="557" t="s">
        <v>1488</v>
      </c>
      <c r="B150" s="550" t="s">
        <v>1426</v>
      </c>
      <c r="D150" s="558"/>
      <c r="F150" s="55" t="s">
        <v>1526</v>
      </c>
      <c r="G150" s="554" t="s">
        <v>871</v>
      </c>
      <c r="O150" s="491"/>
      <c r="P150" s="491"/>
      <c r="Q150" s="491"/>
      <c r="T150" s="56"/>
      <c r="U150" s="203"/>
      <c r="V150" s="571" t="b">
        <v>0</v>
      </c>
      <c r="W150" s="571">
        <v>1</v>
      </c>
      <c r="X150" s="571">
        <v>0</v>
      </c>
      <c r="Y150" s="571" t="s">
        <v>861</v>
      </c>
      <c r="AA150" s="571"/>
      <c r="AB150" s="571"/>
      <c r="AC150" s="571"/>
      <c r="AD150" s="571"/>
      <c r="AE150" s="571"/>
      <c r="AF150" s="571"/>
      <c r="AG150" s="571"/>
      <c r="AH150" s="571"/>
      <c r="AI150" s="571"/>
      <c r="AJ150" s="571"/>
      <c r="AK150" s="55"/>
      <c r="BE150"/>
      <c r="BL150" s="55"/>
    </row>
    <row r="151" spans="1:64" x14ac:dyDescent="0.35">
      <c r="A151" s="557" t="s">
        <v>1489</v>
      </c>
      <c r="B151" s="550" t="s">
        <v>1426</v>
      </c>
      <c r="D151" s="558"/>
      <c r="F151" s="55" t="s">
        <v>1525</v>
      </c>
      <c r="G151" s="554" t="s">
        <v>871</v>
      </c>
      <c r="O151" s="491"/>
      <c r="P151" s="491"/>
      <c r="Q151" s="491"/>
      <c r="T151" s="56"/>
      <c r="U151" s="203"/>
      <c r="V151" s="571" t="b">
        <v>0</v>
      </c>
      <c r="W151" s="571">
        <v>1</v>
      </c>
      <c r="X151" s="571">
        <v>0</v>
      </c>
      <c r="Y151" s="571" t="s">
        <v>861</v>
      </c>
      <c r="AA151" s="571"/>
      <c r="AB151" s="571"/>
      <c r="AC151" s="571"/>
      <c r="AD151" s="571"/>
      <c r="AE151" s="571"/>
      <c r="AF151" s="571"/>
      <c r="AG151" s="571"/>
      <c r="AH151" s="571"/>
      <c r="AI151" s="571"/>
      <c r="AJ151" s="571"/>
      <c r="AK151" s="55"/>
      <c r="BE151"/>
      <c r="BL151" s="55"/>
    </row>
    <row r="152" spans="1:64" x14ac:dyDescent="0.35">
      <c r="A152" s="557" t="s">
        <v>1493</v>
      </c>
      <c r="B152" s="550" t="s">
        <v>1426</v>
      </c>
      <c r="D152" s="558"/>
      <c r="F152" s="55" t="s">
        <v>1499</v>
      </c>
      <c r="G152" s="554" t="s">
        <v>871</v>
      </c>
      <c r="O152" s="491"/>
      <c r="P152" s="491"/>
      <c r="Q152" s="491"/>
      <c r="T152" s="56"/>
      <c r="U152" s="203"/>
      <c r="V152" s="571" t="b">
        <v>0</v>
      </c>
      <c r="W152" s="571">
        <v>1</v>
      </c>
      <c r="X152" s="571">
        <v>0</v>
      </c>
      <c r="Y152" s="571" t="s">
        <v>861</v>
      </c>
      <c r="AA152" s="571"/>
      <c r="AB152" s="571"/>
      <c r="AC152" s="571"/>
      <c r="AD152" s="571"/>
      <c r="AE152" s="571"/>
      <c r="AF152" s="571"/>
      <c r="AG152" s="571"/>
      <c r="AH152" s="571"/>
      <c r="AI152" s="571"/>
      <c r="AJ152" s="571"/>
      <c r="AK152" s="55"/>
      <c r="BE152"/>
      <c r="BL152" s="55"/>
    </row>
    <row r="153" spans="1:64" x14ac:dyDescent="0.35">
      <c r="A153" s="557" t="s">
        <v>1492</v>
      </c>
      <c r="B153" s="550" t="s">
        <v>1426</v>
      </c>
      <c r="D153" s="558"/>
      <c r="F153" s="55" t="s">
        <v>1498</v>
      </c>
      <c r="G153" s="554" t="s">
        <v>871</v>
      </c>
      <c r="O153" s="491"/>
      <c r="P153" s="491"/>
      <c r="Q153" s="491"/>
      <c r="T153" s="56"/>
      <c r="U153" s="203"/>
      <c r="V153" s="571" t="b">
        <v>0</v>
      </c>
      <c r="W153" s="571">
        <v>1</v>
      </c>
      <c r="X153" s="571">
        <v>0</v>
      </c>
      <c r="Y153" s="571" t="s">
        <v>861</v>
      </c>
      <c r="AA153" s="571"/>
      <c r="AB153" s="571"/>
      <c r="AC153" s="571"/>
      <c r="AD153" s="571"/>
      <c r="AE153" s="571"/>
      <c r="AF153" s="571"/>
      <c r="AG153" s="571"/>
      <c r="AH153" s="571"/>
      <c r="AI153" s="571"/>
      <c r="AJ153" s="571"/>
      <c r="AK153" s="55"/>
      <c r="BE153"/>
      <c r="BL153" s="55"/>
    </row>
    <row r="154" spans="1:64" x14ac:dyDescent="0.35">
      <c r="A154" s="557" t="s">
        <v>1491</v>
      </c>
      <c r="B154" s="550" t="s">
        <v>1426</v>
      </c>
      <c r="D154" s="558"/>
      <c r="F154" s="55" t="s">
        <v>1497</v>
      </c>
      <c r="G154" s="554" t="s">
        <v>871</v>
      </c>
      <c r="O154" s="491"/>
      <c r="P154" s="491"/>
      <c r="Q154" s="491"/>
      <c r="T154" s="56"/>
      <c r="U154" s="203"/>
      <c r="V154" s="571" t="b">
        <v>0</v>
      </c>
      <c r="W154" s="571">
        <v>1</v>
      </c>
      <c r="X154" s="571">
        <v>0</v>
      </c>
      <c r="Y154" s="571" t="s">
        <v>861</v>
      </c>
      <c r="AA154" s="571"/>
      <c r="AB154" s="571"/>
      <c r="AC154" s="571"/>
      <c r="AD154" s="571"/>
      <c r="AE154" s="571"/>
      <c r="AF154" s="571"/>
      <c r="AG154" s="571"/>
      <c r="AH154" s="571"/>
      <c r="AI154" s="571"/>
      <c r="AJ154" s="571"/>
      <c r="AK154" s="55"/>
      <c r="BE154"/>
      <c r="BL154" s="55"/>
    </row>
    <row r="155" spans="1:64" x14ac:dyDescent="0.35">
      <c r="A155" s="557" t="s">
        <v>1496</v>
      </c>
      <c r="B155" s="550" t="s">
        <v>1426</v>
      </c>
      <c r="D155" s="558"/>
      <c r="F155" s="55" t="s">
        <v>1501</v>
      </c>
      <c r="G155" s="554" t="s">
        <v>871</v>
      </c>
      <c r="O155" s="491"/>
      <c r="P155" s="491"/>
      <c r="Q155" s="491"/>
      <c r="T155" s="56"/>
      <c r="U155" s="203"/>
      <c r="V155" s="571" t="b">
        <v>0</v>
      </c>
      <c r="W155" s="571">
        <v>1</v>
      </c>
      <c r="X155" s="571">
        <v>0</v>
      </c>
      <c r="Y155" s="571" t="s">
        <v>861</v>
      </c>
      <c r="AA155" s="571"/>
      <c r="AB155" s="571"/>
      <c r="AC155" s="571"/>
      <c r="AD155" s="571"/>
      <c r="AE155" s="571"/>
      <c r="AF155" s="571"/>
      <c r="AG155" s="571"/>
      <c r="AH155" s="571"/>
      <c r="AI155" s="571"/>
      <c r="AJ155" s="571"/>
      <c r="AK155" s="55"/>
      <c r="BE155"/>
      <c r="BL155" s="55"/>
    </row>
    <row r="156" spans="1:64" x14ac:dyDescent="0.35">
      <c r="A156" s="557" t="s">
        <v>1494</v>
      </c>
      <c r="B156" s="550" t="s">
        <v>1426</v>
      </c>
      <c r="D156" s="558"/>
      <c r="F156" s="55" t="s">
        <v>1529</v>
      </c>
      <c r="G156" s="554" t="s">
        <v>871</v>
      </c>
      <c r="O156" s="491"/>
      <c r="P156" s="491"/>
      <c r="Q156" s="491"/>
      <c r="T156" s="56"/>
      <c r="U156" s="203"/>
      <c r="V156" s="571" t="b">
        <v>0</v>
      </c>
      <c r="W156" s="571">
        <v>1</v>
      </c>
      <c r="X156" s="571">
        <v>0</v>
      </c>
      <c r="Y156" s="571" t="s">
        <v>861</v>
      </c>
      <c r="AA156" s="571"/>
      <c r="AB156" s="571"/>
      <c r="AC156" s="571"/>
      <c r="AD156" s="571"/>
      <c r="AE156" s="571"/>
      <c r="AF156" s="571"/>
      <c r="AG156" s="571"/>
      <c r="AH156" s="571"/>
      <c r="AI156" s="571"/>
      <c r="AJ156" s="571"/>
      <c r="AK156" s="55"/>
      <c r="BE156"/>
      <c r="BL156" s="55"/>
    </row>
    <row r="157" spans="1:64" x14ac:dyDescent="0.35">
      <c r="A157" s="557" t="s">
        <v>1495</v>
      </c>
      <c r="B157" s="550" t="s">
        <v>1426</v>
      </c>
      <c r="D157" s="558"/>
      <c r="F157" s="55" t="s">
        <v>1500</v>
      </c>
      <c r="G157" s="554" t="s">
        <v>871</v>
      </c>
      <c r="O157" s="491"/>
      <c r="P157" s="491"/>
      <c r="Q157" s="491"/>
      <c r="T157" s="56"/>
      <c r="U157" s="203"/>
      <c r="V157" s="571" t="b">
        <v>0</v>
      </c>
      <c r="W157" s="571">
        <v>1</v>
      </c>
      <c r="X157" s="571">
        <v>0</v>
      </c>
      <c r="Y157" s="571" t="s">
        <v>861</v>
      </c>
      <c r="AA157" s="571"/>
      <c r="AB157" s="571"/>
      <c r="AC157" s="571"/>
      <c r="AD157" s="571"/>
      <c r="AE157" s="571"/>
      <c r="AF157" s="571"/>
      <c r="AG157" s="571"/>
      <c r="AH157" s="571"/>
      <c r="AI157" s="571"/>
      <c r="AJ157" s="571"/>
      <c r="AK157" s="55"/>
      <c r="BE157"/>
      <c r="BL157" s="55"/>
    </row>
    <row r="158" spans="1:64" x14ac:dyDescent="0.35">
      <c r="A158" s="557" t="s">
        <v>1476</v>
      </c>
      <c r="B158" s="550" t="s">
        <v>1426</v>
      </c>
      <c r="D158" s="558"/>
      <c r="F158" s="55" t="s">
        <v>1482</v>
      </c>
      <c r="G158" s="554" t="s">
        <v>871</v>
      </c>
      <c r="O158" s="491"/>
      <c r="P158" s="491"/>
      <c r="Q158" s="491"/>
      <c r="T158" s="56"/>
      <c r="U158" s="203"/>
      <c r="V158" s="571" t="b">
        <v>0</v>
      </c>
      <c r="W158" s="571">
        <v>1</v>
      </c>
      <c r="X158" s="571">
        <v>0</v>
      </c>
      <c r="Y158" s="571" t="s">
        <v>861</v>
      </c>
      <c r="AA158" s="571"/>
      <c r="AB158" s="571"/>
      <c r="AC158" s="571"/>
      <c r="AD158" s="571"/>
      <c r="AE158" s="571"/>
      <c r="AF158" s="571"/>
      <c r="AG158" s="571"/>
      <c r="AH158" s="571"/>
      <c r="AI158" s="571"/>
      <c r="AJ158" s="571"/>
      <c r="AK158" s="55"/>
      <c r="BE158"/>
      <c r="BL158" s="55"/>
    </row>
    <row r="159" spans="1:64" x14ac:dyDescent="0.35">
      <c r="A159" s="557" t="s">
        <v>1475</v>
      </c>
      <c r="B159" s="550" t="s">
        <v>1426</v>
      </c>
      <c r="D159" s="558"/>
      <c r="F159" s="55" t="s">
        <v>1481</v>
      </c>
      <c r="G159" s="554" t="s">
        <v>871</v>
      </c>
      <c r="O159" s="491"/>
      <c r="P159" s="491"/>
      <c r="Q159" s="491"/>
      <c r="T159" s="56"/>
      <c r="U159" s="203"/>
      <c r="V159" s="571" t="b">
        <v>0</v>
      </c>
      <c r="W159" s="571">
        <v>1</v>
      </c>
      <c r="X159" s="571">
        <v>0</v>
      </c>
      <c r="Y159" s="571" t="s">
        <v>861</v>
      </c>
      <c r="AA159" s="571"/>
      <c r="AB159" s="571"/>
      <c r="AC159" s="571"/>
      <c r="AD159" s="571"/>
      <c r="AE159" s="571"/>
      <c r="AF159" s="571"/>
      <c r="AG159" s="571"/>
      <c r="AH159" s="571"/>
      <c r="AI159" s="571"/>
      <c r="AJ159" s="571"/>
      <c r="AK159" s="55"/>
      <c r="BE159"/>
      <c r="BL159" s="55"/>
    </row>
    <row r="160" spans="1:64" x14ac:dyDescent="0.35">
      <c r="A160" s="557" t="s">
        <v>1474</v>
      </c>
      <c r="B160" s="550" t="s">
        <v>1426</v>
      </c>
      <c r="D160" s="558"/>
      <c r="F160" s="55" t="s">
        <v>1480</v>
      </c>
      <c r="G160" s="554" t="s">
        <v>871</v>
      </c>
      <c r="O160" s="491"/>
      <c r="P160" s="491"/>
      <c r="Q160" s="491"/>
      <c r="T160" s="56"/>
      <c r="U160" s="203"/>
      <c r="V160" s="571" t="b">
        <v>0</v>
      </c>
      <c r="W160" s="571">
        <v>1</v>
      </c>
      <c r="X160" s="571">
        <v>0</v>
      </c>
      <c r="Y160" s="571" t="s">
        <v>861</v>
      </c>
      <c r="AA160" s="571"/>
      <c r="AB160" s="571"/>
      <c r="AC160" s="571"/>
      <c r="AD160" s="571"/>
      <c r="AE160" s="571"/>
      <c r="AF160" s="571"/>
      <c r="AG160" s="571"/>
      <c r="AH160" s="571"/>
      <c r="AI160" s="571"/>
      <c r="AJ160" s="571"/>
      <c r="AK160" s="55"/>
      <c r="BE160"/>
      <c r="BL160" s="55"/>
    </row>
    <row r="161" spans="1:64" x14ac:dyDescent="0.35">
      <c r="A161" s="557" t="s">
        <v>1479</v>
      </c>
      <c r="B161" s="550" t="s">
        <v>1426</v>
      </c>
      <c r="D161" s="558"/>
      <c r="F161" s="55" t="s">
        <v>1484</v>
      </c>
      <c r="G161" s="554" t="s">
        <v>871</v>
      </c>
      <c r="O161" s="491"/>
      <c r="P161" s="491"/>
      <c r="Q161" s="491"/>
      <c r="T161" s="56"/>
      <c r="U161" s="203"/>
      <c r="V161" s="571" t="b">
        <v>0</v>
      </c>
      <c r="W161" s="571">
        <v>1</v>
      </c>
      <c r="X161" s="571">
        <v>0</v>
      </c>
      <c r="Y161" s="571" t="s">
        <v>861</v>
      </c>
      <c r="AA161" s="571"/>
      <c r="AB161" s="571"/>
      <c r="AC161" s="571"/>
      <c r="AD161" s="571"/>
      <c r="AE161" s="571"/>
      <c r="AF161" s="571"/>
      <c r="AG161" s="571"/>
      <c r="AH161" s="571"/>
      <c r="AI161" s="571"/>
      <c r="AJ161" s="571"/>
      <c r="AK161" s="55"/>
      <c r="BE161"/>
      <c r="BL161" s="55"/>
    </row>
    <row r="162" spans="1:64" x14ac:dyDescent="0.35">
      <c r="A162" s="557" t="s">
        <v>1477</v>
      </c>
      <c r="B162" s="550" t="s">
        <v>1426</v>
      </c>
      <c r="D162" s="558"/>
      <c r="F162" s="55" t="s">
        <v>1528</v>
      </c>
      <c r="G162" s="554" t="s">
        <v>871</v>
      </c>
      <c r="O162" s="491"/>
      <c r="P162" s="491"/>
      <c r="Q162" s="491"/>
      <c r="T162" s="56"/>
      <c r="U162" s="203"/>
      <c r="V162" s="571" t="b">
        <v>0</v>
      </c>
      <c r="W162" s="571">
        <v>1</v>
      </c>
      <c r="X162" s="571">
        <v>0</v>
      </c>
      <c r="Y162" s="571" t="s">
        <v>861</v>
      </c>
      <c r="AA162" s="571"/>
      <c r="AB162" s="571"/>
      <c r="AC162" s="571"/>
      <c r="AD162" s="571"/>
      <c r="AE162" s="571"/>
      <c r="AF162" s="571"/>
      <c r="AG162" s="571"/>
      <c r="AH162" s="571"/>
      <c r="AI162" s="571"/>
      <c r="AJ162" s="571"/>
      <c r="AK162" s="55"/>
      <c r="BE162"/>
      <c r="BL162" s="55"/>
    </row>
    <row r="163" spans="1:64" x14ac:dyDescent="0.35">
      <c r="A163" s="557" t="s">
        <v>1478</v>
      </c>
      <c r="B163" s="550" t="s">
        <v>1426</v>
      </c>
      <c r="D163" s="558"/>
      <c r="F163" s="55" t="s">
        <v>1483</v>
      </c>
      <c r="G163" s="554" t="s">
        <v>871</v>
      </c>
      <c r="O163" s="491"/>
      <c r="P163" s="491"/>
      <c r="Q163" s="491"/>
      <c r="T163" s="56"/>
      <c r="U163" s="203"/>
      <c r="V163" s="571" t="b">
        <v>0</v>
      </c>
      <c r="W163" s="571">
        <v>1</v>
      </c>
      <c r="X163" s="571">
        <v>0</v>
      </c>
      <c r="Y163" s="571" t="s">
        <v>861</v>
      </c>
      <c r="AA163" s="571"/>
      <c r="AB163" s="571"/>
      <c r="AC163" s="571"/>
      <c r="AD163" s="571"/>
      <c r="AE163" s="571"/>
      <c r="AF163" s="571"/>
      <c r="AG163" s="571"/>
      <c r="AH163" s="571"/>
      <c r="AI163" s="571"/>
      <c r="AJ163" s="571"/>
      <c r="AK163" s="55"/>
      <c r="BE163"/>
      <c r="BL163" s="55"/>
    </row>
    <row r="164" spans="1:64" x14ac:dyDescent="0.35">
      <c r="A164" s="557" t="s">
        <v>1504</v>
      </c>
      <c r="B164" s="550" t="s">
        <v>1426</v>
      </c>
      <c r="D164" s="558"/>
      <c r="F164" s="55" t="s">
        <v>1510</v>
      </c>
      <c r="G164" s="554" t="s">
        <v>871</v>
      </c>
      <c r="O164" s="491"/>
      <c r="P164" s="491"/>
      <c r="Q164" s="491"/>
      <c r="T164" s="56"/>
      <c r="U164" s="203"/>
      <c r="V164" s="571" t="b">
        <v>0</v>
      </c>
      <c r="W164" s="571">
        <v>1</v>
      </c>
      <c r="X164" s="571">
        <v>0</v>
      </c>
      <c r="Y164" s="571" t="s">
        <v>861</v>
      </c>
      <c r="AA164" s="571"/>
      <c r="AB164" s="571"/>
      <c r="AC164" s="571"/>
      <c r="AD164" s="571"/>
      <c r="AE164" s="571"/>
      <c r="AF164" s="571"/>
      <c r="AG164" s="571"/>
      <c r="AH164" s="571"/>
      <c r="AI164" s="571"/>
      <c r="AJ164" s="571"/>
      <c r="AK164" s="55"/>
      <c r="BE164"/>
      <c r="BL164" s="55"/>
    </row>
    <row r="165" spans="1:64" x14ac:dyDescent="0.35">
      <c r="A165" s="557" t="s">
        <v>1503</v>
      </c>
      <c r="B165" s="550" t="s">
        <v>1426</v>
      </c>
      <c r="D165" s="558"/>
      <c r="F165" s="55" t="s">
        <v>1509</v>
      </c>
      <c r="G165" s="554" t="s">
        <v>871</v>
      </c>
      <c r="O165" s="491"/>
      <c r="P165" s="491"/>
      <c r="Q165" s="491"/>
      <c r="T165" s="56"/>
      <c r="U165" s="203"/>
      <c r="V165" s="571" t="b">
        <v>0</v>
      </c>
      <c r="W165" s="571">
        <v>1</v>
      </c>
      <c r="X165" s="571">
        <v>0</v>
      </c>
      <c r="Y165" s="571" t="s">
        <v>861</v>
      </c>
      <c r="AA165" s="571"/>
      <c r="AB165" s="571"/>
      <c r="AC165" s="571"/>
      <c r="AD165" s="571"/>
      <c r="AE165" s="571"/>
      <c r="AF165" s="571"/>
      <c r="AG165" s="571"/>
      <c r="AH165" s="571"/>
      <c r="AI165" s="571"/>
      <c r="AJ165" s="571"/>
      <c r="AK165" s="55"/>
      <c r="BE165"/>
      <c r="BL165" s="55"/>
    </row>
    <row r="166" spans="1:64" x14ac:dyDescent="0.35">
      <c r="A166" s="557" t="s">
        <v>1502</v>
      </c>
      <c r="B166" s="550" t="s">
        <v>1426</v>
      </c>
      <c r="D166" s="558"/>
      <c r="F166" s="55" t="s">
        <v>1508</v>
      </c>
      <c r="G166" s="554" t="s">
        <v>871</v>
      </c>
      <c r="O166" s="491"/>
      <c r="P166" s="491"/>
      <c r="Q166" s="491"/>
      <c r="T166" s="56"/>
      <c r="U166" s="203"/>
      <c r="V166" s="571" t="b">
        <v>0</v>
      </c>
      <c r="W166" s="571">
        <v>1</v>
      </c>
      <c r="X166" s="571">
        <v>0</v>
      </c>
      <c r="Y166" s="571" t="s">
        <v>861</v>
      </c>
      <c r="AA166" s="571"/>
      <c r="AB166" s="571"/>
      <c r="AC166" s="571"/>
      <c r="AD166" s="571"/>
      <c r="AE166" s="571"/>
      <c r="AF166" s="571"/>
      <c r="AG166" s="571"/>
      <c r="AH166" s="571"/>
      <c r="AI166" s="571"/>
      <c r="AJ166" s="571"/>
      <c r="AK166" s="55"/>
      <c r="BE166"/>
      <c r="BL166" s="55"/>
    </row>
    <row r="167" spans="1:64" x14ac:dyDescent="0.35">
      <c r="A167" s="557" t="s">
        <v>1507</v>
      </c>
      <c r="B167" s="550" t="s">
        <v>1426</v>
      </c>
      <c r="D167" s="558"/>
      <c r="F167" s="55" t="s">
        <v>1512</v>
      </c>
      <c r="G167" s="554" t="s">
        <v>871</v>
      </c>
      <c r="O167" s="491"/>
      <c r="P167" s="491"/>
      <c r="Q167" s="491"/>
      <c r="T167" s="56"/>
      <c r="U167" s="203"/>
      <c r="V167" s="571" t="b">
        <v>0</v>
      </c>
      <c r="W167" s="571">
        <v>1</v>
      </c>
      <c r="X167" s="571">
        <v>0</v>
      </c>
      <c r="Y167" s="571" t="s">
        <v>861</v>
      </c>
      <c r="AA167" s="571"/>
      <c r="AB167" s="571"/>
      <c r="AC167" s="571"/>
      <c r="AD167" s="571"/>
      <c r="AE167" s="571"/>
      <c r="AF167" s="571"/>
      <c r="AG167" s="571"/>
      <c r="AH167" s="571"/>
      <c r="AI167" s="571"/>
      <c r="AJ167" s="571"/>
      <c r="AK167" s="55"/>
      <c r="BE167"/>
      <c r="BL167" s="55"/>
    </row>
    <row r="168" spans="1:64" x14ac:dyDescent="0.35">
      <c r="A168" s="557" t="s">
        <v>1505</v>
      </c>
      <c r="B168" s="550" t="s">
        <v>1426</v>
      </c>
      <c r="D168" s="558"/>
      <c r="F168" s="55" t="s">
        <v>1527</v>
      </c>
      <c r="G168" s="554" t="s">
        <v>871</v>
      </c>
      <c r="O168" s="491"/>
      <c r="P168" s="491"/>
      <c r="Q168" s="491"/>
      <c r="T168" s="56"/>
      <c r="U168" s="203"/>
      <c r="V168" s="571" t="b">
        <v>0</v>
      </c>
      <c r="W168" s="571">
        <v>1</v>
      </c>
      <c r="X168" s="571">
        <v>0</v>
      </c>
      <c r="Y168" s="571" t="s">
        <v>861</v>
      </c>
      <c r="AA168" s="571"/>
      <c r="AB168" s="571"/>
      <c r="AC168" s="571"/>
      <c r="AD168" s="571"/>
      <c r="AE168" s="571"/>
      <c r="AF168" s="571"/>
      <c r="AG168" s="571"/>
      <c r="AH168" s="571"/>
      <c r="AI168" s="571"/>
      <c r="AJ168" s="571"/>
      <c r="AK168" s="55"/>
      <c r="BE168"/>
      <c r="BL168" s="55"/>
    </row>
    <row r="169" spans="1:64" x14ac:dyDescent="0.35">
      <c r="A169" s="557" t="s">
        <v>1506</v>
      </c>
      <c r="B169" s="550" t="s">
        <v>1426</v>
      </c>
      <c r="D169" s="558"/>
      <c r="F169" s="55" t="s">
        <v>1511</v>
      </c>
      <c r="G169" s="554" t="s">
        <v>871</v>
      </c>
      <c r="O169" s="491"/>
      <c r="P169" s="491"/>
      <c r="Q169" s="491"/>
      <c r="T169" s="56"/>
      <c r="U169" s="203"/>
      <c r="V169" s="571" t="b">
        <v>0</v>
      </c>
      <c r="W169" s="571">
        <v>1</v>
      </c>
      <c r="X169" s="571">
        <v>0</v>
      </c>
      <c r="Y169" s="571" t="s">
        <v>861</v>
      </c>
      <c r="AA169" s="571"/>
      <c r="AB169" s="571"/>
      <c r="AC169" s="571"/>
      <c r="AD169" s="571"/>
      <c r="AE169" s="571"/>
      <c r="AF169" s="571"/>
      <c r="AG169" s="571"/>
      <c r="AH169" s="571"/>
      <c r="AI169" s="571"/>
      <c r="AJ169" s="571"/>
      <c r="AK169" s="55"/>
      <c r="BE169"/>
      <c r="BL169" s="55"/>
    </row>
    <row r="170" spans="1:64" x14ac:dyDescent="0.35">
      <c r="A170" s="561" t="s">
        <v>1448</v>
      </c>
      <c r="B170" s="550" t="s">
        <v>1426</v>
      </c>
      <c r="C170" s="561"/>
      <c r="D170" s="562"/>
      <c r="E170" s="563"/>
      <c r="F170" s="567" t="s">
        <v>1468</v>
      </c>
      <c r="G170" s="554" t="s">
        <v>871</v>
      </c>
      <c r="H170" s="561"/>
      <c r="I170" s="561"/>
      <c r="J170" s="561"/>
      <c r="L170" s="561"/>
      <c r="N170" s="561"/>
      <c r="O170" s="565"/>
      <c r="P170" s="565"/>
      <c r="Q170" s="565"/>
      <c r="R170" s="564"/>
      <c r="S170" s="564"/>
      <c r="T170" s="564"/>
      <c r="U170" s="566"/>
      <c r="V170" s="571" t="b">
        <v>0</v>
      </c>
      <c r="W170" s="571">
        <v>1</v>
      </c>
      <c r="X170" s="571">
        <v>0</v>
      </c>
      <c r="Y170" s="571" t="s">
        <v>861</v>
      </c>
      <c r="Z170" s="564"/>
      <c r="AA170" s="571"/>
      <c r="AB170" s="571"/>
      <c r="AC170" s="571"/>
      <c r="AD170" s="571"/>
      <c r="AE170" s="571"/>
      <c r="AF170" s="571"/>
      <c r="AG170" s="571"/>
      <c r="AH170" s="571"/>
      <c r="AI170" s="571"/>
      <c r="AJ170" s="571"/>
      <c r="AK170" s="55"/>
      <c r="BE170"/>
      <c r="BL170" s="55"/>
    </row>
    <row r="171" spans="1:64" x14ac:dyDescent="0.35">
      <c r="A171" s="561" t="s">
        <v>1447</v>
      </c>
      <c r="B171" s="550" t="s">
        <v>1426</v>
      </c>
      <c r="C171" s="561"/>
      <c r="D171" s="562"/>
      <c r="E171" s="563"/>
      <c r="F171" s="567" t="s">
        <v>1467</v>
      </c>
      <c r="G171" s="554" t="s">
        <v>871</v>
      </c>
      <c r="H171" s="561"/>
      <c r="I171" s="561"/>
      <c r="J171" s="561"/>
      <c r="L171" s="561"/>
      <c r="N171" s="561"/>
      <c r="O171" s="565"/>
      <c r="P171" s="565"/>
      <c r="Q171" s="565"/>
      <c r="R171" s="564"/>
      <c r="S171" s="564"/>
      <c r="T171" s="564"/>
      <c r="U171" s="566"/>
      <c r="V171" s="571" t="b">
        <v>0</v>
      </c>
      <c r="W171" s="571">
        <v>1</v>
      </c>
      <c r="X171" s="571">
        <v>0</v>
      </c>
      <c r="Y171" s="571" t="s">
        <v>861</v>
      </c>
      <c r="Z171" s="564"/>
      <c r="AA171" s="571"/>
      <c r="AB171" s="571"/>
      <c r="AC171" s="571"/>
      <c r="AD171" s="571"/>
      <c r="AE171" s="571"/>
      <c r="AF171" s="571"/>
      <c r="AG171" s="571"/>
      <c r="AH171" s="571"/>
      <c r="AI171" s="571"/>
      <c r="AJ171" s="571"/>
      <c r="AK171" s="55"/>
      <c r="BE171"/>
      <c r="BL171" s="55"/>
    </row>
    <row r="172" spans="1:64" x14ac:dyDescent="0.35">
      <c r="A172" s="561" t="s">
        <v>1446</v>
      </c>
      <c r="B172" s="550" t="s">
        <v>1426</v>
      </c>
      <c r="C172" s="561"/>
      <c r="D172" s="562"/>
      <c r="E172" s="563"/>
      <c r="F172" s="567" t="s">
        <v>1466</v>
      </c>
      <c r="G172" s="554" t="s">
        <v>871</v>
      </c>
      <c r="H172" s="561"/>
      <c r="I172" s="561"/>
      <c r="J172" s="561"/>
      <c r="L172" s="561"/>
      <c r="N172" s="561"/>
      <c r="O172" s="565"/>
      <c r="P172" s="565"/>
      <c r="Q172" s="565"/>
      <c r="R172" s="564"/>
      <c r="S172" s="564"/>
      <c r="T172" s="564"/>
      <c r="U172" s="566"/>
      <c r="V172" s="571" t="b">
        <v>0</v>
      </c>
      <c r="W172" s="571">
        <v>1</v>
      </c>
      <c r="X172" s="571">
        <v>0</v>
      </c>
      <c r="Y172" s="571" t="s">
        <v>861</v>
      </c>
      <c r="Z172" s="564"/>
      <c r="AA172" s="571"/>
      <c r="AB172" s="571"/>
      <c r="AC172" s="571"/>
      <c r="AD172" s="571"/>
      <c r="AE172" s="571"/>
      <c r="AF172" s="571"/>
      <c r="AG172" s="571"/>
      <c r="AH172" s="571"/>
      <c r="AI172" s="571"/>
      <c r="AJ172" s="571"/>
      <c r="AK172" s="55"/>
      <c r="BE172"/>
      <c r="BL172" s="55"/>
    </row>
    <row r="173" spans="1:64" x14ac:dyDescent="0.35">
      <c r="A173" s="561" t="s">
        <v>1449</v>
      </c>
      <c r="B173" s="550" t="s">
        <v>1426</v>
      </c>
      <c r="C173" s="561"/>
      <c r="D173" s="562"/>
      <c r="E173" s="563"/>
      <c r="F173" s="567" t="s">
        <v>1469</v>
      </c>
      <c r="G173" s="554" t="s">
        <v>871</v>
      </c>
      <c r="H173" s="561"/>
      <c r="I173" s="561"/>
      <c r="J173" s="561"/>
      <c r="L173" s="561"/>
      <c r="N173" s="561"/>
      <c r="O173" s="565"/>
      <c r="P173" s="565"/>
      <c r="Q173" s="565"/>
      <c r="R173" s="564"/>
      <c r="S173" s="564"/>
      <c r="T173" s="564"/>
      <c r="U173" s="566"/>
      <c r="V173" s="571" t="b">
        <v>0</v>
      </c>
      <c r="W173" s="571">
        <v>1</v>
      </c>
      <c r="X173" s="571">
        <v>0</v>
      </c>
      <c r="Y173" s="571" t="s">
        <v>861</v>
      </c>
      <c r="Z173" s="564"/>
      <c r="AA173" s="571"/>
      <c r="AB173" s="571"/>
      <c r="AC173" s="571"/>
      <c r="AD173" s="571"/>
      <c r="AE173" s="571"/>
      <c r="AF173" s="571"/>
      <c r="AG173" s="571"/>
      <c r="AH173" s="571"/>
      <c r="AI173" s="571"/>
      <c r="AJ173" s="571"/>
      <c r="AK173" s="55"/>
      <c r="BE173"/>
      <c r="BL173" s="55"/>
    </row>
    <row r="174" spans="1:64" x14ac:dyDescent="0.35">
      <c r="A174" s="561" t="s">
        <v>1444</v>
      </c>
      <c r="B174" s="550" t="s">
        <v>1426</v>
      </c>
      <c r="C174" s="561"/>
      <c r="D174" s="562"/>
      <c r="E174" s="563"/>
      <c r="F174" s="567" t="s">
        <v>1464</v>
      </c>
      <c r="G174" s="554" t="s">
        <v>871</v>
      </c>
      <c r="H174" s="561"/>
      <c r="I174" s="561"/>
      <c r="J174" s="561"/>
      <c r="L174" s="561"/>
      <c r="N174" s="561"/>
      <c r="O174" s="565"/>
      <c r="P174" s="565"/>
      <c r="Q174" s="565"/>
      <c r="R174" s="564"/>
      <c r="S174" s="564"/>
      <c r="T174" s="564"/>
      <c r="U174" s="566"/>
      <c r="V174" s="571" t="b">
        <v>0</v>
      </c>
      <c r="W174" s="571">
        <v>1</v>
      </c>
      <c r="X174" s="571">
        <v>0</v>
      </c>
      <c r="Y174" s="571" t="s">
        <v>861</v>
      </c>
      <c r="Z174" s="564"/>
      <c r="AA174" s="571"/>
      <c r="AB174" s="571"/>
      <c r="AC174" s="571"/>
      <c r="AD174" s="571"/>
      <c r="AE174" s="571"/>
      <c r="AF174" s="571"/>
      <c r="AG174" s="571"/>
      <c r="AH174" s="571"/>
      <c r="AI174" s="571"/>
      <c r="AJ174" s="571"/>
      <c r="AK174" s="55"/>
      <c r="BE174"/>
      <c r="BL174" s="55"/>
    </row>
    <row r="175" spans="1:64" x14ac:dyDescent="0.35">
      <c r="A175" s="561" t="s">
        <v>1443</v>
      </c>
      <c r="B175" s="550" t="s">
        <v>1426</v>
      </c>
      <c r="C175" s="561"/>
      <c r="D175" s="562"/>
      <c r="E175" s="563"/>
      <c r="F175" s="567" t="s">
        <v>1463</v>
      </c>
      <c r="G175" s="554" t="s">
        <v>871</v>
      </c>
      <c r="H175" s="561"/>
      <c r="I175" s="561"/>
      <c r="J175" s="561"/>
      <c r="L175" s="561"/>
      <c r="N175" s="561"/>
      <c r="O175" s="565"/>
      <c r="P175" s="565"/>
      <c r="Q175" s="565"/>
      <c r="R175" s="564"/>
      <c r="S175" s="564"/>
      <c r="T175" s="564"/>
      <c r="U175" s="566"/>
      <c r="V175" s="571" t="b">
        <v>0</v>
      </c>
      <c r="W175" s="571">
        <v>1</v>
      </c>
      <c r="X175" s="571">
        <v>0</v>
      </c>
      <c r="Y175" s="571" t="s">
        <v>861</v>
      </c>
      <c r="Z175" s="564"/>
      <c r="AA175" s="571"/>
      <c r="AB175" s="571"/>
      <c r="AC175" s="571"/>
      <c r="AD175" s="571"/>
      <c r="AE175" s="571"/>
      <c r="AF175" s="571"/>
      <c r="AG175" s="571"/>
      <c r="AH175" s="571"/>
      <c r="AI175" s="571"/>
      <c r="AJ175" s="571"/>
      <c r="AK175" s="55"/>
      <c r="BE175"/>
      <c r="BL175" s="55"/>
    </row>
    <row r="176" spans="1:64" x14ac:dyDescent="0.35">
      <c r="A176" s="561" t="s">
        <v>1442</v>
      </c>
      <c r="B176" s="550" t="s">
        <v>1426</v>
      </c>
      <c r="C176" s="561"/>
      <c r="D176" s="562"/>
      <c r="E176" s="563"/>
      <c r="F176" s="567" t="s">
        <v>1462</v>
      </c>
      <c r="G176" s="554" t="s">
        <v>871</v>
      </c>
      <c r="H176" s="561"/>
      <c r="I176" s="561"/>
      <c r="J176" s="561"/>
      <c r="L176" s="561"/>
      <c r="N176" s="561"/>
      <c r="O176" s="565"/>
      <c r="P176" s="565"/>
      <c r="Q176" s="565"/>
      <c r="R176" s="564"/>
      <c r="S176" s="564"/>
      <c r="T176" s="564"/>
      <c r="U176" s="566"/>
      <c r="V176" s="571" t="b">
        <v>0</v>
      </c>
      <c r="W176" s="571">
        <v>1</v>
      </c>
      <c r="X176" s="571">
        <v>0</v>
      </c>
      <c r="Y176" s="571" t="s">
        <v>861</v>
      </c>
      <c r="Z176" s="564"/>
      <c r="AA176" s="571"/>
      <c r="AB176" s="571"/>
      <c r="AC176" s="571"/>
      <c r="AD176" s="571"/>
      <c r="AE176" s="571"/>
      <c r="AF176" s="571"/>
      <c r="AG176" s="571"/>
      <c r="AH176" s="571"/>
      <c r="AI176" s="571"/>
      <c r="AJ176" s="571"/>
      <c r="AK176" s="55"/>
      <c r="BE176"/>
      <c r="BL176" s="55"/>
    </row>
    <row r="177" spans="1:64" x14ac:dyDescent="0.35">
      <c r="A177" s="561" t="s">
        <v>1445</v>
      </c>
      <c r="B177" s="550" t="s">
        <v>1426</v>
      </c>
      <c r="C177" s="561"/>
      <c r="D177" s="562"/>
      <c r="E177" s="563"/>
      <c r="F177" s="567" t="s">
        <v>1465</v>
      </c>
      <c r="G177" s="554" t="s">
        <v>871</v>
      </c>
      <c r="H177" s="561"/>
      <c r="I177" s="561"/>
      <c r="J177" s="561"/>
      <c r="L177" s="561"/>
      <c r="N177" s="561"/>
      <c r="O177" s="565"/>
      <c r="P177" s="565"/>
      <c r="Q177" s="565"/>
      <c r="R177" s="564"/>
      <c r="S177" s="564"/>
      <c r="T177" s="564"/>
      <c r="U177" s="566"/>
      <c r="V177" s="571" t="b">
        <v>0</v>
      </c>
      <c r="W177" s="571">
        <v>1</v>
      </c>
      <c r="X177" s="571">
        <v>0</v>
      </c>
      <c r="Y177" s="571" t="s">
        <v>861</v>
      </c>
      <c r="Z177" s="564"/>
      <c r="AA177" s="571"/>
      <c r="AB177" s="571"/>
      <c r="AC177" s="571"/>
      <c r="AD177" s="571"/>
      <c r="AE177" s="571"/>
      <c r="AF177" s="571"/>
      <c r="AG177" s="571"/>
      <c r="AH177" s="571"/>
      <c r="AI177" s="571"/>
      <c r="AJ177" s="571"/>
      <c r="AK177" s="55"/>
      <c r="BE177"/>
      <c r="BL177" s="55"/>
    </row>
    <row r="178" spans="1:64" x14ac:dyDescent="0.35">
      <c r="A178" s="561" t="s">
        <v>1452</v>
      </c>
      <c r="B178" s="550" t="s">
        <v>1426</v>
      </c>
      <c r="C178" s="561"/>
      <c r="D178" s="562"/>
      <c r="E178" s="563"/>
      <c r="F178" s="567" t="s">
        <v>1472</v>
      </c>
      <c r="G178" s="554" t="s">
        <v>871</v>
      </c>
      <c r="H178" s="561"/>
      <c r="I178" s="561"/>
      <c r="J178" s="561"/>
      <c r="L178" s="561"/>
      <c r="N178" s="561"/>
      <c r="O178" s="565"/>
      <c r="P178" s="565"/>
      <c r="Q178" s="565"/>
      <c r="R178" s="564"/>
      <c r="S178" s="564"/>
      <c r="T178" s="564"/>
      <c r="U178" s="566"/>
      <c r="V178" s="571" t="b">
        <v>0</v>
      </c>
      <c r="W178" s="571">
        <v>1</v>
      </c>
      <c r="X178" s="571">
        <v>0</v>
      </c>
      <c r="Y178" s="571" t="s">
        <v>861</v>
      </c>
      <c r="Z178" s="564"/>
      <c r="AA178" s="571"/>
      <c r="AB178" s="571"/>
      <c r="AC178" s="571"/>
      <c r="AD178" s="571"/>
      <c r="AE178" s="571"/>
      <c r="AF178" s="571"/>
      <c r="AG178" s="571"/>
      <c r="AH178" s="571"/>
      <c r="AI178" s="571"/>
      <c r="AJ178" s="571"/>
      <c r="AK178" s="55"/>
      <c r="BE178"/>
      <c r="BL178" s="55"/>
    </row>
    <row r="179" spans="1:64" x14ac:dyDescent="0.35">
      <c r="A179" s="561" t="s">
        <v>1451</v>
      </c>
      <c r="B179" s="550" t="s">
        <v>1426</v>
      </c>
      <c r="C179" s="561"/>
      <c r="D179" s="562"/>
      <c r="E179" s="563"/>
      <c r="F179" s="567" t="s">
        <v>1471</v>
      </c>
      <c r="G179" s="554" t="s">
        <v>871</v>
      </c>
      <c r="H179" s="561"/>
      <c r="I179" s="561"/>
      <c r="J179" s="561"/>
      <c r="L179" s="561"/>
      <c r="N179" s="561"/>
      <c r="O179" s="565"/>
      <c r="P179" s="565"/>
      <c r="Q179" s="565"/>
      <c r="R179" s="564"/>
      <c r="S179" s="564"/>
      <c r="T179" s="564"/>
      <c r="U179" s="566"/>
      <c r="V179" s="571" t="b">
        <v>0</v>
      </c>
      <c r="W179" s="571">
        <v>1</v>
      </c>
      <c r="X179" s="571">
        <v>0</v>
      </c>
      <c r="Y179" s="571" t="s">
        <v>861</v>
      </c>
      <c r="Z179" s="564"/>
      <c r="AA179" s="571"/>
      <c r="AB179" s="571"/>
      <c r="AC179" s="571"/>
      <c r="AD179" s="571"/>
      <c r="AE179" s="571"/>
      <c r="AF179" s="571"/>
      <c r="AG179" s="571"/>
      <c r="AH179" s="571"/>
      <c r="AI179" s="571"/>
      <c r="AJ179" s="571"/>
      <c r="AK179" s="55"/>
      <c r="BH179"/>
      <c r="BL179" s="55"/>
    </row>
    <row r="180" spans="1:64" x14ac:dyDescent="0.35">
      <c r="A180" s="561" t="s">
        <v>1450</v>
      </c>
      <c r="B180" s="550" t="s">
        <v>1426</v>
      </c>
      <c r="C180" s="561"/>
      <c r="D180" s="562"/>
      <c r="E180" s="563"/>
      <c r="F180" s="567" t="s">
        <v>1470</v>
      </c>
      <c r="G180" s="554" t="s">
        <v>871</v>
      </c>
      <c r="H180" s="561"/>
      <c r="I180" s="561"/>
      <c r="J180" s="561"/>
      <c r="L180" s="561"/>
      <c r="N180" s="561"/>
      <c r="O180" s="565"/>
      <c r="P180" s="565"/>
      <c r="Q180" s="565"/>
      <c r="R180" s="564"/>
      <c r="S180" s="564"/>
      <c r="T180" s="564"/>
      <c r="U180" s="566"/>
      <c r="V180" s="571" t="b">
        <v>0</v>
      </c>
      <c r="W180" s="571">
        <v>1</v>
      </c>
      <c r="X180" s="571">
        <v>0</v>
      </c>
      <c r="Y180" s="571" t="s">
        <v>861</v>
      </c>
      <c r="Z180" s="564"/>
      <c r="AA180" s="571"/>
      <c r="AB180" s="571"/>
      <c r="AC180" s="571"/>
      <c r="AD180" s="571"/>
      <c r="AE180" s="571"/>
      <c r="AF180" s="571"/>
      <c r="AG180" s="571"/>
      <c r="AH180" s="571"/>
      <c r="AI180" s="571"/>
      <c r="AJ180" s="571"/>
      <c r="AK180" s="55"/>
      <c r="BH180"/>
      <c r="BL180" s="55"/>
    </row>
    <row r="181" spans="1:64" x14ac:dyDescent="0.35">
      <c r="A181" s="561" t="s">
        <v>1453</v>
      </c>
      <c r="B181" s="550" t="s">
        <v>1426</v>
      </c>
      <c r="C181" s="561"/>
      <c r="D181" s="562"/>
      <c r="E181" s="563"/>
      <c r="F181" s="567" t="s">
        <v>1473</v>
      </c>
      <c r="G181" s="554" t="s">
        <v>871</v>
      </c>
      <c r="H181" s="561"/>
      <c r="I181" s="561"/>
      <c r="J181" s="561"/>
      <c r="L181" s="561"/>
      <c r="N181" s="561"/>
      <c r="O181" s="565"/>
      <c r="P181" s="565"/>
      <c r="Q181" s="565"/>
      <c r="R181" s="564"/>
      <c r="S181" s="564"/>
      <c r="T181" s="564"/>
      <c r="U181" s="566"/>
      <c r="V181" s="571" t="b">
        <v>0</v>
      </c>
      <c r="W181" s="571">
        <v>1</v>
      </c>
      <c r="X181" s="571">
        <v>0</v>
      </c>
      <c r="Y181" s="571" t="s">
        <v>861</v>
      </c>
      <c r="Z181" s="564"/>
      <c r="AA181" s="571"/>
      <c r="AB181" s="571"/>
      <c r="AC181" s="571"/>
      <c r="AD181" s="571"/>
      <c r="AE181" s="571"/>
      <c r="AF181" s="571"/>
      <c r="AG181" s="571"/>
      <c r="AH181" s="571"/>
      <c r="AI181" s="571"/>
      <c r="AJ181" s="571"/>
      <c r="AK181" s="55"/>
      <c r="BH181"/>
      <c r="BL181" s="55"/>
    </row>
    <row r="182" spans="1:64" x14ac:dyDescent="0.35">
      <c r="A182" s="561" t="s">
        <v>1436</v>
      </c>
      <c r="B182" s="550" t="s">
        <v>1426</v>
      </c>
      <c r="C182" s="561"/>
      <c r="D182" s="562"/>
      <c r="E182" s="563"/>
      <c r="F182" s="567" t="s">
        <v>1456</v>
      </c>
      <c r="G182" s="554" t="s">
        <v>871</v>
      </c>
      <c r="H182" s="561"/>
      <c r="I182" s="561"/>
      <c r="J182" s="561"/>
      <c r="L182" s="561"/>
      <c r="N182" s="561"/>
      <c r="O182" s="565"/>
      <c r="P182" s="565"/>
      <c r="Q182" s="565"/>
      <c r="R182" s="564"/>
      <c r="S182" s="564"/>
      <c r="T182" s="564"/>
      <c r="U182" s="566"/>
      <c r="V182" s="571" t="b">
        <v>0</v>
      </c>
      <c r="W182" s="571">
        <v>1</v>
      </c>
      <c r="X182" s="571">
        <v>0</v>
      </c>
      <c r="Y182" s="571" t="s">
        <v>861</v>
      </c>
      <c r="Z182" s="564"/>
      <c r="AA182" s="571"/>
      <c r="AB182" s="571"/>
      <c r="AC182" s="571"/>
      <c r="AD182" s="571"/>
      <c r="AE182" s="571"/>
      <c r="AF182" s="571"/>
      <c r="AG182" s="571"/>
      <c r="AH182" s="571"/>
      <c r="AI182" s="571"/>
      <c r="AJ182" s="571"/>
      <c r="AK182" s="55"/>
      <c r="BH182"/>
      <c r="BL182" s="55"/>
    </row>
    <row r="183" spans="1:64" x14ac:dyDescent="0.35">
      <c r="A183" s="561" t="s">
        <v>1435</v>
      </c>
      <c r="B183" s="550" t="s">
        <v>1426</v>
      </c>
      <c r="C183" s="561"/>
      <c r="D183" s="562"/>
      <c r="E183" s="563"/>
      <c r="F183" s="567" t="s">
        <v>1455</v>
      </c>
      <c r="G183" s="554" t="s">
        <v>871</v>
      </c>
      <c r="H183" s="561"/>
      <c r="I183" s="561"/>
      <c r="J183" s="561"/>
      <c r="L183" s="561"/>
      <c r="N183" s="561"/>
      <c r="O183" s="565"/>
      <c r="P183" s="565"/>
      <c r="Q183" s="565"/>
      <c r="R183" s="564"/>
      <c r="S183" s="564"/>
      <c r="T183" s="564"/>
      <c r="U183" s="566"/>
      <c r="V183" s="571" t="b">
        <v>0</v>
      </c>
      <c r="W183" s="571">
        <v>1</v>
      </c>
      <c r="X183" s="571">
        <v>0</v>
      </c>
      <c r="Y183" s="571" t="s">
        <v>861</v>
      </c>
      <c r="Z183" s="564"/>
      <c r="AA183" s="571"/>
      <c r="AB183" s="571"/>
      <c r="AC183" s="571"/>
      <c r="AD183" s="571"/>
      <c r="AE183" s="571"/>
      <c r="AF183" s="571"/>
      <c r="AG183" s="571"/>
      <c r="AH183" s="571"/>
      <c r="AI183" s="571"/>
      <c r="AJ183" s="571"/>
      <c r="AK183" s="55"/>
      <c r="BH183"/>
      <c r="BL183" s="55"/>
    </row>
    <row r="184" spans="1:64" x14ac:dyDescent="0.35">
      <c r="A184" s="561" t="s">
        <v>1434</v>
      </c>
      <c r="B184" s="550" t="s">
        <v>1426</v>
      </c>
      <c r="C184" s="561"/>
      <c r="D184" s="562"/>
      <c r="E184" s="563"/>
      <c r="F184" s="567" t="s">
        <v>1454</v>
      </c>
      <c r="G184" s="554" t="s">
        <v>871</v>
      </c>
      <c r="H184" s="561"/>
      <c r="I184" s="561"/>
      <c r="J184" s="561"/>
      <c r="L184" s="561"/>
      <c r="N184" s="561"/>
      <c r="O184" s="565"/>
      <c r="P184" s="565"/>
      <c r="Q184" s="565"/>
      <c r="R184" s="564"/>
      <c r="S184" s="564"/>
      <c r="T184" s="564"/>
      <c r="U184" s="566"/>
      <c r="V184" s="571" t="b">
        <v>0</v>
      </c>
      <c r="W184" s="571">
        <v>1</v>
      </c>
      <c r="X184" s="571">
        <v>0</v>
      </c>
      <c r="Y184" s="571" t="s">
        <v>861</v>
      </c>
      <c r="Z184" s="564"/>
      <c r="AA184" s="571"/>
      <c r="AB184" s="571"/>
      <c r="AC184" s="571"/>
      <c r="AD184" s="571"/>
      <c r="AE184" s="571"/>
      <c r="AF184" s="571"/>
      <c r="AG184" s="571"/>
      <c r="AH184" s="571"/>
      <c r="AI184" s="571"/>
      <c r="AJ184" s="571"/>
      <c r="AK184" s="55"/>
      <c r="BH184"/>
      <c r="BL184" s="55"/>
    </row>
    <row r="185" spans="1:64" x14ac:dyDescent="0.35">
      <c r="A185" s="561" t="s">
        <v>1437</v>
      </c>
      <c r="B185" s="550" t="s">
        <v>1426</v>
      </c>
      <c r="C185" s="561"/>
      <c r="D185" s="562"/>
      <c r="E185" s="563"/>
      <c r="F185" s="567" t="s">
        <v>1457</v>
      </c>
      <c r="G185" s="554" t="s">
        <v>871</v>
      </c>
      <c r="H185" s="561"/>
      <c r="I185" s="561"/>
      <c r="J185" s="561"/>
      <c r="L185" s="561"/>
      <c r="N185" s="561"/>
      <c r="O185" s="565"/>
      <c r="P185" s="565"/>
      <c r="Q185" s="565"/>
      <c r="R185" s="564"/>
      <c r="S185" s="564"/>
      <c r="T185" s="564"/>
      <c r="U185" s="566"/>
      <c r="V185" s="571" t="b">
        <v>0</v>
      </c>
      <c r="W185" s="571">
        <v>1</v>
      </c>
      <c r="X185" s="571">
        <v>0</v>
      </c>
      <c r="Y185" s="571" t="s">
        <v>861</v>
      </c>
      <c r="Z185" s="564"/>
      <c r="AA185" s="571"/>
      <c r="AB185" s="571"/>
      <c r="AC185" s="571"/>
      <c r="AD185" s="571"/>
      <c r="AE185" s="571"/>
      <c r="AF185" s="571"/>
      <c r="AG185" s="571"/>
      <c r="AH185" s="571"/>
      <c r="AI185" s="571"/>
      <c r="AJ185" s="571"/>
      <c r="AK185" s="55"/>
      <c r="BH185"/>
      <c r="BL185" s="55"/>
    </row>
    <row r="186" spans="1:64" x14ac:dyDescent="0.35">
      <c r="A186" s="561" t="s">
        <v>1440</v>
      </c>
      <c r="B186" s="550" t="s">
        <v>1426</v>
      </c>
      <c r="C186" s="561"/>
      <c r="D186" s="562"/>
      <c r="E186" s="563"/>
      <c r="F186" s="567" t="s">
        <v>1460</v>
      </c>
      <c r="G186" s="554" t="s">
        <v>871</v>
      </c>
      <c r="H186" s="561"/>
      <c r="I186" s="561"/>
      <c r="J186" s="561"/>
      <c r="L186" s="561"/>
      <c r="N186" s="561"/>
      <c r="O186" s="565"/>
      <c r="P186" s="565"/>
      <c r="Q186" s="565"/>
      <c r="R186" s="564"/>
      <c r="S186" s="564"/>
      <c r="T186" s="564"/>
      <c r="U186" s="566"/>
      <c r="V186" s="571" t="b">
        <v>0</v>
      </c>
      <c r="W186" s="571">
        <v>1</v>
      </c>
      <c r="X186" s="571">
        <v>0</v>
      </c>
      <c r="Y186" s="571" t="s">
        <v>861</v>
      </c>
      <c r="Z186" s="564"/>
      <c r="AA186" s="571"/>
      <c r="AB186" s="571"/>
      <c r="AC186" s="571"/>
      <c r="AD186" s="571"/>
      <c r="AE186" s="571"/>
      <c r="AF186" s="571"/>
      <c r="AG186" s="571"/>
      <c r="AH186" s="571"/>
      <c r="AI186" s="571"/>
      <c r="AJ186" s="571"/>
      <c r="AK186" s="55"/>
      <c r="BH186"/>
      <c r="BL186" s="55"/>
    </row>
    <row r="187" spans="1:64" x14ac:dyDescent="0.35">
      <c r="A187" s="561" t="s">
        <v>1439</v>
      </c>
      <c r="B187" s="550" t="s">
        <v>1426</v>
      </c>
      <c r="C187" s="561"/>
      <c r="D187" s="562"/>
      <c r="E187" s="563"/>
      <c r="F187" s="567" t="s">
        <v>1459</v>
      </c>
      <c r="G187" s="554" t="s">
        <v>871</v>
      </c>
      <c r="H187" s="561"/>
      <c r="I187" s="561"/>
      <c r="J187" s="561"/>
      <c r="L187" s="561"/>
      <c r="N187" s="561"/>
      <c r="O187" s="565"/>
      <c r="P187" s="565"/>
      <c r="Q187" s="565"/>
      <c r="R187" s="564"/>
      <c r="S187" s="564"/>
      <c r="T187" s="564"/>
      <c r="U187" s="566"/>
      <c r="V187" s="571" t="b">
        <v>0</v>
      </c>
      <c r="W187" s="571">
        <v>1</v>
      </c>
      <c r="X187" s="571">
        <v>0</v>
      </c>
      <c r="Y187" s="571" t="s">
        <v>861</v>
      </c>
      <c r="Z187" s="564"/>
      <c r="AA187" s="571"/>
      <c r="AB187" s="571"/>
      <c r="AC187" s="571"/>
      <c r="AD187" s="571"/>
      <c r="AE187" s="571"/>
      <c r="AF187" s="571"/>
      <c r="AG187" s="571"/>
      <c r="AH187" s="571"/>
      <c r="AI187" s="571"/>
      <c r="AJ187" s="571"/>
      <c r="AK187" s="55"/>
      <c r="BH187"/>
      <c r="BL187" s="55"/>
    </row>
    <row r="188" spans="1:64" x14ac:dyDescent="0.35">
      <c r="A188" s="561" t="s">
        <v>1438</v>
      </c>
      <c r="B188" s="550" t="s">
        <v>1426</v>
      </c>
      <c r="C188" s="561"/>
      <c r="D188" s="562"/>
      <c r="E188" s="563"/>
      <c r="F188" s="567" t="s">
        <v>1458</v>
      </c>
      <c r="G188" s="554" t="s">
        <v>871</v>
      </c>
      <c r="H188" s="561"/>
      <c r="I188" s="561"/>
      <c r="J188" s="561"/>
      <c r="L188" s="561"/>
      <c r="N188" s="561"/>
      <c r="O188" s="565"/>
      <c r="P188" s="565"/>
      <c r="Q188" s="565"/>
      <c r="R188" s="564"/>
      <c r="S188" s="564"/>
      <c r="T188" s="564"/>
      <c r="U188" s="566"/>
      <c r="V188" s="571" t="b">
        <v>0</v>
      </c>
      <c r="W188" s="571">
        <v>1</v>
      </c>
      <c r="X188" s="571">
        <v>0</v>
      </c>
      <c r="Y188" s="571" t="s">
        <v>861</v>
      </c>
      <c r="Z188" s="564"/>
      <c r="AA188" s="571"/>
      <c r="AB188" s="571"/>
      <c r="AC188" s="571"/>
      <c r="AD188" s="571"/>
      <c r="AE188" s="571"/>
      <c r="AF188" s="571"/>
      <c r="AG188" s="571"/>
      <c r="AH188" s="571"/>
      <c r="AI188" s="571"/>
      <c r="AJ188" s="571"/>
      <c r="AK188" s="55"/>
      <c r="BH188"/>
      <c r="BL188" s="55"/>
    </row>
    <row r="189" spans="1:64" x14ac:dyDescent="0.35">
      <c r="A189" s="561" t="s">
        <v>1441</v>
      </c>
      <c r="B189" s="550" t="s">
        <v>1426</v>
      </c>
      <c r="C189" s="561"/>
      <c r="D189" s="562"/>
      <c r="E189" s="563"/>
      <c r="F189" s="567" t="s">
        <v>1461</v>
      </c>
      <c r="G189" s="554" t="s">
        <v>871</v>
      </c>
      <c r="H189" s="561"/>
      <c r="I189" s="561"/>
      <c r="J189" s="561"/>
      <c r="L189" s="561"/>
      <c r="N189" s="561"/>
      <c r="O189" s="565"/>
      <c r="P189" s="565"/>
      <c r="Q189" s="565"/>
      <c r="R189" s="564"/>
      <c r="S189" s="564"/>
      <c r="T189" s="564"/>
      <c r="U189" s="566"/>
      <c r="V189" s="571" t="b">
        <v>0</v>
      </c>
      <c r="W189" s="571">
        <v>1</v>
      </c>
      <c r="X189" s="571">
        <v>0</v>
      </c>
      <c r="Y189" s="571" t="s">
        <v>861</v>
      </c>
      <c r="Z189" s="564"/>
      <c r="AA189" s="571"/>
      <c r="AB189" s="571"/>
      <c r="AC189" s="571"/>
      <c r="AD189" s="571"/>
      <c r="AE189" s="571"/>
      <c r="AF189" s="571"/>
      <c r="AG189" s="571"/>
      <c r="AH189" s="571"/>
      <c r="AI189" s="571"/>
      <c r="AJ189" s="571"/>
      <c r="AK189" s="55"/>
      <c r="BH189"/>
      <c r="BL189" s="55"/>
    </row>
    <row r="190" spans="1:64" x14ac:dyDescent="0.35">
      <c r="A190" s="57" t="s">
        <v>1226</v>
      </c>
      <c r="B190" s="526" t="s">
        <v>18</v>
      </c>
      <c r="C190" s="526" t="s">
        <v>19</v>
      </c>
      <c r="D190" s="527">
        <v>6291107166186</v>
      </c>
      <c r="E190" s="528"/>
      <c r="F190" s="532" t="s">
        <v>1221</v>
      </c>
      <c r="G190" s="529" t="s">
        <v>871</v>
      </c>
      <c r="H190" s="526"/>
      <c r="I190" s="526"/>
      <c r="J190" s="526"/>
      <c r="L190" s="526"/>
      <c r="N190" s="526"/>
      <c r="O190" s="530"/>
      <c r="P190" s="530"/>
      <c r="Q190" s="530"/>
      <c r="R190" s="529"/>
      <c r="S190" s="529"/>
      <c r="T190" s="529"/>
      <c r="U190" s="531" t="s">
        <v>1226</v>
      </c>
      <c r="V190" s="571" t="b">
        <v>1</v>
      </c>
      <c r="W190" s="571">
        <v>2</v>
      </c>
      <c r="X190" s="571">
        <v>2</v>
      </c>
      <c r="Y190" s="571" t="s">
        <v>1600</v>
      </c>
      <c r="Z190" s="529"/>
      <c r="AA190" s="571">
        <v>1</v>
      </c>
      <c r="AB190" s="571"/>
      <c r="AC190" s="571"/>
      <c r="AD190" s="571"/>
      <c r="AE190" s="571"/>
      <c r="AF190" s="571"/>
      <c r="AG190" s="571"/>
      <c r="AH190" s="571"/>
      <c r="AI190" s="571"/>
      <c r="AJ190" s="571"/>
      <c r="AK190" s="55"/>
      <c r="BH190"/>
      <c r="BL190" s="55"/>
    </row>
    <row r="191" spans="1:64" x14ac:dyDescent="0.35">
      <c r="A191" s="57" t="s">
        <v>1225</v>
      </c>
      <c r="B191" s="526" t="s">
        <v>18</v>
      </c>
      <c r="C191" s="526" t="s">
        <v>19</v>
      </c>
      <c r="D191" s="527">
        <v>6291107166155</v>
      </c>
      <c r="E191" s="528"/>
      <c r="F191" s="532" t="s">
        <v>1220</v>
      </c>
      <c r="G191" s="529" t="s">
        <v>871</v>
      </c>
      <c r="H191" s="526"/>
      <c r="I191" s="526"/>
      <c r="J191" s="526"/>
      <c r="L191" s="526"/>
      <c r="N191" s="526"/>
      <c r="O191" s="530"/>
      <c r="P191" s="530"/>
      <c r="Q191" s="530"/>
      <c r="R191" s="529"/>
      <c r="S191" s="529"/>
      <c r="T191" s="529"/>
      <c r="U191" s="531" t="s">
        <v>1225</v>
      </c>
      <c r="V191" s="571" t="b">
        <v>1</v>
      </c>
      <c r="W191" s="571">
        <v>2</v>
      </c>
      <c r="X191" s="571">
        <v>2</v>
      </c>
      <c r="Y191" s="571" t="s">
        <v>1600</v>
      </c>
      <c r="Z191" s="529"/>
      <c r="AA191" s="571">
        <v>1</v>
      </c>
      <c r="AB191" s="571"/>
      <c r="AC191" s="571"/>
      <c r="AD191" s="571"/>
      <c r="AE191" s="571"/>
      <c r="AF191" s="571"/>
      <c r="AG191" s="571"/>
      <c r="AH191" s="571"/>
      <c r="AI191" s="571"/>
      <c r="AJ191" s="571"/>
      <c r="AK191" s="55"/>
      <c r="BH191"/>
      <c r="BL191" s="55"/>
    </row>
    <row r="192" spans="1:64" x14ac:dyDescent="0.35">
      <c r="A192" s="57" t="s">
        <v>1227</v>
      </c>
      <c r="B192" s="526" t="s">
        <v>18</v>
      </c>
      <c r="C192" s="526" t="s">
        <v>19</v>
      </c>
      <c r="D192" s="527">
        <v>6291107166216</v>
      </c>
      <c r="E192" s="528"/>
      <c r="F192" s="532" t="s">
        <v>1222</v>
      </c>
      <c r="G192" s="529" t="s">
        <v>871</v>
      </c>
      <c r="H192" s="526"/>
      <c r="I192" s="526"/>
      <c r="J192" s="526"/>
      <c r="L192" s="526"/>
      <c r="N192" s="526"/>
      <c r="O192" s="530"/>
      <c r="P192" s="530"/>
      <c r="Q192" s="530"/>
      <c r="R192" s="529"/>
      <c r="S192" s="529"/>
      <c r="T192" s="529"/>
      <c r="U192" s="531" t="s">
        <v>1227</v>
      </c>
      <c r="V192" s="571" t="b">
        <v>1</v>
      </c>
      <c r="W192" s="571">
        <v>2</v>
      </c>
      <c r="X192" s="571">
        <v>2</v>
      </c>
      <c r="Y192" s="571" t="s">
        <v>1600</v>
      </c>
      <c r="Z192" s="529"/>
      <c r="AA192" s="571">
        <v>1</v>
      </c>
      <c r="AB192" s="571"/>
      <c r="AC192" s="571"/>
      <c r="AD192" s="571"/>
      <c r="AE192" s="571"/>
      <c r="AF192" s="571"/>
      <c r="AG192" s="571"/>
      <c r="AH192" s="571"/>
      <c r="AI192" s="571"/>
      <c r="AJ192" s="571"/>
      <c r="AK192" s="55"/>
      <c r="BH192"/>
      <c r="BL192" s="55"/>
    </row>
    <row r="193" spans="1:64" x14ac:dyDescent="0.35">
      <c r="A193" s="57" t="s">
        <v>1228</v>
      </c>
      <c r="B193" s="526" t="s">
        <v>18</v>
      </c>
      <c r="C193" s="526" t="s">
        <v>30</v>
      </c>
      <c r="D193" s="527">
        <v>6291107166247</v>
      </c>
      <c r="E193" s="528"/>
      <c r="F193" s="532" t="s">
        <v>1223</v>
      </c>
      <c r="G193" s="529" t="s">
        <v>871</v>
      </c>
      <c r="H193" s="526"/>
      <c r="I193" s="526"/>
      <c r="J193" s="526"/>
      <c r="L193" s="526"/>
      <c r="N193" s="526"/>
      <c r="O193" s="530"/>
      <c r="P193" s="530"/>
      <c r="Q193" s="530"/>
      <c r="R193" s="529"/>
      <c r="S193" s="529"/>
      <c r="T193" s="529"/>
      <c r="U193" s="531" t="s">
        <v>1228</v>
      </c>
      <c r="V193" s="571" t="b">
        <v>1</v>
      </c>
      <c r="W193" s="571">
        <v>2</v>
      </c>
      <c r="X193" s="571">
        <v>2</v>
      </c>
      <c r="Y193" s="571" t="s">
        <v>1600</v>
      </c>
      <c r="Z193" s="529"/>
      <c r="AA193" s="571">
        <v>1</v>
      </c>
      <c r="AB193" s="571"/>
      <c r="AC193" s="571"/>
      <c r="AD193" s="571"/>
      <c r="AE193" s="571"/>
      <c r="AF193" s="571"/>
      <c r="AG193" s="571"/>
      <c r="AH193" s="571"/>
      <c r="AI193" s="571"/>
      <c r="AJ193" s="571"/>
      <c r="AK193" s="55"/>
      <c r="BH193"/>
      <c r="BL193" s="55"/>
    </row>
    <row r="194" spans="1:64" x14ac:dyDescent="0.35">
      <c r="A194" s="57" t="s">
        <v>1229</v>
      </c>
      <c r="B194" s="526" t="s">
        <v>18</v>
      </c>
      <c r="C194" s="526" t="s">
        <v>30</v>
      </c>
      <c r="D194" s="527">
        <v>6291107166230</v>
      </c>
      <c r="E194" s="528"/>
      <c r="F194" s="532" t="s">
        <v>1224</v>
      </c>
      <c r="G194" s="529" t="s">
        <v>871</v>
      </c>
      <c r="H194" s="526"/>
      <c r="I194" s="526"/>
      <c r="J194" s="526"/>
      <c r="L194" s="526"/>
      <c r="N194" s="526"/>
      <c r="O194" s="530"/>
      <c r="P194" s="530"/>
      <c r="Q194" s="530"/>
      <c r="R194" s="529"/>
      <c r="S194" s="529"/>
      <c r="T194" s="529"/>
      <c r="U194" s="531" t="s">
        <v>1229</v>
      </c>
      <c r="V194" s="571" t="b">
        <v>1</v>
      </c>
      <c r="W194" s="571">
        <v>2</v>
      </c>
      <c r="X194" s="571">
        <v>2</v>
      </c>
      <c r="Y194" s="571" t="s">
        <v>1600</v>
      </c>
      <c r="Z194" s="529"/>
      <c r="AA194" s="571">
        <v>1</v>
      </c>
      <c r="AB194" s="571"/>
      <c r="AC194" s="571"/>
      <c r="AD194" s="571"/>
      <c r="AE194" s="571"/>
      <c r="AF194" s="571"/>
      <c r="AG194" s="571"/>
      <c r="AH194" s="571"/>
      <c r="AI194" s="571"/>
      <c r="AJ194" s="571"/>
      <c r="AK194" s="55"/>
      <c r="BH194"/>
      <c r="BL194" s="55"/>
    </row>
    <row r="195" spans="1:64" x14ac:dyDescent="0.35">
      <c r="A195" s="550" t="s">
        <v>1064</v>
      </c>
      <c r="B195" s="550" t="s">
        <v>1055</v>
      </c>
      <c r="C195" s="550"/>
      <c r="D195" s="551"/>
      <c r="E195" s="552"/>
      <c r="F195" s="553" t="s">
        <v>1066</v>
      </c>
      <c r="G195" s="554" t="s">
        <v>871</v>
      </c>
      <c r="H195" s="550"/>
      <c r="I195" s="550"/>
      <c r="J195" s="550"/>
      <c r="L195" s="550"/>
      <c r="N195" s="550"/>
      <c r="O195" s="555"/>
      <c r="P195" s="555"/>
      <c r="Q195" s="555"/>
      <c r="R195" s="554"/>
      <c r="S195" s="554"/>
      <c r="T195" s="554"/>
      <c r="U195" s="556"/>
      <c r="V195" s="571" t="b">
        <v>0</v>
      </c>
      <c r="W195" s="571">
        <v>1</v>
      </c>
      <c r="X195" s="571">
        <v>0</v>
      </c>
      <c r="Y195" s="571" t="s">
        <v>861</v>
      </c>
      <c r="Z195" s="554"/>
      <c r="AA195" s="571"/>
      <c r="AB195" s="571"/>
      <c r="AC195" s="571"/>
      <c r="AD195" s="571"/>
      <c r="AE195" s="571"/>
      <c r="AF195" s="571"/>
      <c r="AG195" s="571"/>
      <c r="AH195" s="571"/>
      <c r="AI195" s="571"/>
      <c r="AJ195" s="571"/>
      <c r="AK195" s="55"/>
      <c r="BH195"/>
      <c r="BL195" s="55"/>
    </row>
    <row r="196" spans="1:64" x14ac:dyDescent="0.35">
      <c r="A196" s="550" t="s">
        <v>1065</v>
      </c>
      <c r="B196" s="550" t="s">
        <v>1055</v>
      </c>
      <c r="C196" s="550"/>
      <c r="D196" s="551"/>
      <c r="E196" s="552"/>
      <c r="F196" s="553" t="s">
        <v>1067</v>
      </c>
      <c r="G196" s="554" t="s">
        <v>871</v>
      </c>
      <c r="H196" s="550"/>
      <c r="I196" s="550"/>
      <c r="J196" s="550"/>
      <c r="L196" s="550"/>
      <c r="N196" s="550"/>
      <c r="O196" s="555"/>
      <c r="P196" s="555"/>
      <c r="Q196" s="555"/>
      <c r="R196" s="554"/>
      <c r="S196" s="554"/>
      <c r="T196" s="554"/>
      <c r="U196" s="556"/>
      <c r="V196" s="571" t="b">
        <v>0</v>
      </c>
      <c r="W196" s="571">
        <v>1</v>
      </c>
      <c r="X196" s="571">
        <v>0</v>
      </c>
      <c r="Y196" s="571" t="s">
        <v>861</v>
      </c>
      <c r="Z196" s="554"/>
      <c r="AA196" s="571"/>
      <c r="AB196" s="571"/>
      <c r="AC196" s="571"/>
      <c r="AD196" s="571"/>
      <c r="AE196" s="571"/>
      <c r="AF196" s="571"/>
      <c r="AG196" s="571"/>
      <c r="AH196" s="571"/>
      <c r="AI196" s="571"/>
      <c r="AJ196" s="571"/>
      <c r="AK196" s="55"/>
      <c r="BH196"/>
      <c r="BL196" s="55"/>
    </row>
    <row r="197" spans="1:64" x14ac:dyDescent="0.35">
      <c r="A197" s="57" t="s">
        <v>1398</v>
      </c>
      <c r="B197" s="57" t="s">
        <v>1055</v>
      </c>
      <c r="C197" s="57" t="s">
        <v>30</v>
      </c>
      <c r="D197" s="558"/>
      <c r="F197" s="55" t="s">
        <v>1403</v>
      </c>
      <c r="G197" s="478" t="s">
        <v>871</v>
      </c>
      <c r="O197" s="491"/>
      <c r="P197" s="491"/>
      <c r="Q197" s="491"/>
      <c r="T197" s="56"/>
      <c r="U197" s="203"/>
      <c r="V197" s="571" t="b">
        <v>0</v>
      </c>
      <c r="W197" s="571">
        <v>1</v>
      </c>
      <c r="X197" s="571">
        <v>0</v>
      </c>
      <c r="Y197" s="571" t="s">
        <v>861</v>
      </c>
      <c r="AA197" s="571"/>
      <c r="AB197" s="571"/>
      <c r="AC197" s="571"/>
      <c r="AD197" s="571"/>
      <c r="AE197" s="571"/>
      <c r="AF197" s="571"/>
      <c r="AG197" s="571"/>
      <c r="AH197" s="571"/>
      <c r="AI197" s="571"/>
      <c r="AJ197" s="571"/>
      <c r="AK197" s="55"/>
      <c r="BH197"/>
      <c r="BL197" s="55"/>
    </row>
    <row r="198" spans="1:64" x14ac:dyDescent="0.35">
      <c r="A198" s="57" t="s">
        <v>1399</v>
      </c>
      <c r="B198" s="57" t="s">
        <v>1055</v>
      </c>
      <c r="C198" s="57" t="s">
        <v>19</v>
      </c>
      <c r="D198" s="558"/>
      <c r="F198" s="55" t="s">
        <v>1405</v>
      </c>
      <c r="G198" s="478" t="s">
        <v>871</v>
      </c>
      <c r="O198" s="491"/>
      <c r="P198" s="491"/>
      <c r="Q198" s="491"/>
      <c r="T198" s="56"/>
      <c r="U198" s="203"/>
      <c r="V198" s="571" t="b">
        <v>0</v>
      </c>
      <c r="W198" s="571">
        <v>1</v>
      </c>
      <c r="X198" s="571">
        <v>0</v>
      </c>
      <c r="Y198" s="571" t="s">
        <v>861</v>
      </c>
      <c r="AA198" s="571"/>
      <c r="AB198" s="571"/>
      <c r="AC198" s="571"/>
      <c r="AD198" s="571"/>
      <c r="AE198" s="571"/>
      <c r="AF198" s="571"/>
      <c r="AG198" s="571"/>
      <c r="AH198" s="571"/>
      <c r="AI198" s="571"/>
      <c r="AJ198" s="571"/>
      <c r="AK198" s="55"/>
      <c r="BH198"/>
      <c r="BL198" s="55"/>
    </row>
    <row r="199" spans="1:64" x14ac:dyDescent="0.35">
      <c r="A199" s="57" t="s">
        <v>1400</v>
      </c>
      <c r="B199" s="57" t="s">
        <v>1055</v>
      </c>
      <c r="C199" s="57" t="s">
        <v>30</v>
      </c>
      <c r="D199" s="558"/>
      <c r="F199" s="55" t="s">
        <v>1406</v>
      </c>
      <c r="G199" s="478" t="s">
        <v>871</v>
      </c>
      <c r="O199" s="491"/>
      <c r="P199" s="491"/>
      <c r="Q199" s="491"/>
      <c r="T199" s="56"/>
      <c r="U199" s="203"/>
      <c r="V199" s="571" t="b">
        <v>0</v>
      </c>
      <c r="W199" s="571">
        <v>1</v>
      </c>
      <c r="X199" s="571">
        <v>0</v>
      </c>
      <c r="Y199" s="571" t="s">
        <v>861</v>
      </c>
      <c r="AA199" s="571"/>
      <c r="AB199" s="571"/>
      <c r="AC199" s="571"/>
      <c r="AD199" s="571"/>
      <c r="AE199" s="571"/>
      <c r="AF199" s="571"/>
      <c r="AG199" s="571"/>
      <c r="AH199" s="571"/>
      <c r="AI199" s="571"/>
      <c r="AJ199" s="571"/>
      <c r="AK199" s="55"/>
      <c r="BH199"/>
      <c r="BL199" s="55"/>
    </row>
    <row r="200" spans="1:64" x14ac:dyDescent="0.35">
      <c r="A200" s="57" t="s">
        <v>1401</v>
      </c>
      <c r="B200" s="57" t="s">
        <v>1055</v>
      </c>
      <c r="C200" s="57" t="s">
        <v>19</v>
      </c>
      <c r="D200" s="558"/>
      <c r="F200" s="55" t="s">
        <v>1407</v>
      </c>
      <c r="G200" s="478" t="s">
        <v>871</v>
      </c>
      <c r="O200" s="491"/>
      <c r="P200" s="491"/>
      <c r="Q200" s="491"/>
      <c r="T200" s="56"/>
      <c r="U200" s="203"/>
      <c r="V200" s="571" t="b">
        <v>0</v>
      </c>
      <c r="W200" s="571">
        <v>1</v>
      </c>
      <c r="X200" s="571">
        <v>0</v>
      </c>
      <c r="Y200" s="571" t="s">
        <v>861</v>
      </c>
      <c r="AA200" s="571"/>
      <c r="AB200" s="571"/>
      <c r="AC200" s="571"/>
      <c r="AD200" s="571"/>
      <c r="AE200" s="571"/>
      <c r="AF200" s="571"/>
      <c r="AG200" s="571"/>
      <c r="AH200" s="571"/>
      <c r="AI200" s="571"/>
      <c r="AJ200" s="571"/>
      <c r="AK200" s="55"/>
      <c r="BH200"/>
      <c r="BL200" s="55"/>
    </row>
    <row r="201" spans="1:64" x14ac:dyDescent="0.35">
      <c r="A201" s="57" t="s">
        <v>1402</v>
      </c>
      <c r="B201" s="57" t="s">
        <v>1055</v>
      </c>
      <c r="C201" s="57" t="s">
        <v>30</v>
      </c>
      <c r="D201" s="558"/>
      <c r="F201" s="55" t="s">
        <v>1408</v>
      </c>
      <c r="G201" s="478" t="s">
        <v>871</v>
      </c>
      <c r="O201" s="491"/>
      <c r="P201" s="491"/>
      <c r="Q201" s="491"/>
      <c r="T201" s="56"/>
      <c r="U201" s="203"/>
      <c r="V201" s="571" t="b">
        <v>0</v>
      </c>
      <c r="W201" s="571">
        <v>1</v>
      </c>
      <c r="X201" s="571">
        <v>0</v>
      </c>
      <c r="Y201" s="571" t="s">
        <v>861</v>
      </c>
      <c r="AA201" s="571"/>
      <c r="AB201" s="571"/>
      <c r="AC201" s="571"/>
      <c r="AD201" s="571"/>
      <c r="AE201" s="571"/>
      <c r="AF201" s="571"/>
      <c r="AG201" s="571"/>
      <c r="AH201" s="571"/>
      <c r="AI201" s="571"/>
      <c r="AJ201" s="571"/>
      <c r="AK201" s="55"/>
      <c r="BH201"/>
      <c r="BL201" s="55"/>
    </row>
    <row r="202" spans="1:64" x14ac:dyDescent="0.35">
      <c r="A202" s="474" t="s">
        <v>766</v>
      </c>
      <c r="B202" s="474" t="s">
        <v>870</v>
      </c>
      <c r="C202" s="474" t="s">
        <v>19</v>
      </c>
      <c r="D202" s="475" t="s">
        <v>883</v>
      </c>
      <c r="E202" s="476" t="s">
        <v>992</v>
      </c>
      <c r="F202" s="477" t="s">
        <v>804</v>
      </c>
      <c r="G202" s="478" t="s">
        <v>871</v>
      </c>
      <c r="H202" s="474">
        <v>100</v>
      </c>
      <c r="I202" s="474"/>
      <c r="J202" s="474"/>
      <c r="L202" s="474"/>
      <c r="N202" s="474"/>
      <c r="O202" s="479"/>
      <c r="P202" s="479"/>
      <c r="Q202" s="479"/>
      <c r="R202" s="478">
        <v>3.75</v>
      </c>
      <c r="S202" s="478">
        <v>4.4119999999999999</v>
      </c>
      <c r="T202" s="478" t="s">
        <v>278</v>
      </c>
      <c r="U202" s="478" t="s">
        <v>766</v>
      </c>
      <c r="V202" s="571" t="b">
        <v>0</v>
      </c>
      <c r="W202" s="571">
        <v>1</v>
      </c>
      <c r="X202" s="571">
        <v>0</v>
      </c>
      <c r="Y202" s="571" t="s">
        <v>861</v>
      </c>
      <c r="Z202" s="478"/>
      <c r="AA202" s="571"/>
      <c r="AB202" s="571"/>
      <c r="AC202" s="571"/>
      <c r="AD202" s="571"/>
      <c r="AE202" s="571"/>
      <c r="AF202" s="571"/>
      <c r="AG202" s="571"/>
      <c r="AH202" s="571"/>
      <c r="AI202" s="571"/>
      <c r="AJ202" s="571"/>
      <c r="AK202" s="55"/>
      <c r="BH202"/>
      <c r="BL202" s="55"/>
    </row>
    <row r="203" spans="1:64" x14ac:dyDescent="0.35">
      <c r="A203" s="474" t="s">
        <v>767</v>
      </c>
      <c r="B203" s="474" t="s">
        <v>870</v>
      </c>
      <c r="C203" s="474" t="s">
        <v>19</v>
      </c>
      <c r="D203" s="475" t="s">
        <v>884</v>
      </c>
      <c r="E203" s="476" t="s">
        <v>992</v>
      </c>
      <c r="F203" s="477" t="s">
        <v>805</v>
      </c>
      <c r="G203" s="478" t="s">
        <v>871</v>
      </c>
      <c r="H203" s="474">
        <v>100</v>
      </c>
      <c r="I203" s="474"/>
      <c r="J203" s="474"/>
      <c r="L203" s="474"/>
      <c r="N203" s="474"/>
      <c r="O203" s="479"/>
      <c r="P203" s="479"/>
      <c r="Q203" s="479"/>
      <c r="R203" s="478">
        <v>3.75</v>
      </c>
      <c r="S203" s="478">
        <v>4.4119999999999999</v>
      </c>
      <c r="T203" s="478" t="s">
        <v>278</v>
      </c>
      <c r="U203" s="478" t="s">
        <v>767</v>
      </c>
      <c r="V203" s="571" t="b">
        <v>0</v>
      </c>
      <c r="W203" s="571">
        <v>1</v>
      </c>
      <c r="X203" s="571">
        <v>0</v>
      </c>
      <c r="Y203" s="571" t="s">
        <v>861</v>
      </c>
      <c r="Z203" s="478"/>
      <c r="AA203" s="571"/>
      <c r="AB203" s="571"/>
      <c r="AC203" s="571"/>
      <c r="AD203" s="571"/>
      <c r="AE203" s="571"/>
      <c r="AF203" s="571"/>
      <c r="AG203" s="571"/>
      <c r="AH203" s="571"/>
      <c r="AI203" s="571"/>
      <c r="AJ203" s="571"/>
      <c r="AK203" s="55"/>
      <c r="BH203"/>
      <c r="BL203" s="55"/>
    </row>
    <row r="204" spans="1:64" x14ac:dyDescent="0.35">
      <c r="A204" s="474" t="s">
        <v>768</v>
      </c>
      <c r="B204" s="474" t="s">
        <v>870</v>
      </c>
      <c r="C204" s="474" t="s">
        <v>19</v>
      </c>
      <c r="D204" s="475" t="s">
        <v>885</v>
      </c>
      <c r="E204" s="476" t="s">
        <v>992</v>
      </c>
      <c r="F204" s="477" t="s">
        <v>806</v>
      </c>
      <c r="G204" s="478" t="s">
        <v>871</v>
      </c>
      <c r="H204" s="474">
        <v>100</v>
      </c>
      <c r="I204" s="474"/>
      <c r="J204" s="474"/>
      <c r="L204" s="474"/>
      <c r="N204" s="474"/>
      <c r="O204" s="479"/>
      <c r="P204" s="479"/>
      <c r="Q204" s="479"/>
      <c r="R204" s="478">
        <v>3.75</v>
      </c>
      <c r="S204" s="478">
        <v>4.4119999999999999</v>
      </c>
      <c r="T204" s="478" t="s">
        <v>278</v>
      </c>
      <c r="U204" s="478" t="s">
        <v>768</v>
      </c>
      <c r="V204" s="571" t="b">
        <v>0</v>
      </c>
      <c r="W204" s="571">
        <v>1</v>
      </c>
      <c r="X204" s="571">
        <v>0</v>
      </c>
      <c r="Y204" s="571" t="s">
        <v>861</v>
      </c>
      <c r="Z204" s="478"/>
      <c r="AA204" s="571"/>
      <c r="AB204" s="571"/>
      <c r="AC204" s="571"/>
      <c r="AD204" s="571"/>
      <c r="AE204" s="571"/>
      <c r="AF204" s="571"/>
      <c r="AG204" s="571"/>
      <c r="AH204" s="571"/>
      <c r="AI204" s="571"/>
      <c r="AJ204" s="571"/>
      <c r="AK204" s="55"/>
      <c r="BH204"/>
      <c r="BL204" s="55"/>
    </row>
    <row r="205" spans="1:64" x14ac:dyDescent="0.35">
      <c r="A205" s="474" t="s">
        <v>769</v>
      </c>
      <c r="B205" s="474" t="s">
        <v>870</v>
      </c>
      <c r="C205" s="474" t="s">
        <v>19</v>
      </c>
      <c r="D205" s="475" t="s">
        <v>886</v>
      </c>
      <c r="E205" s="476" t="s">
        <v>992</v>
      </c>
      <c r="F205" s="477" t="s">
        <v>807</v>
      </c>
      <c r="G205" s="478" t="s">
        <v>871</v>
      </c>
      <c r="H205" s="474">
        <v>100</v>
      </c>
      <c r="I205" s="474"/>
      <c r="J205" s="474"/>
      <c r="L205" s="474"/>
      <c r="N205" s="474"/>
      <c r="O205" s="479"/>
      <c r="P205" s="479"/>
      <c r="Q205" s="479"/>
      <c r="R205" s="478">
        <v>3.75</v>
      </c>
      <c r="S205" s="478">
        <v>4.4119999999999999</v>
      </c>
      <c r="T205" s="478" t="s">
        <v>278</v>
      </c>
      <c r="U205" s="478" t="s">
        <v>769</v>
      </c>
      <c r="V205" s="571" t="b">
        <v>0</v>
      </c>
      <c r="W205" s="571">
        <v>1</v>
      </c>
      <c r="X205" s="571">
        <v>0</v>
      </c>
      <c r="Y205" s="571" t="s">
        <v>861</v>
      </c>
      <c r="Z205" s="478"/>
      <c r="AA205" s="571"/>
      <c r="AB205" s="571"/>
      <c r="AC205" s="571"/>
      <c r="AD205" s="571"/>
      <c r="AE205" s="571"/>
      <c r="AF205" s="571"/>
      <c r="AG205" s="571"/>
      <c r="AH205" s="571"/>
      <c r="AI205" s="571"/>
      <c r="AJ205" s="571"/>
      <c r="AK205" s="55"/>
      <c r="BH205"/>
      <c r="BL205" s="55"/>
    </row>
    <row r="206" spans="1:64" x14ac:dyDescent="0.35">
      <c r="A206" s="474" t="s">
        <v>770</v>
      </c>
      <c r="B206" s="474" t="s">
        <v>870</v>
      </c>
      <c r="C206" s="474" t="s">
        <v>19</v>
      </c>
      <c r="D206" s="475" t="s">
        <v>887</v>
      </c>
      <c r="E206" s="476" t="s">
        <v>992</v>
      </c>
      <c r="F206" s="477" t="s">
        <v>808</v>
      </c>
      <c r="G206" s="478" t="s">
        <v>871</v>
      </c>
      <c r="H206" s="474">
        <v>100</v>
      </c>
      <c r="I206" s="474"/>
      <c r="J206" s="474"/>
      <c r="L206" s="474"/>
      <c r="N206" s="474"/>
      <c r="O206" s="479"/>
      <c r="P206" s="479"/>
      <c r="Q206" s="479"/>
      <c r="R206" s="478">
        <v>3.75</v>
      </c>
      <c r="S206" s="478">
        <v>4.4119999999999999</v>
      </c>
      <c r="T206" s="478" t="s">
        <v>278</v>
      </c>
      <c r="U206" s="478" t="s">
        <v>770</v>
      </c>
      <c r="V206" s="571" t="b">
        <v>0</v>
      </c>
      <c r="W206" s="571">
        <v>1</v>
      </c>
      <c r="X206" s="571">
        <v>0</v>
      </c>
      <c r="Y206" s="571" t="s">
        <v>861</v>
      </c>
      <c r="Z206" s="478"/>
      <c r="AA206" s="571"/>
      <c r="AB206" s="571"/>
      <c r="AC206" s="571"/>
      <c r="AD206" s="571"/>
      <c r="AE206" s="571"/>
      <c r="AF206" s="571"/>
      <c r="AG206" s="571"/>
      <c r="AH206" s="571"/>
      <c r="AI206" s="571"/>
      <c r="AJ206" s="571"/>
      <c r="AK206" s="55"/>
      <c r="BH206"/>
      <c r="BL206" s="55"/>
    </row>
    <row r="207" spans="1:64" x14ac:dyDescent="0.35">
      <c r="A207" s="474" t="s">
        <v>771</v>
      </c>
      <c r="B207" s="474" t="s">
        <v>870</v>
      </c>
      <c r="C207" s="474" t="s">
        <v>19</v>
      </c>
      <c r="D207" s="475" t="s">
        <v>888</v>
      </c>
      <c r="E207" s="476" t="s">
        <v>992</v>
      </c>
      <c r="F207" s="477" t="s">
        <v>809</v>
      </c>
      <c r="G207" s="478" t="s">
        <v>871</v>
      </c>
      <c r="H207" s="474">
        <v>100</v>
      </c>
      <c r="I207" s="474"/>
      <c r="J207" s="474"/>
      <c r="L207" s="474"/>
      <c r="N207" s="474"/>
      <c r="O207" s="479"/>
      <c r="P207" s="479"/>
      <c r="Q207" s="479"/>
      <c r="R207" s="478">
        <v>3.75</v>
      </c>
      <c r="S207" s="478">
        <v>4.4119999999999999</v>
      </c>
      <c r="T207" s="478" t="s">
        <v>278</v>
      </c>
      <c r="U207" s="478" t="s">
        <v>771</v>
      </c>
      <c r="V207" s="571" t="b">
        <v>0</v>
      </c>
      <c r="W207" s="571">
        <v>1</v>
      </c>
      <c r="X207" s="571">
        <v>0</v>
      </c>
      <c r="Y207" s="571" t="s">
        <v>861</v>
      </c>
      <c r="Z207" s="478"/>
      <c r="AA207" s="571"/>
      <c r="AB207" s="571"/>
      <c r="AC207" s="571"/>
      <c r="AD207" s="571"/>
      <c r="AE207" s="571"/>
      <c r="AF207" s="571"/>
      <c r="AG207" s="571"/>
      <c r="AH207" s="571"/>
      <c r="AI207" s="571"/>
      <c r="AJ207" s="571"/>
      <c r="AK207" s="55"/>
      <c r="BH207"/>
      <c r="BL207" s="55"/>
    </row>
    <row r="208" spans="1:64" x14ac:dyDescent="0.35">
      <c r="A208" s="474" t="s">
        <v>772</v>
      </c>
      <c r="B208" s="474" t="s">
        <v>870</v>
      </c>
      <c r="C208" s="474" t="s">
        <v>19</v>
      </c>
      <c r="D208" s="475" t="s">
        <v>889</v>
      </c>
      <c r="E208" s="476" t="s">
        <v>992</v>
      </c>
      <c r="F208" s="477" t="s">
        <v>810</v>
      </c>
      <c r="G208" s="478" t="s">
        <v>871</v>
      </c>
      <c r="H208" s="474">
        <v>100</v>
      </c>
      <c r="I208" s="474"/>
      <c r="J208" s="474"/>
      <c r="L208" s="474"/>
      <c r="N208" s="474"/>
      <c r="O208" s="479"/>
      <c r="P208" s="479"/>
      <c r="Q208" s="479"/>
      <c r="R208" s="478">
        <v>3.75</v>
      </c>
      <c r="S208" s="478">
        <v>4.4119999999999999</v>
      </c>
      <c r="T208" s="478" t="s">
        <v>278</v>
      </c>
      <c r="U208" s="478" t="s">
        <v>772</v>
      </c>
      <c r="V208" s="571" t="b">
        <v>0</v>
      </c>
      <c r="W208" s="571">
        <v>1</v>
      </c>
      <c r="X208" s="571">
        <v>0</v>
      </c>
      <c r="Y208" s="571" t="s">
        <v>861</v>
      </c>
      <c r="Z208" s="478"/>
      <c r="AA208" s="571"/>
      <c r="AB208" s="571"/>
      <c r="AC208" s="571"/>
      <c r="AD208" s="571"/>
      <c r="AE208" s="571"/>
      <c r="AF208" s="571"/>
      <c r="AG208" s="571"/>
      <c r="AH208" s="571"/>
      <c r="AI208" s="571"/>
      <c r="AJ208" s="571"/>
      <c r="AK208" s="55"/>
      <c r="BH208"/>
      <c r="BL208" s="55"/>
    </row>
    <row r="209" spans="1:64" x14ac:dyDescent="0.35">
      <c r="A209" s="474" t="s">
        <v>773</v>
      </c>
      <c r="B209" s="474" t="s">
        <v>870</v>
      </c>
      <c r="C209" s="474" t="s">
        <v>19</v>
      </c>
      <c r="D209" s="475" t="s">
        <v>890</v>
      </c>
      <c r="E209" s="476" t="s">
        <v>992</v>
      </c>
      <c r="F209" s="477" t="s">
        <v>811</v>
      </c>
      <c r="G209" s="478" t="s">
        <v>871</v>
      </c>
      <c r="H209" s="474">
        <v>100</v>
      </c>
      <c r="I209" s="474"/>
      <c r="J209" s="474"/>
      <c r="L209" s="474"/>
      <c r="N209" s="474"/>
      <c r="O209" s="479"/>
      <c r="P209" s="479"/>
      <c r="Q209" s="479"/>
      <c r="R209" s="478">
        <v>3.75</v>
      </c>
      <c r="S209" s="478">
        <v>4.4119999999999999</v>
      </c>
      <c r="T209" s="478" t="s">
        <v>278</v>
      </c>
      <c r="U209" s="478" t="s">
        <v>773</v>
      </c>
      <c r="V209" s="571" t="b">
        <v>0</v>
      </c>
      <c r="W209" s="571">
        <v>1</v>
      </c>
      <c r="X209" s="571">
        <v>0</v>
      </c>
      <c r="Y209" s="571" t="s">
        <v>861</v>
      </c>
      <c r="Z209" s="478"/>
      <c r="AA209" s="571"/>
      <c r="AB209" s="571"/>
      <c r="AC209" s="571"/>
      <c r="AD209" s="571"/>
      <c r="AE209" s="571"/>
      <c r="AF209" s="571"/>
      <c r="AG209" s="571"/>
      <c r="AH209" s="571"/>
      <c r="AI209" s="571"/>
      <c r="AJ209" s="571"/>
      <c r="AK209" s="55"/>
      <c r="BH209"/>
      <c r="BL209" s="55"/>
    </row>
    <row r="210" spans="1:64" x14ac:dyDescent="0.35">
      <c r="A210" s="474" t="s">
        <v>774</v>
      </c>
      <c r="B210" s="474" t="s">
        <v>870</v>
      </c>
      <c r="C210" s="474" t="s">
        <v>19</v>
      </c>
      <c r="D210" s="475" t="s">
        <v>891</v>
      </c>
      <c r="E210" s="476" t="s">
        <v>992</v>
      </c>
      <c r="F210" s="477" t="s">
        <v>812</v>
      </c>
      <c r="G210" s="478" t="s">
        <v>871</v>
      </c>
      <c r="H210" s="474">
        <v>100</v>
      </c>
      <c r="I210" s="474"/>
      <c r="J210" s="474"/>
      <c r="L210" s="474"/>
      <c r="N210" s="474"/>
      <c r="O210" s="479"/>
      <c r="P210" s="479"/>
      <c r="Q210" s="479"/>
      <c r="R210" s="478">
        <v>3.75</v>
      </c>
      <c r="S210" s="478">
        <v>4.4119999999999999</v>
      </c>
      <c r="T210" s="478" t="s">
        <v>278</v>
      </c>
      <c r="U210" s="478" t="s">
        <v>774</v>
      </c>
      <c r="V210" s="571" t="b">
        <v>0</v>
      </c>
      <c r="W210" s="571">
        <v>1</v>
      </c>
      <c r="X210" s="571">
        <v>0</v>
      </c>
      <c r="Y210" s="571" t="s">
        <v>861</v>
      </c>
      <c r="Z210" s="478"/>
      <c r="AA210" s="571"/>
      <c r="AB210" s="571"/>
      <c r="AC210" s="571"/>
      <c r="AD210" s="571"/>
      <c r="AE210" s="571"/>
      <c r="AF210" s="571"/>
      <c r="AG210" s="571"/>
      <c r="AH210" s="571"/>
      <c r="AI210" s="571"/>
      <c r="AJ210" s="571"/>
      <c r="AK210" s="55"/>
      <c r="BH210"/>
      <c r="BL210" s="55"/>
    </row>
    <row r="211" spans="1:64" x14ac:dyDescent="0.35">
      <c r="A211" s="474" t="s">
        <v>775</v>
      </c>
      <c r="B211" s="474" t="s">
        <v>870</v>
      </c>
      <c r="C211" s="474" t="s">
        <v>19</v>
      </c>
      <c r="D211" s="475" t="s">
        <v>892</v>
      </c>
      <c r="E211" s="476" t="s">
        <v>992</v>
      </c>
      <c r="F211" s="477" t="s">
        <v>813</v>
      </c>
      <c r="G211" s="478" t="s">
        <v>871</v>
      </c>
      <c r="H211" s="474">
        <v>100</v>
      </c>
      <c r="I211" s="474"/>
      <c r="J211" s="474"/>
      <c r="L211" s="474"/>
      <c r="N211" s="474"/>
      <c r="O211" s="479"/>
      <c r="P211" s="479"/>
      <c r="Q211" s="479"/>
      <c r="R211" s="478">
        <v>3.75</v>
      </c>
      <c r="S211" s="478">
        <v>4.4119999999999999</v>
      </c>
      <c r="T211" s="478" t="s">
        <v>278</v>
      </c>
      <c r="U211" s="478" t="s">
        <v>775</v>
      </c>
      <c r="V211" s="571" t="b">
        <v>0</v>
      </c>
      <c r="W211" s="571">
        <v>1</v>
      </c>
      <c r="X211" s="571">
        <v>0</v>
      </c>
      <c r="Y211" s="571" t="s">
        <v>861</v>
      </c>
      <c r="Z211" s="478"/>
      <c r="AA211" s="571"/>
      <c r="AB211" s="571"/>
      <c r="AC211" s="571"/>
      <c r="AD211" s="571"/>
      <c r="AE211" s="571"/>
      <c r="AF211" s="571"/>
      <c r="AG211" s="571"/>
      <c r="AH211" s="571"/>
      <c r="AI211" s="571"/>
      <c r="AJ211" s="571"/>
      <c r="AK211" s="55"/>
      <c r="BH211"/>
      <c r="BL211" s="55"/>
    </row>
    <row r="212" spans="1:64" x14ac:dyDescent="0.35">
      <c r="A212" s="474" t="s">
        <v>776</v>
      </c>
      <c r="B212" s="474" t="s">
        <v>870</v>
      </c>
      <c r="C212" s="474" t="s">
        <v>19</v>
      </c>
      <c r="D212" s="475" t="s">
        <v>893</v>
      </c>
      <c r="E212" s="476" t="s">
        <v>992</v>
      </c>
      <c r="F212" s="477" t="s">
        <v>814</v>
      </c>
      <c r="G212" s="478" t="s">
        <v>871</v>
      </c>
      <c r="H212" s="474">
        <v>100</v>
      </c>
      <c r="I212" s="474"/>
      <c r="J212" s="474"/>
      <c r="L212" s="474"/>
      <c r="N212" s="474"/>
      <c r="O212" s="479"/>
      <c r="P212" s="479"/>
      <c r="Q212" s="479"/>
      <c r="R212" s="478">
        <v>3.75</v>
      </c>
      <c r="S212" s="478">
        <v>4.4119999999999999</v>
      </c>
      <c r="T212" s="478" t="s">
        <v>278</v>
      </c>
      <c r="U212" s="478" t="s">
        <v>776</v>
      </c>
      <c r="V212" s="571" t="b">
        <v>0</v>
      </c>
      <c r="W212" s="571">
        <v>1</v>
      </c>
      <c r="X212" s="571">
        <v>0</v>
      </c>
      <c r="Y212" s="571" t="s">
        <v>861</v>
      </c>
      <c r="Z212" s="478"/>
      <c r="AA212" s="571"/>
      <c r="AB212" s="571"/>
      <c r="AC212" s="571"/>
      <c r="AD212" s="571"/>
      <c r="AE212" s="571"/>
      <c r="AF212" s="571"/>
      <c r="AG212" s="571"/>
      <c r="AH212" s="571"/>
      <c r="AI212" s="571"/>
      <c r="AJ212" s="571"/>
      <c r="AK212" s="55"/>
      <c r="BH212"/>
      <c r="BL212" s="55"/>
    </row>
    <row r="213" spans="1:64" x14ac:dyDescent="0.35">
      <c r="A213" s="474" t="s">
        <v>777</v>
      </c>
      <c r="B213" s="474" t="s">
        <v>870</v>
      </c>
      <c r="C213" s="474" t="s">
        <v>19</v>
      </c>
      <c r="D213" s="475" t="s">
        <v>894</v>
      </c>
      <c r="E213" s="476" t="s">
        <v>992</v>
      </c>
      <c r="F213" s="477" t="s">
        <v>815</v>
      </c>
      <c r="G213" s="478" t="s">
        <v>871</v>
      </c>
      <c r="H213" s="474">
        <v>100</v>
      </c>
      <c r="I213" s="474"/>
      <c r="J213" s="474"/>
      <c r="L213" s="474"/>
      <c r="N213" s="474"/>
      <c r="O213" s="479"/>
      <c r="P213" s="479"/>
      <c r="Q213" s="479"/>
      <c r="R213" s="478">
        <v>3.75</v>
      </c>
      <c r="S213" s="478">
        <v>4.4119999999999999</v>
      </c>
      <c r="T213" s="478" t="s">
        <v>278</v>
      </c>
      <c r="U213" s="478" t="s">
        <v>777</v>
      </c>
      <c r="V213" s="571" t="b">
        <v>0</v>
      </c>
      <c r="W213" s="571">
        <v>1</v>
      </c>
      <c r="X213" s="571">
        <v>0</v>
      </c>
      <c r="Y213" s="571" t="s">
        <v>861</v>
      </c>
      <c r="Z213" s="478"/>
      <c r="AA213" s="571"/>
      <c r="AB213" s="571"/>
      <c r="AC213" s="571"/>
      <c r="AD213" s="571"/>
      <c r="AE213" s="571"/>
      <c r="AF213" s="571"/>
      <c r="AG213" s="571"/>
      <c r="AH213" s="571"/>
      <c r="AI213" s="571"/>
      <c r="AJ213" s="571"/>
      <c r="AK213" s="55"/>
      <c r="BH213"/>
      <c r="BL213" s="55"/>
    </row>
    <row r="214" spans="1:64" x14ac:dyDescent="0.35">
      <c r="A214" s="474" t="s">
        <v>778</v>
      </c>
      <c r="B214" s="474" t="s">
        <v>870</v>
      </c>
      <c r="C214" s="474" t="s">
        <v>19</v>
      </c>
      <c r="D214" s="475" t="s">
        <v>895</v>
      </c>
      <c r="E214" s="476" t="s">
        <v>992</v>
      </c>
      <c r="F214" s="477" t="s">
        <v>816</v>
      </c>
      <c r="G214" s="478" t="s">
        <v>871</v>
      </c>
      <c r="H214" s="474">
        <v>100</v>
      </c>
      <c r="I214" s="474"/>
      <c r="J214" s="474"/>
      <c r="L214" s="474"/>
      <c r="N214" s="474"/>
      <c r="O214" s="479"/>
      <c r="P214" s="479"/>
      <c r="Q214" s="479"/>
      <c r="R214" s="478">
        <v>3.75</v>
      </c>
      <c r="S214" s="478">
        <v>4.4119999999999999</v>
      </c>
      <c r="T214" s="478" t="s">
        <v>278</v>
      </c>
      <c r="U214" s="478" t="s">
        <v>778</v>
      </c>
      <c r="V214" s="571" t="b">
        <v>0</v>
      </c>
      <c r="W214" s="571">
        <v>1</v>
      </c>
      <c r="X214" s="571">
        <v>0</v>
      </c>
      <c r="Y214" s="571" t="s">
        <v>861</v>
      </c>
      <c r="Z214" s="478"/>
      <c r="AA214" s="571"/>
      <c r="AB214" s="571"/>
      <c r="AC214" s="571"/>
      <c r="AD214" s="571"/>
      <c r="AE214" s="571"/>
      <c r="AF214" s="571"/>
      <c r="AG214" s="571"/>
      <c r="AH214" s="571"/>
      <c r="AI214" s="571"/>
      <c r="AJ214" s="571"/>
      <c r="AK214" s="55"/>
      <c r="BH214"/>
      <c r="BL214" s="55"/>
    </row>
    <row r="215" spans="1:64" x14ac:dyDescent="0.35">
      <c r="A215" s="474" t="s">
        <v>779</v>
      </c>
      <c r="B215" s="474" t="s">
        <v>870</v>
      </c>
      <c r="C215" s="474" t="s">
        <v>19</v>
      </c>
      <c r="D215" s="475" t="s">
        <v>896</v>
      </c>
      <c r="E215" s="476" t="s">
        <v>992</v>
      </c>
      <c r="F215" s="477" t="s">
        <v>817</v>
      </c>
      <c r="G215" s="478" t="s">
        <v>871</v>
      </c>
      <c r="H215" s="474">
        <v>100</v>
      </c>
      <c r="I215" s="474"/>
      <c r="J215" s="474"/>
      <c r="L215" s="474"/>
      <c r="N215" s="474"/>
      <c r="O215" s="479"/>
      <c r="P215" s="479"/>
      <c r="Q215" s="479"/>
      <c r="R215" s="478">
        <v>3.75</v>
      </c>
      <c r="S215" s="478">
        <v>4.4119999999999999</v>
      </c>
      <c r="T215" s="478" t="s">
        <v>278</v>
      </c>
      <c r="U215" s="478" t="s">
        <v>779</v>
      </c>
      <c r="V215" s="571" t="b">
        <v>0</v>
      </c>
      <c r="W215" s="571">
        <v>1</v>
      </c>
      <c r="X215" s="571">
        <v>0</v>
      </c>
      <c r="Y215" s="571" t="s">
        <v>861</v>
      </c>
      <c r="Z215" s="478"/>
      <c r="AA215" s="571"/>
      <c r="AB215" s="571"/>
      <c r="AC215" s="571"/>
      <c r="AD215" s="571"/>
      <c r="AE215" s="571"/>
      <c r="AF215" s="571"/>
      <c r="AG215" s="571"/>
      <c r="AH215" s="571"/>
      <c r="AI215" s="571"/>
      <c r="AJ215" s="571"/>
      <c r="AK215" s="55"/>
      <c r="BH215"/>
      <c r="BL215" s="55"/>
    </row>
    <row r="216" spans="1:64" x14ac:dyDescent="0.35">
      <c r="A216" s="474" t="s">
        <v>780</v>
      </c>
      <c r="B216" s="474" t="s">
        <v>870</v>
      </c>
      <c r="C216" s="474" t="s">
        <v>19</v>
      </c>
      <c r="D216" s="475" t="s">
        <v>897</v>
      </c>
      <c r="E216" s="476" t="s">
        <v>992</v>
      </c>
      <c r="F216" s="477" t="s">
        <v>818</v>
      </c>
      <c r="G216" s="478" t="s">
        <v>871</v>
      </c>
      <c r="H216" s="474">
        <v>100</v>
      </c>
      <c r="I216" s="474"/>
      <c r="J216" s="474"/>
      <c r="L216" s="474"/>
      <c r="N216" s="474"/>
      <c r="O216" s="479"/>
      <c r="P216" s="479"/>
      <c r="Q216" s="479"/>
      <c r="R216" s="478">
        <v>3.75</v>
      </c>
      <c r="S216" s="478">
        <v>4.4119999999999999</v>
      </c>
      <c r="T216" s="478" t="s">
        <v>278</v>
      </c>
      <c r="U216" s="478" t="s">
        <v>780</v>
      </c>
      <c r="V216" s="571" t="b">
        <v>0</v>
      </c>
      <c r="W216" s="571">
        <v>1</v>
      </c>
      <c r="X216" s="571">
        <v>0</v>
      </c>
      <c r="Y216" s="571" t="s">
        <v>861</v>
      </c>
      <c r="Z216" s="478"/>
      <c r="AA216" s="571"/>
      <c r="AB216" s="571"/>
      <c r="AC216" s="571"/>
      <c r="AD216" s="571"/>
      <c r="AE216" s="571"/>
      <c r="AF216" s="571"/>
      <c r="AG216" s="571"/>
      <c r="AH216" s="571"/>
      <c r="AI216" s="571"/>
      <c r="AJ216" s="571"/>
      <c r="AK216" s="55"/>
      <c r="BH216"/>
      <c r="BL216" s="55"/>
    </row>
    <row r="217" spans="1:64" x14ac:dyDescent="0.35">
      <c r="A217" s="474" t="s">
        <v>781</v>
      </c>
      <c r="B217" s="474" t="s">
        <v>870</v>
      </c>
      <c r="C217" s="474" t="s">
        <v>19</v>
      </c>
      <c r="D217" s="475" t="s">
        <v>898</v>
      </c>
      <c r="E217" s="476" t="s">
        <v>992</v>
      </c>
      <c r="F217" s="477" t="s">
        <v>819</v>
      </c>
      <c r="G217" s="478" t="s">
        <v>871</v>
      </c>
      <c r="H217" s="474">
        <v>100</v>
      </c>
      <c r="I217" s="474"/>
      <c r="J217" s="474"/>
      <c r="L217" s="474"/>
      <c r="N217" s="474"/>
      <c r="O217" s="479"/>
      <c r="P217" s="479"/>
      <c r="Q217" s="479"/>
      <c r="R217" s="478">
        <v>3.75</v>
      </c>
      <c r="S217" s="478">
        <v>4.4119999999999999</v>
      </c>
      <c r="T217" s="478" t="s">
        <v>278</v>
      </c>
      <c r="U217" s="478" t="s">
        <v>781</v>
      </c>
      <c r="V217" s="571" t="b">
        <v>0</v>
      </c>
      <c r="W217" s="571">
        <v>1</v>
      </c>
      <c r="X217" s="571">
        <v>0</v>
      </c>
      <c r="Y217" s="571" t="s">
        <v>861</v>
      </c>
      <c r="Z217" s="478"/>
      <c r="AA217" s="571"/>
      <c r="AB217" s="571"/>
      <c r="AC217" s="571"/>
      <c r="AD217" s="571"/>
      <c r="AE217" s="571"/>
      <c r="AF217" s="571"/>
      <c r="AG217" s="571"/>
      <c r="AH217" s="571"/>
      <c r="AI217" s="571"/>
      <c r="AJ217" s="571"/>
      <c r="AK217" s="55"/>
      <c r="BH217"/>
      <c r="BL217" s="55"/>
    </row>
    <row r="218" spans="1:64" x14ac:dyDescent="0.35">
      <c r="A218" s="474" t="s">
        <v>782</v>
      </c>
      <c r="B218" s="474" t="s">
        <v>870</v>
      </c>
      <c r="C218" s="474" t="s">
        <v>19</v>
      </c>
      <c r="D218" s="475" t="s">
        <v>899</v>
      </c>
      <c r="E218" s="476" t="s">
        <v>992</v>
      </c>
      <c r="F218" s="477" t="s">
        <v>820</v>
      </c>
      <c r="G218" s="478" t="s">
        <v>871</v>
      </c>
      <c r="H218" s="474">
        <v>100</v>
      </c>
      <c r="I218" s="474"/>
      <c r="J218" s="474"/>
      <c r="L218" s="474"/>
      <c r="N218" s="474"/>
      <c r="O218" s="479"/>
      <c r="P218" s="479"/>
      <c r="Q218" s="479"/>
      <c r="R218" s="478">
        <v>3.75</v>
      </c>
      <c r="S218" s="478">
        <v>4.4119999999999999</v>
      </c>
      <c r="T218" s="478" t="s">
        <v>278</v>
      </c>
      <c r="U218" s="478" t="s">
        <v>782</v>
      </c>
      <c r="V218" s="571" t="b">
        <v>0</v>
      </c>
      <c r="W218" s="571">
        <v>1</v>
      </c>
      <c r="X218" s="571">
        <v>0</v>
      </c>
      <c r="Y218" s="571" t="s">
        <v>861</v>
      </c>
      <c r="Z218" s="478"/>
      <c r="AA218" s="571"/>
      <c r="AB218" s="571"/>
      <c r="AC218" s="571"/>
      <c r="AD218" s="571"/>
      <c r="AE218" s="571"/>
      <c r="AF218" s="571"/>
      <c r="AG218" s="571"/>
      <c r="AH218" s="571"/>
      <c r="AI218" s="571"/>
      <c r="AJ218" s="571"/>
      <c r="AK218" s="55"/>
      <c r="BH218"/>
      <c r="BL218" s="55"/>
    </row>
    <row r="219" spans="1:64" x14ac:dyDescent="0.35">
      <c r="A219" s="474" t="s">
        <v>783</v>
      </c>
      <c r="B219" s="474" t="s">
        <v>870</v>
      </c>
      <c r="C219" s="474" t="s">
        <v>19</v>
      </c>
      <c r="D219" s="475" t="s">
        <v>900</v>
      </c>
      <c r="E219" s="476" t="s">
        <v>992</v>
      </c>
      <c r="F219" s="477" t="s">
        <v>821</v>
      </c>
      <c r="G219" s="478" t="s">
        <v>871</v>
      </c>
      <c r="H219" s="474">
        <v>100</v>
      </c>
      <c r="I219" s="474"/>
      <c r="J219" s="474"/>
      <c r="L219" s="474"/>
      <c r="N219" s="474"/>
      <c r="O219" s="479"/>
      <c r="P219" s="479"/>
      <c r="Q219" s="479"/>
      <c r="R219" s="478">
        <v>3.75</v>
      </c>
      <c r="S219" s="478">
        <v>4.4119999999999999</v>
      </c>
      <c r="T219" s="478" t="s">
        <v>278</v>
      </c>
      <c r="U219" s="478" t="s">
        <v>783</v>
      </c>
      <c r="V219" s="571" t="b">
        <v>0</v>
      </c>
      <c r="W219" s="571">
        <v>1</v>
      </c>
      <c r="X219" s="571">
        <v>0</v>
      </c>
      <c r="Y219" s="571" t="s">
        <v>861</v>
      </c>
      <c r="Z219" s="478"/>
      <c r="AA219" s="571"/>
      <c r="AB219" s="571"/>
      <c r="AC219" s="571"/>
      <c r="AD219" s="571"/>
      <c r="AE219" s="571"/>
      <c r="AF219" s="571"/>
      <c r="AG219" s="571"/>
      <c r="AH219" s="571"/>
      <c r="AI219" s="571"/>
      <c r="AJ219" s="571"/>
      <c r="AK219" s="55"/>
      <c r="BH219"/>
      <c r="BL219" s="55"/>
    </row>
    <row r="220" spans="1:64" x14ac:dyDescent="0.35">
      <c r="A220" s="474" t="s">
        <v>784</v>
      </c>
      <c r="B220" s="474" t="s">
        <v>870</v>
      </c>
      <c r="C220" s="474" t="s">
        <v>19</v>
      </c>
      <c r="D220" s="475" t="s">
        <v>901</v>
      </c>
      <c r="E220" s="476" t="s">
        <v>992</v>
      </c>
      <c r="F220" s="477" t="s">
        <v>822</v>
      </c>
      <c r="G220" s="478" t="s">
        <v>871</v>
      </c>
      <c r="H220" s="474">
        <v>100</v>
      </c>
      <c r="I220" s="474"/>
      <c r="J220" s="474"/>
      <c r="L220" s="474"/>
      <c r="N220" s="474"/>
      <c r="O220" s="479"/>
      <c r="P220" s="479"/>
      <c r="Q220" s="479"/>
      <c r="R220" s="478">
        <v>3.75</v>
      </c>
      <c r="S220" s="478">
        <v>4.4119999999999999</v>
      </c>
      <c r="T220" s="478" t="s">
        <v>278</v>
      </c>
      <c r="U220" s="478" t="s">
        <v>784</v>
      </c>
      <c r="V220" s="571" t="b">
        <v>0</v>
      </c>
      <c r="W220" s="571">
        <v>1</v>
      </c>
      <c r="X220" s="571">
        <v>0</v>
      </c>
      <c r="Y220" s="571" t="s">
        <v>861</v>
      </c>
      <c r="Z220" s="478"/>
      <c r="AA220" s="571"/>
      <c r="AB220" s="571"/>
      <c r="AC220" s="571"/>
      <c r="AD220" s="571"/>
      <c r="AE220" s="571"/>
      <c r="AF220" s="571"/>
      <c r="AG220" s="571"/>
      <c r="AH220" s="571"/>
      <c r="AI220" s="571"/>
      <c r="AJ220" s="571"/>
      <c r="AK220" s="55"/>
      <c r="BH220"/>
      <c r="BL220" s="55"/>
    </row>
    <row r="221" spans="1:64" x14ac:dyDescent="0.35">
      <c r="A221" s="474" t="s">
        <v>785</v>
      </c>
      <c r="B221" s="474" t="s">
        <v>870</v>
      </c>
      <c r="C221" s="474" t="s">
        <v>19</v>
      </c>
      <c r="D221" s="475" t="s">
        <v>902</v>
      </c>
      <c r="E221" s="476" t="s">
        <v>992</v>
      </c>
      <c r="F221" s="477" t="s">
        <v>823</v>
      </c>
      <c r="G221" s="478" t="s">
        <v>871</v>
      </c>
      <c r="H221" s="474">
        <v>100</v>
      </c>
      <c r="I221" s="474"/>
      <c r="J221" s="474"/>
      <c r="L221" s="474"/>
      <c r="N221" s="474"/>
      <c r="O221" s="479"/>
      <c r="P221" s="479"/>
      <c r="Q221" s="479"/>
      <c r="R221" s="478">
        <v>3.75</v>
      </c>
      <c r="S221" s="478">
        <v>4.4119999999999999</v>
      </c>
      <c r="T221" s="478" t="s">
        <v>278</v>
      </c>
      <c r="U221" s="478" t="s">
        <v>785</v>
      </c>
      <c r="V221" s="571" t="b">
        <v>0</v>
      </c>
      <c r="W221" s="571">
        <v>1</v>
      </c>
      <c r="X221" s="571">
        <v>0</v>
      </c>
      <c r="Y221" s="571" t="s">
        <v>861</v>
      </c>
      <c r="Z221" s="478"/>
      <c r="AA221" s="571"/>
      <c r="AB221" s="571"/>
      <c r="AC221" s="571"/>
      <c r="AD221" s="571"/>
      <c r="AE221" s="571"/>
      <c r="AF221" s="571"/>
      <c r="AG221" s="571"/>
      <c r="AH221" s="571"/>
      <c r="AI221" s="571"/>
      <c r="AJ221" s="571"/>
      <c r="AK221" s="55"/>
      <c r="BH221"/>
      <c r="BL221" s="55"/>
    </row>
    <row r="222" spans="1:64" x14ac:dyDescent="0.35">
      <c r="A222" s="474" t="s">
        <v>786</v>
      </c>
      <c r="B222" s="474" t="s">
        <v>870</v>
      </c>
      <c r="C222" s="474" t="s">
        <v>19</v>
      </c>
      <c r="D222" s="475" t="s">
        <v>903</v>
      </c>
      <c r="E222" s="476" t="s">
        <v>992</v>
      </c>
      <c r="F222" s="477" t="s">
        <v>824</v>
      </c>
      <c r="G222" s="478" t="s">
        <v>871</v>
      </c>
      <c r="H222" s="474">
        <v>100</v>
      </c>
      <c r="I222" s="474"/>
      <c r="J222" s="474"/>
      <c r="L222" s="474"/>
      <c r="N222" s="474"/>
      <c r="O222" s="479"/>
      <c r="P222" s="479"/>
      <c r="Q222" s="479"/>
      <c r="R222" s="478">
        <v>3.75</v>
      </c>
      <c r="S222" s="478">
        <v>4.4119999999999999</v>
      </c>
      <c r="T222" s="478" t="s">
        <v>278</v>
      </c>
      <c r="U222" s="478" t="s">
        <v>786</v>
      </c>
      <c r="V222" s="571" t="b">
        <v>0</v>
      </c>
      <c r="W222" s="571">
        <v>1</v>
      </c>
      <c r="X222" s="571">
        <v>0</v>
      </c>
      <c r="Y222" s="571" t="s">
        <v>861</v>
      </c>
      <c r="Z222" s="478"/>
      <c r="AA222" s="571"/>
      <c r="AB222" s="571"/>
      <c r="AC222" s="571"/>
      <c r="AD222" s="571"/>
      <c r="AE222" s="571"/>
      <c r="AF222" s="571"/>
      <c r="AG222" s="571"/>
      <c r="AH222" s="571"/>
      <c r="AI222" s="571"/>
      <c r="AJ222" s="571"/>
      <c r="AK222" s="55"/>
      <c r="BH222"/>
      <c r="BL222" s="55"/>
    </row>
    <row r="223" spans="1:64" x14ac:dyDescent="0.35">
      <c r="A223" s="474" t="s">
        <v>787</v>
      </c>
      <c r="B223" s="474" t="s">
        <v>870</v>
      </c>
      <c r="C223" s="474" t="s">
        <v>30</v>
      </c>
      <c r="D223" s="475" t="s">
        <v>904</v>
      </c>
      <c r="E223" s="476" t="s">
        <v>992</v>
      </c>
      <c r="F223" s="477" t="s">
        <v>825</v>
      </c>
      <c r="G223" s="478" t="s">
        <v>871</v>
      </c>
      <c r="H223" s="474">
        <v>100</v>
      </c>
      <c r="I223" s="474"/>
      <c r="J223" s="474"/>
      <c r="L223" s="474"/>
      <c r="N223" s="474"/>
      <c r="O223" s="479"/>
      <c r="P223" s="479"/>
      <c r="Q223" s="479"/>
      <c r="R223" s="478">
        <v>3.75</v>
      </c>
      <c r="S223" s="478">
        <v>4.4119999999999999</v>
      </c>
      <c r="T223" s="478" t="s">
        <v>278</v>
      </c>
      <c r="U223" s="478" t="s">
        <v>787</v>
      </c>
      <c r="V223" s="571" t="b">
        <v>0</v>
      </c>
      <c r="W223" s="571">
        <v>1</v>
      </c>
      <c r="X223" s="571">
        <v>0</v>
      </c>
      <c r="Y223" s="571" t="s">
        <v>861</v>
      </c>
      <c r="Z223" s="478"/>
      <c r="AA223" s="571"/>
      <c r="AB223" s="571"/>
      <c r="AC223" s="571"/>
      <c r="AD223" s="571"/>
      <c r="AE223" s="571"/>
      <c r="AF223" s="571"/>
      <c r="AG223" s="571"/>
      <c r="AH223" s="571"/>
      <c r="AI223" s="571"/>
      <c r="AJ223" s="571"/>
      <c r="AK223" s="55"/>
      <c r="BH223"/>
      <c r="BL223" s="55"/>
    </row>
    <row r="224" spans="1:64" x14ac:dyDescent="0.35">
      <c r="A224" s="474" t="s">
        <v>788</v>
      </c>
      <c r="B224" s="474" t="s">
        <v>870</v>
      </c>
      <c r="C224" s="474" t="s">
        <v>30</v>
      </c>
      <c r="D224" s="475" t="s">
        <v>905</v>
      </c>
      <c r="E224" s="476" t="s">
        <v>992</v>
      </c>
      <c r="F224" s="477" t="s">
        <v>826</v>
      </c>
      <c r="G224" s="478" t="s">
        <v>871</v>
      </c>
      <c r="H224" s="474">
        <v>100</v>
      </c>
      <c r="I224" s="474"/>
      <c r="J224" s="474"/>
      <c r="L224" s="474"/>
      <c r="N224" s="474"/>
      <c r="O224" s="479"/>
      <c r="P224" s="479"/>
      <c r="Q224" s="479"/>
      <c r="R224" s="478">
        <v>3.75</v>
      </c>
      <c r="S224" s="478">
        <v>4.4119999999999999</v>
      </c>
      <c r="T224" s="478" t="s">
        <v>278</v>
      </c>
      <c r="U224" s="478" t="s">
        <v>788</v>
      </c>
      <c r="V224" s="571" t="b">
        <v>0</v>
      </c>
      <c r="W224" s="571">
        <v>1</v>
      </c>
      <c r="X224" s="571">
        <v>0</v>
      </c>
      <c r="Y224" s="571" t="s">
        <v>861</v>
      </c>
      <c r="Z224" s="478"/>
      <c r="AA224" s="571"/>
      <c r="AB224" s="571"/>
      <c r="AC224" s="571"/>
      <c r="AD224" s="571"/>
      <c r="AE224" s="571"/>
      <c r="AF224" s="571"/>
      <c r="AG224" s="571"/>
      <c r="AH224" s="571"/>
      <c r="AI224" s="571"/>
      <c r="AJ224" s="571"/>
      <c r="AK224" s="55"/>
      <c r="BH224"/>
      <c r="BL224" s="55"/>
    </row>
    <row r="225" spans="1:64" x14ac:dyDescent="0.35">
      <c r="A225" s="474" t="s">
        <v>789</v>
      </c>
      <c r="B225" s="474" t="s">
        <v>870</v>
      </c>
      <c r="C225" s="474" t="s">
        <v>30</v>
      </c>
      <c r="D225" s="475" t="s">
        <v>906</v>
      </c>
      <c r="E225" s="476" t="s">
        <v>992</v>
      </c>
      <c r="F225" s="477" t="s">
        <v>827</v>
      </c>
      <c r="G225" s="478" t="s">
        <v>871</v>
      </c>
      <c r="H225" s="474">
        <v>100</v>
      </c>
      <c r="I225" s="474"/>
      <c r="J225" s="474"/>
      <c r="L225" s="474"/>
      <c r="N225" s="474"/>
      <c r="O225" s="479"/>
      <c r="P225" s="479"/>
      <c r="Q225" s="479"/>
      <c r="R225" s="478">
        <v>3.75</v>
      </c>
      <c r="S225" s="478">
        <v>4.4119999999999999</v>
      </c>
      <c r="T225" s="478" t="s">
        <v>278</v>
      </c>
      <c r="U225" s="478" t="s">
        <v>789</v>
      </c>
      <c r="V225" s="571" t="b">
        <v>0</v>
      </c>
      <c r="W225" s="571">
        <v>1</v>
      </c>
      <c r="X225" s="571">
        <v>0</v>
      </c>
      <c r="Y225" s="571" t="s">
        <v>861</v>
      </c>
      <c r="Z225" s="478"/>
      <c r="AA225" s="571"/>
      <c r="AB225" s="571"/>
      <c r="AC225" s="571"/>
      <c r="AD225" s="571"/>
      <c r="AE225" s="571"/>
      <c r="AF225" s="571"/>
      <c r="AG225" s="571"/>
      <c r="AH225" s="571"/>
      <c r="AI225" s="571"/>
      <c r="AJ225" s="571"/>
      <c r="AK225" s="55"/>
      <c r="BH225"/>
      <c r="BL225" s="55"/>
    </row>
    <row r="226" spans="1:64" x14ac:dyDescent="0.35">
      <c r="A226" s="474" t="s">
        <v>790</v>
      </c>
      <c r="B226" s="474" t="s">
        <v>870</v>
      </c>
      <c r="C226" s="474" t="s">
        <v>30</v>
      </c>
      <c r="D226" s="475" t="s">
        <v>907</v>
      </c>
      <c r="E226" s="476" t="s">
        <v>992</v>
      </c>
      <c r="F226" s="477" t="s">
        <v>828</v>
      </c>
      <c r="G226" s="478" t="s">
        <v>871</v>
      </c>
      <c r="H226" s="474">
        <v>100</v>
      </c>
      <c r="I226" s="474"/>
      <c r="J226" s="474"/>
      <c r="L226" s="474"/>
      <c r="N226" s="474"/>
      <c r="O226" s="479"/>
      <c r="P226" s="479"/>
      <c r="Q226" s="479"/>
      <c r="R226" s="478">
        <v>3.75</v>
      </c>
      <c r="S226" s="478">
        <v>4.4119999999999999</v>
      </c>
      <c r="T226" s="478" t="s">
        <v>278</v>
      </c>
      <c r="U226" s="478" t="s">
        <v>790</v>
      </c>
      <c r="V226" s="571" t="b">
        <v>0</v>
      </c>
      <c r="W226" s="571">
        <v>1</v>
      </c>
      <c r="X226" s="571">
        <v>0</v>
      </c>
      <c r="Y226" s="571" t="s">
        <v>861</v>
      </c>
      <c r="Z226" s="478"/>
      <c r="AA226" s="571"/>
      <c r="AB226" s="571"/>
      <c r="AC226" s="571"/>
      <c r="AD226" s="571"/>
      <c r="AE226" s="571"/>
      <c r="AF226" s="571"/>
      <c r="AG226" s="571"/>
      <c r="AH226" s="571"/>
      <c r="AI226" s="571"/>
      <c r="AJ226" s="571"/>
      <c r="AK226" s="55"/>
      <c r="BH226"/>
      <c r="BL226" s="55"/>
    </row>
    <row r="227" spans="1:64" x14ac:dyDescent="0.35">
      <c r="A227" s="474" t="s">
        <v>791</v>
      </c>
      <c r="B227" s="474" t="s">
        <v>870</v>
      </c>
      <c r="C227" s="474" t="s">
        <v>30</v>
      </c>
      <c r="D227" s="475" t="s">
        <v>908</v>
      </c>
      <c r="E227" s="476" t="s">
        <v>992</v>
      </c>
      <c r="F227" s="477" t="s">
        <v>829</v>
      </c>
      <c r="G227" s="478" t="s">
        <v>871</v>
      </c>
      <c r="H227" s="474">
        <v>100</v>
      </c>
      <c r="I227" s="474"/>
      <c r="J227" s="474"/>
      <c r="L227" s="474"/>
      <c r="N227" s="474"/>
      <c r="O227" s="479"/>
      <c r="P227" s="479"/>
      <c r="Q227" s="479"/>
      <c r="R227" s="478">
        <v>3.75</v>
      </c>
      <c r="S227" s="478">
        <v>4.4119999999999999</v>
      </c>
      <c r="T227" s="478" t="s">
        <v>278</v>
      </c>
      <c r="U227" s="478" t="s">
        <v>791</v>
      </c>
      <c r="V227" s="571" t="b">
        <v>0</v>
      </c>
      <c r="W227" s="571">
        <v>1</v>
      </c>
      <c r="X227" s="571">
        <v>0</v>
      </c>
      <c r="Y227" s="571" t="s">
        <v>861</v>
      </c>
      <c r="Z227" s="478"/>
      <c r="AA227" s="571"/>
      <c r="AB227" s="571"/>
      <c r="AC227" s="571"/>
      <c r="AD227" s="571"/>
      <c r="AE227" s="571"/>
      <c r="AF227" s="571"/>
      <c r="AG227" s="571"/>
      <c r="AH227" s="571"/>
      <c r="AI227" s="571"/>
      <c r="AJ227" s="571"/>
      <c r="AK227" s="55"/>
      <c r="BH227"/>
      <c r="BL227" s="55"/>
    </row>
    <row r="228" spans="1:64" x14ac:dyDescent="0.35">
      <c r="A228" s="474" t="s">
        <v>792</v>
      </c>
      <c r="B228" s="474" t="s">
        <v>870</v>
      </c>
      <c r="C228" s="474" t="s">
        <v>30</v>
      </c>
      <c r="D228" s="475" t="s">
        <v>909</v>
      </c>
      <c r="E228" s="476" t="s">
        <v>992</v>
      </c>
      <c r="F228" s="477" t="s">
        <v>830</v>
      </c>
      <c r="G228" s="478" t="s">
        <v>871</v>
      </c>
      <c r="H228" s="474">
        <v>100</v>
      </c>
      <c r="I228" s="474"/>
      <c r="J228" s="474"/>
      <c r="L228" s="474"/>
      <c r="N228" s="474"/>
      <c r="O228" s="479"/>
      <c r="P228" s="479"/>
      <c r="Q228" s="479"/>
      <c r="R228" s="478">
        <v>3.75</v>
      </c>
      <c r="S228" s="478">
        <v>4.4119999999999999</v>
      </c>
      <c r="T228" s="478" t="s">
        <v>278</v>
      </c>
      <c r="U228" s="478" t="s">
        <v>792</v>
      </c>
      <c r="V228" s="571" t="b">
        <v>0</v>
      </c>
      <c r="W228" s="571">
        <v>1</v>
      </c>
      <c r="X228" s="571">
        <v>0</v>
      </c>
      <c r="Y228" s="571" t="s">
        <v>861</v>
      </c>
      <c r="Z228" s="478"/>
      <c r="AA228" s="571"/>
      <c r="AB228" s="571"/>
      <c r="AC228" s="571"/>
      <c r="AD228" s="571"/>
      <c r="AE228" s="571"/>
      <c r="AF228" s="571"/>
      <c r="AG228" s="571"/>
      <c r="AH228" s="571"/>
      <c r="AI228" s="571"/>
      <c r="AJ228" s="571"/>
      <c r="AK228" s="55"/>
      <c r="BH228"/>
      <c r="BL228" s="55"/>
    </row>
    <row r="229" spans="1:64" x14ac:dyDescent="0.35">
      <c r="A229" s="474" t="s">
        <v>793</v>
      </c>
      <c r="B229" s="474" t="s">
        <v>870</v>
      </c>
      <c r="C229" s="474" t="s">
        <v>30</v>
      </c>
      <c r="D229" s="475" t="s">
        <v>910</v>
      </c>
      <c r="E229" s="476" t="s">
        <v>992</v>
      </c>
      <c r="F229" s="477" t="s">
        <v>831</v>
      </c>
      <c r="G229" s="478" t="s">
        <v>871</v>
      </c>
      <c r="H229" s="474">
        <v>100</v>
      </c>
      <c r="I229" s="474"/>
      <c r="J229" s="474"/>
      <c r="L229" s="474"/>
      <c r="N229" s="474"/>
      <c r="O229" s="479"/>
      <c r="P229" s="479"/>
      <c r="Q229" s="479"/>
      <c r="R229" s="478">
        <v>3.75</v>
      </c>
      <c r="S229" s="478">
        <v>4.4119999999999999</v>
      </c>
      <c r="T229" s="478" t="s">
        <v>278</v>
      </c>
      <c r="U229" s="478" t="s">
        <v>793</v>
      </c>
      <c r="V229" s="571" t="b">
        <v>0</v>
      </c>
      <c r="W229" s="571">
        <v>1</v>
      </c>
      <c r="X229" s="571">
        <v>0</v>
      </c>
      <c r="Y229" s="571" t="s">
        <v>861</v>
      </c>
      <c r="Z229" s="478"/>
      <c r="AA229" s="571"/>
      <c r="AB229" s="571"/>
      <c r="AC229" s="571"/>
      <c r="AD229" s="571"/>
      <c r="AE229" s="571"/>
      <c r="AF229" s="571"/>
      <c r="AG229" s="571"/>
      <c r="AH229" s="571"/>
      <c r="AI229" s="571"/>
      <c r="AJ229" s="571"/>
      <c r="AK229" s="55"/>
      <c r="BH229"/>
      <c r="BL229" s="55"/>
    </row>
    <row r="230" spans="1:64" x14ac:dyDescent="0.35">
      <c r="A230" s="474" t="s">
        <v>794</v>
      </c>
      <c r="B230" s="474" t="s">
        <v>870</v>
      </c>
      <c r="C230" s="474" t="s">
        <v>30</v>
      </c>
      <c r="D230" s="475" t="s">
        <v>911</v>
      </c>
      <c r="E230" s="476" t="s">
        <v>992</v>
      </c>
      <c r="F230" s="477" t="s">
        <v>832</v>
      </c>
      <c r="G230" s="478" t="s">
        <v>871</v>
      </c>
      <c r="H230" s="474">
        <v>100</v>
      </c>
      <c r="I230" s="474"/>
      <c r="J230" s="474"/>
      <c r="L230" s="474"/>
      <c r="N230" s="474"/>
      <c r="O230" s="479"/>
      <c r="P230" s="479"/>
      <c r="Q230" s="479"/>
      <c r="R230" s="478">
        <v>3.75</v>
      </c>
      <c r="S230" s="478">
        <v>4.4119999999999999</v>
      </c>
      <c r="T230" s="478" t="s">
        <v>278</v>
      </c>
      <c r="U230" s="478" t="s">
        <v>794</v>
      </c>
      <c r="V230" s="571" t="b">
        <v>0</v>
      </c>
      <c r="W230" s="571">
        <v>1</v>
      </c>
      <c r="X230" s="571">
        <v>0</v>
      </c>
      <c r="Y230" s="571" t="s">
        <v>861</v>
      </c>
      <c r="Z230" s="478"/>
      <c r="AA230" s="571"/>
      <c r="AB230" s="571"/>
      <c r="AC230" s="571"/>
      <c r="AD230" s="571"/>
      <c r="AE230" s="571"/>
      <c r="AF230" s="571"/>
      <c r="AG230" s="571"/>
      <c r="AH230" s="571"/>
      <c r="AI230" s="571"/>
      <c r="AJ230" s="571"/>
      <c r="AK230" s="55"/>
      <c r="BH230"/>
      <c r="BL230" s="55"/>
    </row>
    <row r="231" spans="1:64" x14ac:dyDescent="0.35">
      <c r="A231" s="474" t="s">
        <v>795</v>
      </c>
      <c r="B231" s="474" t="s">
        <v>870</v>
      </c>
      <c r="C231" s="474" t="s">
        <v>30</v>
      </c>
      <c r="D231" s="475" t="s">
        <v>912</v>
      </c>
      <c r="E231" s="476" t="s">
        <v>992</v>
      </c>
      <c r="F231" s="477" t="s">
        <v>833</v>
      </c>
      <c r="G231" s="478" t="s">
        <v>871</v>
      </c>
      <c r="H231" s="474">
        <v>100</v>
      </c>
      <c r="I231" s="474"/>
      <c r="J231" s="474"/>
      <c r="L231" s="474"/>
      <c r="N231" s="474"/>
      <c r="O231" s="479"/>
      <c r="P231" s="479"/>
      <c r="Q231" s="479"/>
      <c r="R231" s="478">
        <v>3.75</v>
      </c>
      <c r="S231" s="478">
        <v>4.4119999999999999</v>
      </c>
      <c r="T231" s="478" t="s">
        <v>278</v>
      </c>
      <c r="U231" s="488" t="s">
        <v>795</v>
      </c>
      <c r="V231" s="571" t="b">
        <v>0</v>
      </c>
      <c r="W231" s="571">
        <v>1</v>
      </c>
      <c r="X231" s="571">
        <v>0</v>
      </c>
      <c r="Y231" s="571" t="s">
        <v>861</v>
      </c>
      <c r="Z231" s="478"/>
      <c r="AA231" s="571"/>
      <c r="AB231" s="571"/>
      <c r="AC231" s="571"/>
      <c r="AD231" s="571"/>
      <c r="AE231" s="571"/>
      <c r="AF231" s="571"/>
      <c r="AG231" s="571"/>
      <c r="AH231" s="571"/>
      <c r="AI231" s="571"/>
      <c r="AJ231" s="571"/>
      <c r="AK231" s="55"/>
      <c r="BH231"/>
      <c r="BL231" s="55"/>
    </row>
    <row r="232" spans="1:64" x14ac:dyDescent="0.35">
      <c r="A232" s="474" t="s">
        <v>796</v>
      </c>
      <c r="B232" s="474" t="s">
        <v>870</v>
      </c>
      <c r="C232" s="474" t="s">
        <v>30</v>
      </c>
      <c r="D232" s="475" t="s">
        <v>913</v>
      </c>
      <c r="E232" s="476" t="s">
        <v>992</v>
      </c>
      <c r="F232" s="477" t="s">
        <v>834</v>
      </c>
      <c r="G232" s="478" t="s">
        <v>871</v>
      </c>
      <c r="H232" s="474">
        <v>100</v>
      </c>
      <c r="I232" s="474"/>
      <c r="J232" s="474"/>
      <c r="L232" s="474"/>
      <c r="N232" s="474"/>
      <c r="O232" s="479"/>
      <c r="P232" s="479"/>
      <c r="Q232" s="479"/>
      <c r="R232" s="478">
        <v>3.75</v>
      </c>
      <c r="S232" s="478">
        <v>4.4119999999999999</v>
      </c>
      <c r="T232" s="478" t="s">
        <v>278</v>
      </c>
      <c r="U232" s="488" t="s">
        <v>796</v>
      </c>
      <c r="V232" s="571" t="b">
        <v>0</v>
      </c>
      <c r="W232" s="571">
        <v>1</v>
      </c>
      <c r="X232" s="571">
        <v>0</v>
      </c>
      <c r="Y232" s="571" t="s">
        <v>861</v>
      </c>
      <c r="Z232" s="478"/>
      <c r="AA232" s="571"/>
      <c r="AB232" s="571"/>
      <c r="AC232" s="571"/>
      <c r="AD232" s="571"/>
      <c r="AE232" s="571"/>
      <c r="AF232" s="571"/>
      <c r="AG232" s="571"/>
      <c r="AH232" s="571"/>
      <c r="AI232" s="571"/>
      <c r="AJ232" s="571"/>
      <c r="AK232" s="55"/>
      <c r="BH232"/>
      <c r="BL232" s="55"/>
    </row>
    <row r="233" spans="1:64" x14ac:dyDescent="0.35">
      <c r="A233" s="474" t="s">
        <v>797</v>
      </c>
      <c r="B233" s="474" t="s">
        <v>870</v>
      </c>
      <c r="C233" s="474" t="s">
        <v>30</v>
      </c>
      <c r="D233" s="475" t="s">
        <v>914</v>
      </c>
      <c r="E233" s="476" t="s">
        <v>992</v>
      </c>
      <c r="F233" s="477" t="s">
        <v>835</v>
      </c>
      <c r="G233" s="478" t="s">
        <v>871</v>
      </c>
      <c r="H233" s="474">
        <v>100</v>
      </c>
      <c r="I233" s="474"/>
      <c r="J233" s="474"/>
      <c r="L233" s="474"/>
      <c r="N233" s="474"/>
      <c r="O233" s="479"/>
      <c r="P233" s="479"/>
      <c r="Q233" s="479"/>
      <c r="R233" s="478">
        <v>3.75</v>
      </c>
      <c r="S233" s="478">
        <v>4.4119999999999999</v>
      </c>
      <c r="T233" s="478" t="s">
        <v>278</v>
      </c>
      <c r="U233" s="488" t="s">
        <v>797</v>
      </c>
      <c r="V233" s="571" t="b">
        <v>0</v>
      </c>
      <c r="W233" s="571">
        <v>1</v>
      </c>
      <c r="X233" s="571">
        <v>0</v>
      </c>
      <c r="Y233" s="571" t="s">
        <v>861</v>
      </c>
      <c r="Z233" s="478"/>
      <c r="AA233" s="571"/>
      <c r="AB233" s="571"/>
      <c r="AC233" s="571"/>
      <c r="AD233" s="571"/>
      <c r="AE233" s="571"/>
      <c r="AF233" s="571"/>
      <c r="AG233" s="571"/>
      <c r="AH233" s="571"/>
      <c r="AI233" s="571"/>
      <c r="AJ233" s="571"/>
      <c r="AK233" s="55"/>
      <c r="BH233"/>
      <c r="BL233" s="55"/>
    </row>
    <row r="234" spans="1:64" x14ac:dyDescent="0.35">
      <c r="A234" s="474" t="s">
        <v>798</v>
      </c>
      <c r="B234" s="474" t="s">
        <v>870</v>
      </c>
      <c r="C234" s="474" t="s">
        <v>30</v>
      </c>
      <c r="D234" s="475" t="s">
        <v>915</v>
      </c>
      <c r="E234" s="476" t="s">
        <v>992</v>
      </c>
      <c r="F234" s="477" t="s">
        <v>1056</v>
      </c>
      <c r="G234" s="478" t="s">
        <v>871</v>
      </c>
      <c r="H234" s="474">
        <v>100</v>
      </c>
      <c r="I234" s="474"/>
      <c r="J234" s="474"/>
      <c r="L234" s="474"/>
      <c r="N234" s="474"/>
      <c r="O234" s="479"/>
      <c r="P234" s="479"/>
      <c r="Q234" s="479"/>
      <c r="R234" s="478">
        <v>3.75</v>
      </c>
      <c r="S234" s="478">
        <v>4.4119999999999999</v>
      </c>
      <c r="T234" s="478" t="s">
        <v>278</v>
      </c>
      <c r="U234" s="488" t="s">
        <v>798</v>
      </c>
      <c r="V234" s="571" t="b">
        <v>0</v>
      </c>
      <c r="W234" s="571">
        <v>1</v>
      </c>
      <c r="X234" s="571">
        <v>0</v>
      </c>
      <c r="Y234" s="571" t="s">
        <v>861</v>
      </c>
      <c r="Z234" s="478"/>
      <c r="AA234" s="571"/>
      <c r="AB234" s="571"/>
      <c r="AC234" s="571"/>
      <c r="AD234" s="571"/>
      <c r="AE234" s="571"/>
      <c r="AF234" s="571"/>
      <c r="AG234" s="571"/>
      <c r="AH234" s="571"/>
      <c r="AI234" s="571"/>
      <c r="AJ234" s="571"/>
      <c r="AK234" s="55"/>
      <c r="BH234"/>
      <c r="BL234" s="55"/>
    </row>
    <row r="235" spans="1:64" x14ac:dyDescent="0.35">
      <c r="A235" s="474" t="s">
        <v>799</v>
      </c>
      <c r="B235" s="474" t="s">
        <v>870</v>
      </c>
      <c r="C235" s="474" t="s">
        <v>30</v>
      </c>
      <c r="D235" s="475" t="s">
        <v>916</v>
      </c>
      <c r="E235" s="476" t="s">
        <v>992</v>
      </c>
      <c r="F235" s="477" t="s">
        <v>837</v>
      </c>
      <c r="G235" s="478" t="s">
        <v>871</v>
      </c>
      <c r="H235" s="474">
        <v>100</v>
      </c>
      <c r="I235" s="474"/>
      <c r="J235" s="474"/>
      <c r="L235" s="474"/>
      <c r="N235" s="474"/>
      <c r="O235" s="479"/>
      <c r="P235" s="479"/>
      <c r="Q235" s="479"/>
      <c r="R235" s="478">
        <v>3.75</v>
      </c>
      <c r="S235" s="478">
        <v>4.4119999999999999</v>
      </c>
      <c r="T235" s="478" t="s">
        <v>278</v>
      </c>
      <c r="U235" s="488" t="s">
        <v>799</v>
      </c>
      <c r="V235" s="571" t="b">
        <v>0</v>
      </c>
      <c r="W235" s="571">
        <v>1</v>
      </c>
      <c r="X235" s="571">
        <v>0</v>
      </c>
      <c r="Y235" s="571" t="s">
        <v>861</v>
      </c>
      <c r="Z235" s="478"/>
      <c r="AA235" s="571"/>
      <c r="AB235" s="571"/>
      <c r="AC235" s="571"/>
      <c r="AD235" s="571"/>
      <c r="AE235" s="571"/>
      <c r="AF235" s="571"/>
      <c r="AG235" s="571"/>
      <c r="AH235" s="571"/>
      <c r="AI235" s="571"/>
      <c r="AJ235" s="571"/>
      <c r="AK235" s="55"/>
      <c r="BH235"/>
      <c r="BL235" s="55"/>
    </row>
    <row r="236" spans="1:64" x14ac:dyDescent="0.35">
      <c r="A236" s="474" t="s">
        <v>800</v>
      </c>
      <c r="B236" s="474" t="s">
        <v>870</v>
      </c>
      <c r="C236" s="474" t="s">
        <v>30</v>
      </c>
      <c r="D236" s="475" t="s">
        <v>917</v>
      </c>
      <c r="E236" s="476" t="s">
        <v>992</v>
      </c>
      <c r="F236" s="477" t="s">
        <v>838</v>
      </c>
      <c r="G236" s="478" t="s">
        <v>871</v>
      </c>
      <c r="H236" s="474">
        <v>100</v>
      </c>
      <c r="I236" s="474"/>
      <c r="J236" s="474"/>
      <c r="L236" s="474"/>
      <c r="N236" s="474"/>
      <c r="O236" s="479"/>
      <c r="P236" s="479"/>
      <c r="Q236" s="479"/>
      <c r="R236" s="478">
        <v>3.75</v>
      </c>
      <c r="S236" s="478">
        <v>4.4119999999999999</v>
      </c>
      <c r="T236" s="478" t="s">
        <v>278</v>
      </c>
      <c r="U236" s="488" t="s">
        <v>800</v>
      </c>
      <c r="V236" s="571" t="b">
        <v>0</v>
      </c>
      <c r="W236" s="571">
        <v>1</v>
      </c>
      <c r="X236" s="571">
        <v>0</v>
      </c>
      <c r="Y236" s="571" t="s">
        <v>861</v>
      </c>
      <c r="Z236" s="478"/>
      <c r="AA236" s="571"/>
      <c r="AB236" s="571"/>
      <c r="AC236" s="571"/>
      <c r="AD236" s="571"/>
      <c r="AE236" s="571"/>
      <c r="AF236" s="571"/>
      <c r="AG236" s="571"/>
      <c r="AH236" s="571"/>
      <c r="AI236" s="571"/>
      <c r="AJ236" s="571"/>
      <c r="AK236" s="55"/>
      <c r="BH236"/>
      <c r="BL236" s="55"/>
    </row>
    <row r="237" spans="1:64" x14ac:dyDescent="0.35">
      <c r="A237" s="474" t="s">
        <v>801</v>
      </c>
      <c r="B237" s="474" t="s">
        <v>870</v>
      </c>
      <c r="C237" s="474" t="s">
        <v>30</v>
      </c>
      <c r="D237" s="475" t="s">
        <v>918</v>
      </c>
      <c r="E237" s="476" t="s">
        <v>992</v>
      </c>
      <c r="F237" s="477" t="s">
        <v>839</v>
      </c>
      <c r="G237" s="478" t="s">
        <v>871</v>
      </c>
      <c r="H237" s="474">
        <v>100</v>
      </c>
      <c r="I237" s="474"/>
      <c r="J237" s="474"/>
      <c r="L237" s="474"/>
      <c r="N237" s="474"/>
      <c r="O237" s="479"/>
      <c r="P237" s="479"/>
      <c r="Q237" s="479"/>
      <c r="R237" s="478">
        <v>3.75</v>
      </c>
      <c r="S237" s="478">
        <v>4.4119999999999999</v>
      </c>
      <c r="T237" s="478" t="s">
        <v>278</v>
      </c>
      <c r="U237" s="488" t="s">
        <v>801</v>
      </c>
      <c r="V237" s="571" t="b">
        <v>0</v>
      </c>
      <c r="W237" s="571">
        <v>1</v>
      </c>
      <c r="X237" s="571">
        <v>0</v>
      </c>
      <c r="Y237" s="571" t="s">
        <v>861</v>
      </c>
      <c r="Z237" s="478"/>
      <c r="AA237" s="571"/>
      <c r="AB237" s="571"/>
      <c r="AC237" s="571"/>
      <c r="AD237" s="571"/>
      <c r="AE237" s="571"/>
      <c r="AF237" s="571"/>
      <c r="AG237" s="571"/>
      <c r="AH237" s="571"/>
      <c r="AI237" s="571"/>
      <c r="AJ237" s="571"/>
      <c r="AK237" s="55"/>
      <c r="BH237"/>
      <c r="BL237" s="55"/>
    </row>
    <row r="238" spans="1:64" x14ac:dyDescent="0.35">
      <c r="A238" s="57" t="s">
        <v>802</v>
      </c>
      <c r="B238" s="474" t="s">
        <v>870</v>
      </c>
      <c r="C238" s="474" t="s">
        <v>19</v>
      </c>
      <c r="D238" s="475"/>
      <c r="E238" s="476" t="s">
        <v>993</v>
      </c>
      <c r="F238" s="477" t="s">
        <v>840</v>
      </c>
      <c r="G238" s="478" t="s">
        <v>871</v>
      </c>
      <c r="H238" s="474">
        <v>100</v>
      </c>
      <c r="I238" s="474">
        <v>12</v>
      </c>
      <c r="J238" s="474"/>
      <c r="L238" s="474">
        <v>3</v>
      </c>
      <c r="N238" s="474">
        <v>4</v>
      </c>
      <c r="O238" s="479">
        <v>510</v>
      </c>
      <c r="P238" s="479">
        <v>375</v>
      </c>
      <c r="Q238" s="479">
        <v>450</v>
      </c>
      <c r="R238" s="478">
        <v>6.1</v>
      </c>
      <c r="S238" s="478">
        <v>8.5</v>
      </c>
      <c r="T238" s="478" t="s">
        <v>991</v>
      </c>
      <c r="U238" s="488" t="s">
        <v>802</v>
      </c>
      <c r="V238" s="571" t="b">
        <v>0</v>
      </c>
      <c r="W238" s="571">
        <v>1</v>
      </c>
      <c r="X238" s="571">
        <v>0</v>
      </c>
      <c r="Y238" s="571" t="s">
        <v>861</v>
      </c>
      <c r="Z238" s="478"/>
      <c r="AA238" s="571"/>
      <c r="AB238" s="571"/>
      <c r="AC238" s="571"/>
      <c r="AD238" s="571"/>
      <c r="AE238" s="571"/>
      <c r="AF238" s="571"/>
      <c r="AG238" s="571"/>
      <c r="AH238" s="571"/>
      <c r="AI238" s="571"/>
      <c r="AJ238" s="571"/>
      <c r="AK238" s="55"/>
      <c r="BH238"/>
      <c r="BL238" s="55"/>
    </row>
    <row r="239" spans="1:64" x14ac:dyDescent="0.35">
      <c r="A239" s="474" t="s">
        <v>803</v>
      </c>
      <c r="B239" s="474" t="s">
        <v>870</v>
      </c>
      <c r="C239" s="474" t="s">
        <v>30</v>
      </c>
      <c r="D239" s="475"/>
      <c r="E239" s="476" t="s">
        <v>993</v>
      </c>
      <c r="F239" s="477" t="s">
        <v>841</v>
      </c>
      <c r="G239" s="478" t="s">
        <v>871</v>
      </c>
      <c r="H239" s="474">
        <v>100</v>
      </c>
      <c r="I239" s="474">
        <v>12</v>
      </c>
      <c r="J239" s="474"/>
      <c r="L239" s="474">
        <v>3</v>
      </c>
      <c r="N239" s="474">
        <v>4</v>
      </c>
      <c r="O239" s="479">
        <v>510</v>
      </c>
      <c r="P239" s="479">
        <v>375</v>
      </c>
      <c r="Q239" s="479">
        <v>450</v>
      </c>
      <c r="R239" s="478">
        <v>6.1</v>
      </c>
      <c r="S239" s="478">
        <v>8.5</v>
      </c>
      <c r="T239" s="478" t="s">
        <v>991</v>
      </c>
      <c r="U239" s="488" t="s">
        <v>803</v>
      </c>
      <c r="V239" s="571" t="b">
        <v>0</v>
      </c>
      <c r="W239" s="571">
        <v>1</v>
      </c>
      <c r="X239" s="571">
        <v>0</v>
      </c>
      <c r="Y239" s="571" t="s">
        <v>861</v>
      </c>
      <c r="Z239" s="478"/>
      <c r="AA239" s="571"/>
      <c r="AB239" s="571"/>
      <c r="AC239" s="571"/>
      <c r="AD239" s="571"/>
      <c r="AE239" s="571"/>
      <c r="AF239" s="571"/>
      <c r="AG239" s="571"/>
      <c r="AH239" s="571"/>
      <c r="AI239" s="571"/>
      <c r="AJ239" s="571"/>
      <c r="AK239" s="55"/>
      <c r="BH239"/>
      <c r="BL239" s="55"/>
    </row>
    <row r="240" spans="1:64" x14ac:dyDescent="0.35">
      <c r="A240" s="474" t="s">
        <v>179</v>
      </c>
      <c r="B240" s="474" t="s">
        <v>180</v>
      </c>
      <c r="C240" s="474" t="s">
        <v>19</v>
      </c>
      <c r="D240" s="475"/>
      <c r="E240" s="476" t="s">
        <v>151</v>
      </c>
      <c r="F240" s="477" t="s">
        <v>181</v>
      </c>
      <c r="G240" s="478" t="s">
        <v>180</v>
      </c>
      <c r="H240" s="474">
        <v>12</v>
      </c>
      <c r="I240" s="474"/>
      <c r="J240" s="474">
        <v>600</v>
      </c>
      <c r="L240" s="474">
        <v>15</v>
      </c>
      <c r="N240" s="474">
        <v>40</v>
      </c>
      <c r="O240" s="479">
        <v>195</v>
      </c>
      <c r="P240" s="479">
        <v>150</v>
      </c>
      <c r="Q240" s="479">
        <v>105</v>
      </c>
      <c r="R240" s="478">
        <v>1.26</v>
      </c>
      <c r="S240" s="478">
        <v>1.26</v>
      </c>
      <c r="T240" s="478" t="s">
        <v>264</v>
      </c>
      <c r="U240" s="478" t="s">
        <v>179</v>
      </c>
      <c r="V240" s="571" t="b">
        <v>0</v>
      </c>
      <c r="W240" s="571">
        <v>1</v>
      </c>
      <c r="X240" s="571">
        <v>0</v>
      </c>
      <c r="Y240" s="571" t="s">
        <v>861</v>
      </c>
      <c r="Z240" s="478"/>
      <c r="AA240" s="571"/>
      <c r="AB240" s="571"/>
      <c r="AC240" s="571"/>
      <c r="AD240" s="571"/>
      <c r="AE240" s="571"/>
      <c r="AF240" s="571"/>
      <c r="AG240" s="571"/>
      <c r="AH240" s="571"/>
      <c r="AI240" s="571"/>
      <c r="AJ240" s="571"/>
      <c r="AK240" s="55"/>
      <c r="BH240"/>
      <c r="BL240" s="55"/>
    </row>
    <row r="241" spans="1:64" x14ac:dyDescent="0.35">
      <c r="A241" s="474" t="s">
        <v>182</v>
      </c>
      <c r="B241" s="474" t="s">
        <v>180</v>
      </c>
      <c r="C241" s="474" t="s">
        <v>19</v>
      </c>
      <c r="D241" s="475"/>
      <c r="E241" s="476" t="s">
        <v>151</v>
      </c>
      <c r="F241" s="477" t="s">
        <v>183</v>
      </c>
      <c r="G241" s="478" t="s">
        <v>180</v>
      </c>
      <c r="H241" s="474">
        <v>12</v>
      </c>
      <c r="I241" s="474"/>
      <c r="J241" s="474">
        <v>600</v>
      </c>
      <c r="L241" s="474">
        <v>15</v>
      </c>
      <c r="N241" s="474">
        <v>40</v>
      </c>
      <c r="O241" s="479">
        <v>195</v>
      </c>
      <c r="P241" s="479">
        <v>150</v>
      </c>
      <c r="Q241" s="479">
        <v>105</v>
      </c>
      <c r="R241" s="478">
        <v>1.26</v>
      </c>
      <c r="S241" s="478">
        <v>1.26</v>
      </c>
      <c r="T241" s="478" t="s">
        <v>264</v>
      </c>
      <c r="U241" s="478" t="s">
        <v>182</v>
      </c>
      <c r="V241" s="571" t="b">
        <v>0</v>
      </c>
      <c r="W241" s="571">
        <v>1</v>
      </c>
      <c r="X241" s="571">
        <v>0</v>
      </c>
      <c r="Y241" s="571" t="s">
        <v>861</v>
      </c>
      <c r="Z241" s="478"/>
      <c r="AA241" s="571"/>
      <c r="AB241" s="571"/>
      <c r="AC241" s="571"/>
      <c r="AD241" s="571"/>
      <c r="AE241" s="571"/>
      <c r="AF241" s="571"/>
      <c r="AG241" s="571"/>
      <c r="AH241" s="571"/>
      <c r="AI241" s="571"/>
      <c r="AJ241" s="571"/>
      <c r="AK241" s="55"/>
      <c r="BH241"/>
      <c r="BL241" s="55"/>
    </row>
    <row r="242" spans="1:64" x14ac:dyDescent="0.35">
      <c r="A242" s="474" t="s">
        <v>184</v>
      </c>
      <c r="B242" s="474" t="s">
        <v>180</v>
      </c>
      <c r="C242" s="474" t="s">
        <v>19</v>
      </c>
      <c r="D242" s="475"/>
      <c r="E242" s="476" t="s">
        <v>151</v>
      </c>
      <c r="F242" s="477" t="s">
        <v>185</v>
      </c>
      <c r="G242" s="478" t="s">
        <v>180</v>
      </c>
      <c r="H242" s="474">
        <v>12</v>
      </c>
      <c r="I242" s="474"/>
      <c r="J242" s="474">
        <v>600</v>
      </c>
      <c r="L242" s="474">
        <v>15</v>
      </c>
      <c r="N242" s="474">
        <v>40</v>
      </c>
      <c r="O242" s="479">
        <v>195</v>
      </c>
      <c r="P242" s="479">
        <v>150</v>
      </c>
      <c r="Q242" s="479">
        <v>105</v>
      </c>
      <c r="R242" s="478">
        <v>1.26</v>
      </c>
      <c r="S242" s="478">
        <v>1.26</v>
      </c>
      <c r="T242" s="478" t="s">
        <v>264</v>
      </c>
      <c r="U242" s="478" t="s">
        <v>184</v>
      </c>
      <c r="V242" s="571" t="b">
        <v>0</v>
      </c>
      <c r="W242" s="571">
        <v>1</v>
      </c>
      <c r="X242" s="571">
        <v>0</v>
      </c>
      <c r="Y242" s="571" t="s">
        <v>861</v>
      </c>
      <c r="Z242" s="478"/>
      <c r="AA242" s="571"/>
      <c r="AB242" s="571"/>
      <c r="AC242" s="571"/>
      <c r="AD242" s="571"/>
      <c r="AE242" s="571"/>
      <c r="AF242" s="571"/>
      <c r="AG242" s="571"/>
      <c r="AH242" s="571"/>
      <c r="AI242" s="571"/>
      <c r="AJ242" s="571"/>
      <c r="AK242" s="55"/>
      <c r="BH242"/>
      <c r="BL242" s="55"/>
    </row>
    <row r="243" spans="1:64" x14ac:dyDescent="0.35">
      <c r="A243" s="474" t="s">
        <v>186</v>
      </c>
      <c r="B243" s="474" t="s">
        <v>180</v>
      </c>
      <c r="C243" s="474" t="s">
        <v>19</v>
      </c>
      <c r="D243" s="475"/>
      <c r="E243" s="476" t="s">
        <v>151</v>
      </c>
      <c r="F243" s="477" t="s">
        <v>187</v>
      </c>
      <c r="G243" s="478" t="s">
        <v>180</v>
      </c>
      <c r="H243" s="474">
        <v>12</v>
      </c>
      <c r="I243" s="474"/>
      <c r="J243" s="474">
        <v>600</v>
      </c>
      <c r="L243" s="474">
        <v>15</v>
      </c>
      <c r="N243" s="474">
        <v>40</v>
      </c>
      <c r="O243" s="479">
        <v>195</v>
      </c>
      <c r="P243" s="479">
        <v>150</v>
      </c>
      <c r="Q243" s="479">
        <v>105</v>
      </c>
      <c r="R243" s="478">
        <v>1.26</v>
      </c>
      <c r="S243" s="478">
        <v>1.26</v>
      </c>
      <c r="T243" s="478" t="s">
        <v>264</v>
      </c>
      <c r="U243" s="478" t="s">
        <v>186</v>
      </c>
      <c r="V243" s="571" t="b">
        <v>0</v>
      </c>
      <c r="W243" s="571">
        <v>1</v>
      </c>
      <c r="X243" s="571">
        <v>0</v>
      </c>
      <c r="Y243" s="571" t="s">
        <v>861</v>
      </c>
      <c r="Z243" s="478"/>
      <c r="AA243" s="571"/>
      <c r="AB243" s="571"/>
      <c r="AC243" s="571"/>
      <c r="AD243" s="571"/>
      <c r="AE243" s="571"/>
      <c r="AF243" s="571"/>
      <c r="AG243" s="571"/>
      <c r="AH243" s="571"/>
      <c r="AI243" s="571"/>
      <c r="AJ243" s="571"/>
      <c r="AK243" s="55"/>
      <c r="BH243"/>
      <c r="BL243" s="55"/>
    </row>
    <row r="244" spans="1:64" x14ac:dyDescent="0.35">
      <c r="A244" s="474" t="s">
        <v>419</v>
      </c>
      <c r="B244" s="474" t="s">
        <v>180</v>
      </c>
      <c r="C244" s="474" t="s">
        <v>30</v>
      </c>
      <c r="D244" s="475"/>
      <c r="E244" s="476" t="s">
        <v>151</v>
      </c>
      <c r="F244" s="477" t="s">
        <v>420</v>
      </c>
      <c r="G244" s="478" t="s">
        <v>180</v>
      </c>
      <c r="H244" s="474">
        <v>12</v>
      </c>
      <c r="I244" s="474"/>
      <c r="J244" s="474">
        <v>600</v>
      </c>
      <c r="L244" s="474">
        <v>15</v>
      </c>
      <c r="N244" s="474">
        <v>40</v>
      </c>
      <c r="O244" s="479">
        <v>195</v>
      </c>
      <c r="P244" s="479">
        <v>150</v>
      </c>
      <c r="Q244" s="479">
        <v>105</v>
      </c>
      <c r="R244" s="478">
        <v>1.26</v>
      </c>
      <c r="S244" s="478">
        <v>1.26</v>
      </c>
      <c r="T244" s="478" t="s">
        <v>264</v>
      </c>
      <c r="U244" s="478" t="s">
        <v>419</v>
      </c>
      <c r="V244" s="571" t="b">
        <v>0</v>
      </c>
      <c r="W244" s="571">
        <v>1</v>
      </c>
      <c r="X244" s="571">
        <v>0</v>
      </c>
      <c r="Y244" s="571" t="s">
        <v>861</v>
      </c>
      <c r="Z244" s="478"/>
      <c r="AA244" s="571"/>
      <c r="AB244" s="571"/>
      <c r="AC244" s="571"/>
      <c r="AD244" s="571"/>
      <c r="AE244" s="571"/>
      <c r="AF244" s="571"/>
      <c r="AG244" s="571"/>
      <c r="AH244" s="571"/>
      <c r="AI244" s="571"/>
      <c r="AJ244" s="571"/>
      <c r="AK244" s="55"/>
      <c r="BH244"/>
      <c r="BL244" s="55"/>
    </row>
    <row r="245" spans="1:64" x14ac:dyDescent="0.35">
      <c r="A245" s="474" t="s">
        <v>421</v>
      </c>
      <c r="B245" s="474" t="s">
        <v>180</v>
      </c>
      <c r="C245" s="474" t="s">
        <v>30</v>
      </c>
      <c r="D245" s="475"/>
      <c r="E245" s="476" t="s">
        <v>151</v>
      </c>
      <c r="F245" s="477" t="s">
        <v>422</v>
      </c>
      <c r="G245" s="478" t="s">
        <v>180</v>
      </c>
      <c r="H245" s="474">
        <v>12</v>
      </c>
      <c r="I245" s="474"/>
      <c r="J245" s="474">
        <v>600</v>
      </c>
      <c r="L245" s="474">
        <v>15</v>
      </c>
      <c r="N245" s="474">
        <v>40</v>
      </c>
      <c r="O245" s="479">
        <v>195</v>
      </c>
      <c r="P245" s="479">
        <v>150</v>
      </c>
      <c r="Q245" s="479">
        <v>105</v>
      </c>
      <c r="R245" s="478">
        <v>1.26</v>
      </c>
      <c r="S245" s="478">
        <v>1.26</v>
      </c>
      <c r="T245" s="478" t="s">
        <v>264</v>
      </c>
      <c r="U245" s="478" t="s">
        <v>421</v>
      </c>
      <c r="V245" s="571" t="b">
        <v>0</v>
      </c>
      <c r="W245" s="571">
        <v>1</v>
      </c>
      <c r="X245" s="571">
        <v>0</v>
      </c>
      <c r="Y245" s="571" t="s">
        <v>861</v>
      </c>
      <c r="Z245" s="478"/>
      <c r="AA245" s="571"/>
      <c r="AB245" s="571"/>
      <c r="AC245" s="571"/>
      <c r="AD245" s="571"/>
      <c r="AE245" s="571"/>
      <c r="AF245" s="571"/>
      <c r="AG245" s="571"/>
      <c r="AH245" s="571"/>
      <c r="AI245" s="571"/>
      <c r="AJ245" s="571"/>
      <c r="AK245" s="55"/>
      <c r="BH245"/>
      <c r="BL245" s="55"/>
    </row>
    <row r="246" spans="1:64" x14ac:dyDescent="0.35">
      <c r="A246" s="474" t="s">
        <v>423</v>
      </c>
      <c r="B246" s="474" t="s">
        <v>180</v>
      </c>
      <c r="C246" s="474" t="s">
        <v>30</v>
      </c>
      <c r="D246" s="475"/>
      <c r="E246" s="476" t="s">
        <v>151</v>
      </c>
      <c r="F246" s="477" t="s">
        <v>424</v>
      </c>
      <c r="G246" s="478" t="s">
        <v>180</v>
      </c>
      <c r="H246" s="474">
        <v>12</v>
      </c>
      <c r="I246" s="474"/>
      <c r="J246" s="474">
        <v>600</v>
      </c>
      <c r="L246" s="474">
        <v>15</v>
      </c>
      <c r="N246" s="474">
        <v>40</v>
      </c>
      <c r="O246" s="479">
        <v>195</v>
      </c>
      <c r="P246" s="479">
        <v>150</v>
      </c>
      <c r="Q246" s="479">
        <v>105</v>
      </c>
      <c r="R246" s="478">
        <v>1.26</v>
      </c>
      <c r="S246" s="478">
        <v>1.26</v>
      </c>
      <c r="T246" s="478" t="s">
        <v>264</v>
      </c>
      <c r="U246" s="478" t="s">
        <v>423</v>
      </c>
      <c r="V246" s="571" t="b">
        <v>0</v>
      </c>
      <c r="W246" s="571">
        <v>1</v>
      </c>
      <c r="X246" s="571">
        <v>0</v>
      </c>
      <c r="Y246" s="571" t="s">
        <v>861</v>
      </c>
      <c r="Z246" s="478"/>
      <c r="AA246" s="571"/>
      <c r="AB246" s="571"/>
      <c r="AC246" s="571"/>
      <c r="AD246" s="571"/>
      <c r="AE246" s="571"/>
      <c r="AF246" s="571"/>
      <c r="AG246" s="571"/>
      <c r="AH246" s="571"/>
      <c r="AI246" s="571"/>
      <c r="AJ246" s="571"/>
      <c r="AK246" s="55"/>
      <c r="BH246"/>
      <c r="BL246" s="55"/>
    </row>
    <row r="247" spans="1:64" x14ac:dyDescent="0.35">
      <c r="A247" s="474" t="s">
        <v>425</v>
      </c>
      <c r="B247" s="474" t="s">
        <v>180</v>
      </c>
      <c r="C247" s="474" t="s">
        <v>30</v>
      </c>
      <c r="D247" s="475"/>
      <c r="E247" s="476" t="s">
        <v>151</v>
      </c>
      <c r="F247" s="477" t="s">
        <v>426</v>
      </c>
      <c r="G247" s="478" t="s">
        <v>180</v>
      </c>
      <c r="H247" s="474">
        <v>12</v>
      </c>
      <c r="I247" s="474"/>
      <c r="J247" s="474">
        <v>600</v>
      </c>
      <c r="L247" s="474">
        <v>15</v>
      </c>
      <c r="N247" s="474">
        <v>40</v>
      </c>
      <c r="O247" s="479">
        <v>195</v>
      </c>
      <c r="P247" s="479">
        <v>150</v>
      </c>
      <c r="Q247" s="479">
        <v>105</v>
      </c>
      <c r="R247" s="478">
        <v>1.26</v>
      </c>
      <c r="S247" s="478">
        <v>1.26</v>
      </c>
      <c r="T247" s="478" t="s">
        <v>264</v>
      </c>
      <c r="U247" s="478" t="s">
        <v>425</v>
      </c>
      <c r="V247" s="571" t="b">
        <v>0</v>
      </c>
      <c r="W247" s="571">
        <v>1</v>
      </c>
      <c r="X247" s="571">
        <v>0</v>
      </c>
      <c r="Y247" s="571" t="s">
        <v>861</v>
      </c>
      <c r="Z247" s="478"/>
      <c r="AA247" s="571"/>
      <c r="AB247" s="571"/>
      <c r="AC247" s="571"/>
      <c r="AD247" s="571"/>
      <c r="AE247" s="571"/>
      <c r="AF247" s="571"/>
      <c r="AG247" s="571"/>
      <c r="AH247" s="571"/>
      <c r="AI247" s="571"/>
      <c r="AJ247" s="571"/>
      <c r="AK247" s="55"/>
      <c r="BH247"/>
      <c r="BL247" s="55"/>
    </row>
    <row r="248" spans="1:64" x14ac:dyDescent="0.35">
      <c r="A248" s="474" t="s">
        <v>751</v>
      </c>
      <c r="B248" s="474" t="s">
        <v>1055</v>
      </c>
      <c r="C248" s="474" t="s">
        <v>19</v>
      </c>
      <c r="D248" s="475"/>
      <c r="E248" s="242" t="s">
        <v>1155</v>
      </c>
      <c r="F248" s="477" t="s">
        <v>752</v>
      </c>
      <c r="G248" s="478" t="s">
        <v>977</v>
      </c>
      <c r="H248" s="474"/>
      <c r="I248" s="474"/>
      <c r="J248" s="474"/>
      <c r="L248" s="474"/>
      <c r="N248" s="474"/>
      <c r="O248" s="479"/>
      <c r="P248" s="479"/>
      <c r="Q248" s="479"/>
      <c r="R248" s="478"/>
      <c r="S248" s="478"/>
      <c r="T248" s="478"/>
      <c r="U248" s="478" t="s">
        <v>751</v>
      </c>
      <c r="V248" s="571" t="b">
        <v>0</v>
      </c>
      <c r="W248" s="571">
        <v>1</v>
      </c>
      <c r="X248" s="571">
        <v>0</v>
      </c>
      <c r="Y248" s="571" t="s">
        <v>861</v>
      </c>
      <c r="Z248" s="478">
        <v>50</v>
      </c>
      <c r="AA248" s="571"/>
      <c r="AB248" s="571"/>
      <c r="AC248" s="571"/>
      <c r="AD248" s="571"/>
      <c r="AE248" s="571"/>
      <c r="AF248" s="571"/>
      <c r="AG248" s="571"/>
      <c r="AH248" s="571"/>
      <c r="AI248" s="571"/>
      <c r="AJ248" s="571"/>
      <c r="AK248" s="55"/>
      <c r="BH248"/>
      <c r="BL248" s="55"/>
    </row>
    <row r="249" spans="1:64" x14ac:dyDescent="0.35">
      <c r="A249" s="474" t="s">
        <v>753</v>
      </c>
      <c r="B249" s="474" t="s">
        <v>1055</v>
      </c>
      <c r="C249" s="474" t="s">
        <v>30</v>
      </c>
      <c r="D249" s="475"/>
      <c r="E249" s="242" t="s">
        <v>1155</v>
      </c>
      <c r="F249" s="477" t="s">
        <v>754</v>
      </c>
      <c r="G249" s="478" t="s">
        <v>977</v>
      </c>
      <c r="H249" s="474"/>
      <c r="I249" s="474"/>
      <c r="J249" s="474"/>
      <c r="L249" s="474"/>
      <c r="N249" s="474"/>
      <c r="O249" s="479"/>
      <c r="P249" s="479"/>
      <c r="Q249" s="479"/>
      <c r="R249" s="478"/>
      <c r="S249" s="478"/>
      <c r="T249" s="478"/>
      <c r="U249" s="478" t="s">
        <v>753</v>
      </c>
      <c r="V249" s="571" t="b">
        <v>0</v>
      </c>
      <c r="W249" s="571">
        <v>1</v>
      </c>
      <c r="X249" s="571">
        <v>0</v>
      </c>
      <c r="Y249" s="571" t="s">
        <v>861</v>
      </c>
      <c r="Z249" s="478">
        <v>50</v>
      </c>
      <c r="AA249" s="571"/>
      <c r="AB249" s="571"/>
      <c r="AC249" s="571"/>
      <c r="AD249" s="571"/>
      <c r="AE249" s="571"/>
      <c r="AF249" s="571"/>
      <c r="AG249" s="571"/>
      <c r="AH249" s="571"/>
      <c r="AI249" s="571"/>
      <c r="AJ249" s="571"/>
      <c r="AK249" s="55"/>
      <c r="BH249"/>
      <c r="BL249" s="55"/>
    </row>
    <row r="250" spans="1:64" x14ac:dyDescent="0.35">
      <c r="A250" s="474" t="s">
        <v>1031</v>
      </c>
      <c r="B250" s="474" t="s">
        <v>1055</v>
      </c>
      <c r="C250" s="474" t="s">
        <v>19</v>
      </c>
      <c r="D250" s="475"/>
      <c r="E250" s="242" t="s">
        <v>1155</v>
      </c>
      <c r="F250" s="477" t="s">
        <v>1030</v>
      </c>
      <c r="G250" s="478" t="s">
        <v>977</v>
      </c>
      <c r="H250" s="474"/>
      <c r="I250" s="474"/>
      <c r="J250" s="474"/>
      <c r="L250" s="474"/>
      <c r="N250" s="474"/>
      <c r="O250" s="479"/>
      <c r="P250" s="479"/>
      <c r="Q250" s="479"/>
      <c r="R250" s="478"/>
      <c r="S250" s="478"/>
      <c r="T250" s="478"/>
      <c r="U250" s="478" t="s">
        <v>1031</v>
      </c>
      <c r="V250" s="571" t="b">
        <v>0</v>
      </c>
      <c r="W250" s="571">
        <v>1</v>
      </c>
      <c r="X250" s="571">
        <v>0</v>
      </c>
      <c r="Y250" s="571" t="s">
        <v>861</v>
      </c>
      <c r="Z250" s="478">
        <v>50</v>
      </c>
      <c r="AA250" s="571"/>
      <c r="AB250" s="571"/>
      <c r="AC250" s="571"/>
      <c r="AD250" s="571"/>
      <c r="AE250" s="571"/>
      <c r="AF250" s="571"/>
      <c r="AG250" s="571"/>
      <c r="AH250" s="571"/>
      <c r="AI250" s="571"/>
      <c r="AJ250" s="571"/>
      <c r="AK250" s="55"/>
      <c r="BH250"/>
      <c r="BL250" s="55"/>
    </row>
    <row r="251" spans="1:64" x14ac:dyDescent="0.35">
      <c r="A251" s="474" t="s">
        <v>1032</v>
      </c>
      <c r="B251" s="474" t="s">
        <v>1055</v>
      </c>
      <c r="C251" s="474" t="s">
        <v>30</v>
      </c>
      <c r="D251" s="475"/>
      <c r="E251" s="242" t="s">
        <v>1155</v>
      </c>
      <c r="F251" s="477" t="s">
        <v>1033</v>
      </c>
      <c r="G251" s="478" t="s">
        <v>977</v>
      </c>
      <c r="H251" s="474"/>
      <c r="I251" s="474"/>
      <c r="J251" s="474"/>
      <c r="L251" s="474"/>
      <c r="N251" s="474"/>
      <c r="O251" s="479"/>
      <c r="P251" s="479"/>
      <c r="Q251" s="479"/>
      <c r="R251" s="478"/>
      <c r="S251" s="478"/>
      <c r="T251" s="478"/>
      <c r="U251" s="478" t="s">
        <v>1032</v>
      </c>
      <c r="V251" s="571" t="b">
        <v>0</v>
      </c>
      <c r="W251" s="571">
        <v>1</v>
      </c>
      <c r="X251" s="571">
        <v>0</v>
      </c>
      <c r="Y251" s="571" t="s">
        <v>861</v>
      </c>
      <c r="Z251" s="478">
        <v>50</v>
      </c>
      <c r="AA251" s="571"/>
      <c r="AB251" s="571"/>
      <c r="AC251" s="571"/>
      <c r="AD251" s="571"/>
      <c r="AE251" s="571"/>
      <c r="AF251" s="571"/>
      <c r="AG251" s="571"/>
      <c r="AH251" s="571"/>
      <c r="AI251" s="571"/>
      <c r="AJ251" s="571"/>
      <c r="AK251" s="55"/>
      <c r="BH251"/>
      <c r="BL251" s="55"/>
    </row>
    <row r="252" spans="1:64" x14ac:dyDescent="0.35">
      <c r="A252" s="474" t="s">
        <v>755</v>
      </c>
      <c r="B252" s="474" t="s">
        <v>1055</v>
      </c>
      <c r="C252" s="474" t="s">
        <v>19</v>
      </c>
      <c r="D252" s="475"/>
      <c r="E252" s="242" t="s">
        <v>1155</v>
      </c>
      <c r="F252" s="477" t="s">
        <v>756</v>
      </c>
      <c r="G252" s="478" t="s">
        <v>977</v>
      </c>
      <c r="H252" s="474"/>
      <c r="I252" s="474"/>
      <c r="J252" s="474"/>
      <c r="L252" s="474"/>
      <c r="N252" s="474"/>
      <c r="O252" s="479"/>
      <c r="P252" s="479"/>
      <c r="Q252" s="479"/>
      <c r="R252" s="478"/>
      <c r="S252" s="478"/>
      <c r="T252" s="478"/>
      <c r="U252" s="478" t="s">
        <v>755</v>
      </c>
      <c r="V252" s="571" t="b">
        <v>0</v>
      </c>
      <c r="W252" s="571">
        <v>1</v>
      </c>
      <c r="X252" s="571">
        <v>0</v>
      </c>
      <c r="Y252" s="571" t="s">
        <v>861</v>
      </c>
      <c r="Z252" s="478">
        <v>100</v>
      </c>
      <c r="AA252" s="571"/>
      <c r="AB252" s="571"/>
      <c r="AC252" s="571"/>
      <c r="AD252" s="571"/>
      <c r="AE252" s="571"/>
      <c r="AF252" s="571"/>
      <c r="AG252" s="571"/>
      <c r="AH252" s="571"/>
      <c r="AI252" s="571"/>
      <c r="AJ252" s="571"/>
      <c r="AK252" s="55"/>
      <c r="BH252"/>
      <c r="BL252" s="55"/>
    </row>
    <row r="253" spans="1:64" x14ac:dyDescent="0.35">
      <c r="A253" s="474" t="s">
        <v>757</v>
      </c>
      <c r="B253" s="474" t="s">
        <v>1055</v>
      </c>
      <c r="C253" s="474" t="s">
        <v>30</v>
      </c>
      <c r="D253" s="475"/>
      <c r="E253" s="242" t="s">
        <v>1155</v>
      </c>
      <c r="F253" s="477" t="s">
        <v>758</v>
      </c>
      <c r="G253" s="478" t="s">
        <v>977</v>
      </c>
      <c r="H253" s="474"/>
      <c r="I253" s="474"/>
      <c r="J253" s="474"/>
      <c r="L253" s="474"/>
      <c r="N253" s="474"/>
      <c r="O253" s="479"/>
      <c r="P253" s="479"/>
      <c r="Q253" s="479"/>
      <c r="R253" s="478"/>
      <c r="S253" s="478"/>
      <c r="T253" s="478"/>
      <c r="U253" s="478" t="s">
        <v>757</v>
      </c>
      <c r="V253" s="571" t="b">
        <v>0</v>
      </c>
      <c r="W253" s="571">
        <v>1</v>
      </c>
      <c r="X253" s="571">
        <v>0</v>
      </c>
      <c r="Y253" s="571" t="s">
        <v>861</v>
      </c>
      <c r="Z253" s="478">
        <v>100</v>
      </c>
      <c r="AA253" s="571"/>
      <c r="AB253" s="571"/>
      <c r="AC253" s="571"/>
      <c r="AD253" s="571"/>
      <c r="AE253" s="571"/>
      <c r="AF253" s="571"/>
      <c r="AG253" s="571"/>
      <c r="AH253" s="571"/>
      <c r="AI253" s="571"/>
      <c r="AJ253" s="571"/>
      <c r="AK253" s="55"/>
      <c r="BH253"/>
      <c r="BL253" s="55"/>
    </row>
    <row r="254" spans="1:64" x14ac:dyDescent="0.35">
      <c r="A254" s="557" t="s">
        <v>1018</v>
      </c>
      <c r="B254" s="504" t="s">
        <v>1055</v>
      </c>
      <c r="C254" s="57" t="s">
        <v>19</v>
      </c>
      <c r="D254" s="558"/>
      <c r="F254" s="55" t="s">
        <v>1068</v>
      </c>
      <c r="G254" s="56" t="s">
        <v>977</v>
      </c>
      <c r="O254" s="491"/>
      <c r="P254" s="491"/>
      <c r="Q254" s="491"/>
      <c r="T254" s="56"/>
      <c r="U254" s="56"/>
      <c r="V254" s="571" t="b">
        <v>0</v>
      </c>
      <c r="W254" s="571">
        <v>1</v>
      </c>
      <c r="X254" s="571">
        <v>0</v>
      </c>
      <c r="Y254" s="571" t="s">
        <v>861</v>
      </c>
      <c r="AA254" s="571"/>
      <c r="AB254" s="571"/>
      <c r="AC254" s="571"/>
      <c r="AD254" s="571"/>
      <c r="AE254" s="571"/>
      <c r="AF254" s="571"/>
      <c r="AG254" s="571"/>
      <c r="AH254" s="571"/>
      <c r="AI254" s="571"/>
      <c r="AJ254" s="571"/>
      <c r="AK254" s="55"/>
      <c r="BH254"/>
      <c r="BL254" s="55"/>
    </row>
    <row r="255" spans="1:64" x14ac:dyDescent="0.35">
      <c r="A255" s="504" t="s">
        <v>1162</v>
      </c>
      <c r="B255" s="57" t="s">
        <v>1055</v>
      </c>
      <c r="C255" s="504"/>
      <c r="D255" s="505"/>
      <c r="E255" s="509"/>
      <c r="F255" s="510" t="s">
        <v>1161</v>
      </c>
      <c r="G255" s="506"/>
      <c r="H255" s="504"/>
      <c r="I255" s="504"/>
      <c r="J255" s="504"/>
      <c r="L255" s="504"/>
      <c r="N255" s="504"/>
      <c r="O255" s="507"/>
      <c r="P255" s="507"/>
      <c r="Q255" s="507"/>
      <c r="R255" s="506"/>
      <c r="S255" s="506"/>
      <c r="T255" s="506"/>
      <c r="U255" s="508"/>
      <c r="V255" s="571" t="b">
        <v>0</v>
      </c>
      <c r="W255" s="571">
        <v>1</v>
      </c>
      <c r="X255" s="571">
        <v>0</v>
      </c>
      <c r="Y255" s="571" t="s">
        <v>861</v>
      </c>
      <c r="Z255" s="506"/>
      <c r="AA255" s="571"/>
      <c r="AB255" s="571"/>
      <c r="AC255" s="571"/>
      <c r="AD255" s="571"/>
      <c r="AE255" s="571"/>
      <c r="AF255" s="571"/>
      <c r="AG255" s="571"/>
      <c r="AH255" s="571"/>
      <c r="AI255" s="571"/>
      <c r="AJ255" s="571"/>
      <c r="AK255" s="55"/>
      <c r="BH255"/>
      <c r="BL255" s="55"/>
    </row>
  </sheetData>
  <phoneticPr fontId="56" type="noConversion"/>
  <conditionalFormatting sqref="A196">
    <cfRule type="duplicateValues" dxfId="204" priority="2"/>
  </conditionalFormatting>
  <conditionalFormatting sqref="A227:A255">
    <cfRule type="duplicateValues" dxfId="203" priority="92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5"/>
  <dimension ref="A1:AZ70"/>
  <sheetViews>
    <sheetView workbookViewId="0">
      <pane xSplit="1" ySplit="1" topLeftCell="D20" activePane="bottomRight" state="frozen"/>
      <selection activeCell="E3" sqref="E3:I3"/>
      <selection pane="topRight" activeCell="E3" sqref="E3:I3"/>
      <selection pane="bottomLeft" activeCell="E3" sqref="E3:I3"/>
      <selection pane="bottomRight" activeCell="F53" sqref="F53"/>
    </sheetView>
  </sheetViews>
  <sheetFormatPr defaultColWidth="8.7265625" defaultRowHeight="14.5" x14ac:dyDescent="0.35"/>
  <cols>
    <col min="1" max="1" width="31.1796875" style="53" bestFit="1" customWidth="1"/>
    <col min="2" max="2" width="17" style="1" bestFit="1" customWidth="1"/>
    <col min="3" max="3" width="105.7265625" style="53" bestFit="1" customWidth="1"/>
    <col min="4" max="4" width="42.54296875" bestFit="1" customWidth="1"/>
    <col min="5" max="6" width="38.7265625" bestFit="1" customWidth="1"/>
    <col min="7" max="7" width="39.54296875" bestFit="1" customWidth="1"/>
    <col min="8" max="8" width="38.26953125" bestFit="1" customWidth="1"/>
    <col min="9" max="11" width="38.26953125" customWidth="1"/>
    <col min="12" max="12" width="46.26953125" style="63" bestFit="1" customWidth="1"/>
    <col min="13" max="13" width="33" style="63" bestFit="1" customWidth="1"/>
    <col min="14" max="14" width="39.54296875" style="63" bestFit="1" customWidth="1"/>
    <col min="15" max="15" width="28.26953125" bestFit="1" customWidth="1"/>
    <col min="16" max="16" width="57.81640625" style="1" bestFit="1" customWidth="1"/>
    <col min="17" max="17" width="55.81640625" customWidth="1"/>
    <col min="18" max="18" width="12" style="1" bestFit="1" customWidth="1"/>
    <col min="19" max="19" width="8.7265625" style="54"/>
    <col min="20" max="20" width="31.7265625" style="1" customWidth="1"/>
    <col min="21" max="21" width="34.54296875" style="513" customWidth="1"/>
    <col min="22" max="26" width="16.1796875" style="223" customWidth="1"/>
    <col min="27" max="27" width="24.26953125" bestFit="1" customWidth="1"/>
    <col min="28" max="28" width="16.54296875" customWidth="1"/>
    <col min="29" max="29" width="18" customWidth="1"/>
    <col min="30" max="30" width="23.54296875" customWidth="1"/>
    <col min="31" max="31" width="23.54296875" bestFit="1" customWidth="1"/>
  </cols>
  <sheetData>
    <row r="1" spans="1:52" s="4" customFormat="1" x14ac:dyDescent="0.35">
      <c r="A1" s="4" t="s">
        <v>206</v>
      </c>
      <c r="B1" s="4" t="s">
        <v>207</v>
      </c>
      <c r="C1" s="4" t="s">
        <v>208</v>
      </c>
      <c r="D1" s="4" t="s">
        <v>209</v>
      </c>
      <c r="E1" s="4" t="s">
        <v>210</v>
      </c>
      <c r="F1" s="4" t="s">
        <v>1632</v>
      </c>
      <c r="G1" s="4" t="s">
        <v>211</v>
      </c>
      <c r="H1" s="4" t="s">
        <v>212</v>
      </c>
      <c r="I1" s="4" t="s">
        <v>213</v>
      </c>
      <c r="J1" s="4" t="s">
        <v>214</v>
      </c>
      <c r="K1" s="4" t="s">
        <v>664</v>
      </c>
      <c r="L1" s="4" t="s">
        <v>215</v>
      </c>
      <c r="M1" s="4" t="s">
        <v>216</v>
      </c>
      <c r="N1" s="4" t="s">
        <v>217</v>
      </c>
      <c r="O1" s="4" t="s">
        <v>218</v>
      </c>
      <c r="P1" s="4" t="s">
        <v>219</v>
      </c>
      <c r="Q1" s="4" t="s">
        <v>220</v>
      </c>
      <c r="R1" s="4" t="s">
        <v>221</v>
      </c>
      <c r="S1" s="52" t="s">
        <v>222</v>
      </c>
      <c r="T1" s="4" t="s">
        <v>223</v>
      </c>
      <c r="U1" s="4" t="s">
        <v>224</v>
      </c>
      <c r="V1" s="4" t="s">
        <v>1306</v>
      </c>
      <c r="W1" s="4" t="s">
        <v>1305</v>
      </c>
      <c r="X1" s="4" t="s">
        <v>1302</v>
      </c>
      <c r="Y1" s="4" t="s">
        <v>1303</v>
      </c>
      <c r="Z1" s="4" t="s">
        <v>1304</v>
      </c>
      <c r="AA1" s="4" t="s">
        <v>1307</v>
      </c>
      <c r="AB1" s="4" t="s">
        <v>1367</v>
      </c>
      <c r="AC1" s="4" t="s">
        <v>1375</v>
      </c>
      <c r="AD1" s="4" t="s">
        <v>1376</v>
      </c>
      <c r="AE1" s="4" t="s">
        <v>1393</v>
      </c>
      <c r="AZ1" s="4">
        <f>COUNTA(A:A)</f>
        <v>53</v>
      </c>
    </row>
    <row r="2" spans="1:52" x14ac:dyDescent="0.35">
      <c r="A2" s="53" t="s">
        <v>225</v>
      </c>
      <c r="B2" s="1" t="s">
        <v>226</v>
      </c>
      <c r="C2" s="53" t="s">
        <v>258</v>
      </c>
      <c r="D2" s="53" t="s">
        <v>227</v>
      </c>
      <c r="E2" s="53"/>
      <c r="F2" s="53" t="s">
        <v>227</v>
      </c>
      <c r="G2" s="53" t="s">
        <v>228</v>
      </c>
      <c r="H2" s="53" t="s">
        <v>229</v>
      </c>
      <c r="I2" s="484" t="s">
        <v>230</v>
      </c>
      <c r="J2" s="484"/>
      <c r="K2" s="484" t="s">
        <v>710</v>
      </c>
      <c r="L2" s="485" t="s">
        <v>231</v>
      </c>
      <c r="M2" s="485" t="s">
        <v>232</v>
      </c>
      <c r="N2" s="485" t="s">
        <v>230</v>
      </c>
      <c r="O2" s="579" t="s">
        <v>1634</v>
      </c>
      <c r="P2" s="1" t="s">
        <v>954</v>
      </c>
      <c r="Q2" t="s">
        <v>234</v>
      </c>
      <c r="R2" s="1" t="s">
        <v>235</v>
      </c>
      <c r="S2" s="54" t="s">
        <v>236</v>
      </c>
      <c r="T2" s="1" t="s">
        <v>237</v>
      </c>
      <c r="U2" s="513" t="s">
        <v>861</v>
      </c>
      <c r="V2" s="3" t="b">
        <v>0</v>
      </c>
      <c r="W2" s="3" t="b">
        <v>0</v>
      </c>
      <c r="X2" s="3" t="b">
        <v>0</v>
      </c>
      <c r="Y2" s="3" t="b">
        <v>0</v>
      </c>
      <c r="Z2" s="3" t="b">
        <v>0</v>
      </c>
      <c r="AA2" s="3" t="b">
        <v>1</v>
      </c>
      <c r="AB2" s="3" t="b">
        <v>0</v>
      </c>
      <c r="AC2" s="1"/>
      <c r="AD2" s="1" t="s">
        <v>1380</v>
      </c>
      <c r="AE2" s="1" t="b">
        <v>0</v>
      </c>
    </row>
    <row r="3" spans="1:52" x14ac:dyDescent="0.35">
      <c r="A3" s="53" t="s">
        <v>238</v>
      </c>
      <c r="B3" s="1" t="s">
        <v>239</v>
      </c>
      <c r="C3" s="53" t="s">
        <v>859</v>
      </c>
      <c r="D3" s="53" t="s">
        <v>948</v>
      </c>
      <c r="E3" s="53" t="s">
        <v>1291</v>
      </c>
      <c r="F3" s="53" t="s">
        <v>948</v>
      </c>
      <c r="G3" s="53" t="s">
        <v>240</v>
      </c>
      <c r="H3" s="53" t="s">
        <v>241</v>
      </c>
      <c r="I3" s="484" t="s">
        <v>242</v>
      </c>
      <c r="J3" s="484"/>
      <c r="K3" s="579" t="s">
        <v>960</v>
      </c>
      <c r="L3" s="485" t="s">
        <v>959</v>
      </c>
      <c r="M3" s="485" t="s">
        <v>1292</v>
      </c>
      <c r="N3" s="485" t="s">
        <v>960</v>
      </c>
      <c r="O3" s="579" t="s">
        <v>1633</v>
      </c>
      <c r="P3" s="1" t="s">
        <v>954</v>
      </c>
      <c r="Q3" t="s">
        <v>327</v>
      </c>
      <c r="R3" s="1" t="s">
        <v>235</v>
      </c>
      <c r="S3" s="54" t="s">
        <v>236</v>
      </c>
      <c r="T3" s="1" t="s">
        <v>237</v>
      </c>
      <c r="U3" s="513" t="s">
        <v>861</v>
      </c>
      <c r="V3" s="3" t="b">
        <v>1</v>
      </c>
      <c r="W3" s="3" t="b">
        <v>0</v>
      </c>
      <c r="X3" s="3" t="b">
        <v>0</v>
      </c>
      <c r="Y3" s="3" t="b">
        <v>0</v>
      </c>
      <c r="Z3" s="3" t="b">
        <v>0</v>
      </c>
      <c r="AA3" s="3" t="b">
        <v>1</v>
      </c>
      <c r="AB3" s="3" t="b">
        <v>0</v>
      </c>
      <c r="AC3" s="1"/>
      <c r="AD3" s="1" t="s">
        <v>1380</v>
      </c>
      <c r="AE3" s="1" t="b">
        <v>0</v>
      </c>
    </row>
    <row r="4" spans="1:52" x14ac:dyDescent="0.35">
      <c r="A4" s="53" t="s">
        <v>243</v>
      </c>
      <c r="B4" s="1" t="s">
        <v>244</v>
      </c>
      <c r="C4" s="53" t="s">
        <v>859</v>
      </c>
      <c r="D4" s="53" t="s">
        <v>245</v>
      </c>
      <c r="E4" s="53"/>
      <c r="F4" s="53" t="s">
        <v>245</v>
      </c>
      <c r="G4" s="53" t="s">
        <v>246</v>
      </c>
      <c r="H4" s="53" t="s">
        <v>247</v>
      </c>
      <c r="I4" s="484" t="s">
        <v>248</v>
      </c>
      <c r="J4" s="484"/>
      <c r="K4" s="484"/>
      <c r="L4" s="485" t="s">
        <v>246</v>
      </c>
      <c r="M4" s="485" t="s">
        <v>247</v>
      </c>
      <c r="N4" s="485" t="s">
        <v>248</v>
      </c>
      <c r="O4" s="579" t="s">
        <v>1635</v>
      </c>
      <c r="P4" s="1" t="s">
        <v>954</v>
      </c>
      <c r="Q4" t="s">
        <v>327</v>
      </c>
      <c r="R4" s="1" t="s">
        <v>235</v>
      </c>
      <c r="S4" s="54" t="s">
        <v>236</v>
      </c>
      <c r="T4" s="1" t="s">
        <v>237</v>
      </c>
      <c r="V4" s="3" t="b">
        <v>0</v>
      </c>
      <c r="W4" s="3" t="b">
        <v>0</v>
      </c>
      <c r="X4" s="3" t="b">
        <v>0</v>
      </c>
      <c r="Y4" s="3" t="b">
        <v>0</v>
      </c>
      <c r="Z4" s="3" t="b">
        <v>0</v>
      </c>
      <c r="AA4" s="3" t="b">
        <v>0</v>
      </c>
      <c r="AB4" s="3" t="b">
        <v>0</v>
      </c>
      <c r="AC4" s="1"/>
      <c r="AD4" s="1" t="s">
        <v>1380</v>
      </c>
      <c r="AE4" s="1" t="b">
        <v>0</v>
      </c>
    </row>
    <row r="5" spans="1:52" x14ac:dyDescent="0.35">
      <c r="A5" s="53" t="s">
        <v>249</v>
      </c>
      <c r="B5" s="1" t="s">
        <v>250</v>
      </c>
      <c r="C5" s="53" t="s">
        <v>859</v>
      </c>
      <c r="D5" s="53" t="s">
        <v>251</v>
      </c>
      <c r="E5" s="53"/>
      <c r="F5" s="53" t="s">
        <v>251</v>
      </c>
      <c r="G5" s="53" t="s">
        <v>252</v>
      </c>
      <c r="H5" s="53" t="s">
        <v>591</v>
      </c>
      <c r="I5" s="484" t="s">
        <v>1027</v>
      </c>
      <c r="J5" s="484" t="s">
        <v>1028</v>
      </c>
      <c r="K5" s="484" t="s">
        <v>1029</v>
      </c>
      <c r="L5" s="485" t="s">
        <v>252</v>
      </c>
      <c r="M5" s="485" t="s">
        <v>591</v>
      </c>
      <c r="N5" s="485" t="s">
        <v>988</v>
      </c>
      <c r="O5" s="484"/>
      <c r="P5" s="1" t="s">
        <v>954</v>
      </c>
      <c r="Q5" t="s">
        <v>327</v>
      </c>
      <c r="R5" s="1" t="s">
        <v>253</v>
      </c>
      <c r="S5" s="54" t="s">
        <v>285</v>
      </c>
      <c r="T5" s="1" t="s">
        <v>286</v>
      </c>
      <c r="U5" s="513" t="s">
        <v>1420</v>
      </c>
      <c r="V5" s="3" t="b">
        <v>0</v>
      </c>
      <c r="W5" s="3" t="b">
        <v>0</v>
      </c>
      <c r="X5" s="3" t="b">
        <v>0</v>
      </c>
      <c r="Y5" s="3" t="b">
        <v>0</v>
      </c>
      <c r="Z5" s="3" t="b">
        <v>0</v>
      </c>
      <c r="AA5" s="3" t="b">
        <v>0</v>
      </c>
      <c r="AB5" s="3" t="b">
        <v>0</v>
      </c>
      <c r="AC5" s="1"/>
      <c r="AD5" s="1" t="s">
        <v>1380</v>
      </c>
      <c r="AE5" s="1" t="b">
        <v>0</v>
      </c>
    </row>
    <row r="6" spans="1:52" x14ac:dyDescent="0.35">
      <c r="A6" s="53" t="s">
        <v>256</v>
      </c>
      <c r="B6" s="1" t="s">
        <v>257</v>
      </c>
      <c r="C6" s="53" t="s">
        <v>258</v>
      </c>
      <c r="D6" s="53" t="s">
        <v>259</v>
      </c>
      <c r="E6" s="53"/>
      <c r="F6" s="53" t="s">
        <v>259</v>
      </c>
      <c r="G6" s="53" t="s">
        <v>260</v>
      </c>
      <c r="H6" s="53" t="s">
        <v>261</v>
      </c>
      <c r="I6" s="484"/>
      <c r="J6" s="484"/>
      <c r="K6" s="484"/>
      <c r="L6" s="485" t="s">
        <v>592</v>
      </c>
      <c r="M6" s="485" t="s">
        <v>593</v>
      </c>
      <c r="N6" s="485" t="s">
        <v>262</v>
      </c>
      <c r="O6" s="484"/>
      <c r="P6" s="1" t="s">
        <v>954</v>
      </c>
      <c r="Q6" t="s">
        <v>327</v>
      </c>
      <c r="R6" s="1" t="s">
        <v>235</v>
      </c>
      <c r="S6" s="54" t="s">
        <v>254</v>
      </c>
      <c r="T6" s="1" t="s">
        <v>255</v>
      </c>
      <c r="V6" s="3" t="b">
        <v>0</v>
      </c>
      <c r="W6" s="3" t="b">
        <v>0</v>
      </c>
      <c r="X6" s="3" t="b">
        <v>0</v>
      </c>
      <c r="Y6" s="3" t="b">
        <v>0</v>
      </c>
      <c r="Z6" s="3" t="b">
        <v>0</v>
      </c>
      <c r="AA6" s="3" t="b">
        <v>0</v>
      </c>
      <c r="AB6" s="3" t="b">
        <v>0</v>
      </c>
      <c r="AC6" s="1"/>
      <c r="AD6" s="1" t="s">
        <v>1380</v>
      </c>
      <c r="AE6" s="1" t="b">
        <v>0</v>
      </c>
    </row>
    <row r="7" spans="1:52" x14ac:dyDescent="0.35">
      <c r="A7" s="53" t="s">
        <v>263</v>
      </c>
      <c r="B7" s="1" t="s">
        <v>264</v>
      </c>
      <c r="C7" s="53" t="s">
        <v>258</v>
      </c>
      <c r="D7" s="53" t="s">
        <v>263</v>
      </c>
      <c r="E7" s="53"/>
      <c r="F7" s="53" t="s">
        <v>263</v>
      </c>
      <c r="G7" s="53" t="s">
        <v>594</v>
      </c>
      <c r="H7" s="53" t="s">
        <v>265</v>
      </c>
      <c r="I7" s="484" t="s">
        <v>266</v>
      </c>
      <c r="J7" s="484"/>
      <c r="K7" s="484"/>
      <c r="L7" s="485"/>
      <c r="M7" s="485"/>
      <c r="N7" s="485"/>
      <c r="O7" s="484"/>
      <c r="P7" s="1" t="s">
        <v>954</v>
      </c>
      <c r="Q7" t="s">
        <v>327</v>
      </c>
      <c r="R7" s="1" t="s">
        <v>235</v>
      </c>
      <c r="S7" s="54" t="s">
        <v>254</v>
      </c>
      <c r="T7" s="1" t="s">
        <v>255</v>
      </c>
      <c r="V7" s="3" t="b">
        <v>0</v>
      </c>
      <c r="W7" s="3" t="b">
        <v>0</v>
      </c>
      <c r="X7" s="3" t="b">
        <v>0</v>
      </c>
      <c r="Y7" s="3" t="b">
        <v>0</v>
      </c>
      <c r="Z7" s="3" t="b">
        <v>0</v>
      </c>
      <c r="AA7" s="3" t="b">
        <v>0</v>
      </c>
      <c r="AB7" s="3" t="b">
        <v>0</v>
      </c>
      <c r="AC7" s="1"/>
      <c r="AD7" s="1" t="s">
        <v>1380</v>
      </c>
      <c r="AE7" s="1" t="b">
        <v>0</v>
      </c>
    </row>
    <row r="8" spans="1:52" x14ac:dyDescent="0.35">
      <c r="A8" s="582" t="s">
        <v>707</v>
      </c>
      <c r="B8" s="1" t="s">
        <v>1659</v>
      </c>
      <c r="C8" s="53" t="s">
        <v>590</v>
      </c>
      <c r="D8" s="53" t="s">
        <v>1660</v>
      </c>
      <c r="E8" s="53"/>
      <c r="F8" s="53" t="s">
        <v>1660</v>
      </c>
      <c r="G8" s="53" t="s">
        <v>1661</v>
      </c>
      <c r="H8" s="578" t="s">
        <v>1662</v>
      </c>
      <c r="I8" s="579" t="s">
        <v>1663</v>
      </c>
      <c r="J8" s="579"/>
      <c r="K8" s="579"/>
      <c r="L8" s="583"/>
      <c r="M8" s="583"/>
      <c r="N8" s="583"/>
      <c r="O8" s="579"/>
      <c r="Q8" s="53"/>
      <c r="V8" s="3" t="b">
        <v>0</v>
      </c>
      <c r="W8" s="3" t="b">
        <v>0</v>
      </c>
      <c r="X8" s="3" t="b">
        <v>0</v>
      </c>
      <c r="Y8" s="3" t="b">
        <v>0</v>
      </c>
      <c r="Z8" s="3" t="b">
        <v>0</v>
      </c>
      <c r="AA8" s="3" t="b">
        <v>0</v>
      </c>
      <c r="AB8" s="3" t="b">
        <v>0</v>
      </c>
      <c r="AC8" s="1"/>
      <c r="AD8" s="1"/>
      <c r="AE8" s="1" t="b">
        <v>0</v>
      </c>
    </row>
    <row r="9" spans="1:52" x14ac:dyDescent="0.35">
      <c r="A9" s="53" t="s">
        <v>267</v>
      </c>
      <c r="B9" s="1" t="s">
        <v>268</v>
      </c>
      <c r="C9" s="53" t="s">
        <v>1192</v>
      </c>
      <c r="D9" s="53" t="s">
        <v>269</v>
      </c>
      <c r="E9" s="53"/>
      <c r="F9" s="53" t="s">
        <v>269</v>
      </c>
      <c r="G9" s="53" t="s">
        <v>270</v>
      </c>
      <c r="H9" s="53" t="s">
        <v>1366</v>
      </c>
      <c r="I9" s="484" t="s">
        <v>268</v>
      </c>
      <c r="J9" s="484"/>
      <c r="K9" s="484" t="s">
        <v>1062</v>
      </c>
      <c r="L9" s="485" t="s">
        <v>270</v>
      </c>
      <c r="M9" s="485" t="s">
        <v>1366</v>
      </c>
      <c r="N9" s="485" t="s">
        <v>268</v>
      </c>
      <c r="O9" s="484" t="s">
        <v>1063</v>
      </c>
      <c r="P9" s="1" t="s">
        <v>994</v>
      </c>
      <c r="Q9" t="s">
        <v>327</v>
      </c>
      <c r="R9" s="1" t="s">
        <v>253</v>
      </c>
      <c r="S9" s="54" t="s">
        <v>254</v>
      </c>
      <c r="T9" s="1" t="s">
        <v>255</v>
      </c>
      <c r="U9" s="513" t="s">
        <v>1421</v>
      </c>
      <c r="V9" s="3" t="b">
        <v>0</v>
      </c>
      <c r="W9" s="3" t="b">
        <v>1</v>
      </c>
      <c r="X9" s="3" t="b">
        <v>0</v>
      </c>
      <c r="Y9" s="3" t="b">
        <v>0</v>
      </c>
      <c r="Z9" s="3" t="b">
        <v>0</v>
      </c>
      <c r="AA9" s="3" t="b">
        <v>0</v>
      </c>
      <c r="AB9" s="3" t="b">
        <v>0</v>
      </c>
      <c r="AC9" s="1" t="s">
        <v>1381</v>
      </c>
      <c r="AD9" s="1" t="s">
        <v>1380</v>
      </c>
      <c r="AE9" s="1" t="b">
        <v>0</v>
      </c>
    </row>
    <row r="10" spans="1:52" x14ac:dyDescent="0.35">
      <c r="A10" s="53" t="s">
        <v>273</v>
      </c>
      <c r="B10" s="1" t="s">
        <v>274</v>
      </c>
      <c r="C10" s="53" t="s">
        <v>590</v>
      </c>
      <c r="D10" s="53" t="s">
        <v>275</v>
      </c>
      <c r="E10" s="53"/>
      <c r="F10" s="53" t="s">
        <v>275</v>
      </c>
      <c r="G10" s="53" t="s">
        <v>276</v>
      </c>
      <c r="H10" s="53" t="s">
        <v>595</v>
      </c>
      <c r="I10" s="484"/>
      <c r="J10" s="484"/>
      <c r="K10" s="484"/>
      <c r="L10" s="485"/>
      <c r="M10" s="485"/>
      <c r="N10" s="485"/>
      <c r="O10" s="484"/>
      <c r="P10" s="1" t="s">
        <v>954</v>
      </c>
      <c r="R10" s="1" t="s">
        <v>253</v>
      </c>
      <c r="S10" s="54" t="s">
        <v>254</v>
      </c>
      <c r="T10" s="1" t="s">
        <v>255</v>
      </c>
      <c r="V10" s="3" t="b">
        <v>0</v>
      </c>
      <c r="W10" s="3" t="b">
        <v>0</v>
      </c>
      <c r="X10" s="3" t="b">
        <v>0</v>
      </c>
      <c r="Y10" s="3" t="b">
        <v>0</v>
      </c>
      <c r="Z10" s="3" t="b">
        <v>0</v>
      </c>
      <c r="AA10" s="3" t="b">
        <v>0</v>
      </c>
      <c r="AB10" s="3" t="b">
        <v>0</v>
      </c>
      <c r="AC10" s="1"/>
      <c r="AD10" s="1" t="s">
        <v>1380</v>
      </c>
      <c r="AE10" s="1" t="b">
        <v>0</v>
      </c>
    </row>
    <row r="11" spans="1:52" x14ac:dyDescent="0.35">
      <c r="A11" s="53" t="s">
        <v>277</v>
      </c>
      <c r="B11" s="1" t="s">
        <v>278</v>
      </c>
      <c r="C11" s="53" t="s">
        <v>258</v>
      </c>
      <c r="D11" s="53" t="s">
        <v>279</v>
      </c>
      <c r="E11" s="53"/>
      <c r="F11" s="53" t="s">
        <v>279</v>
      </c>
      <c r="G11" s="53" t="s">
        <v>596</v>
      </c>
      <c r="H11" s="53" t="s">
        <v>280</v>
      </c>
      <c r="I11" s="484" t="s">
        <v>281</v>
      </c>
      <c r="J11" s="484"/>
      <c r="K11" s="484" t="s">
        <v>1308</v>
      </c>
      <c r="L11" s="485" t="s">
        <v>282</v>
      </c>
      <c r="M11" s="485" t="s">
        <v>283</v>
      </c>
      <c r="N11" s="485"/>
      <c r="O11" s="579" t="s">
        <v>1636</v>
      </c>
      <c r="P11" s="1" t="s">
        <v>284</v>
      </c>
      <c r="Q11" t="s">
        <v>234</v>
      </c>
      <c r="R11" s="1" t="s">
        <v>235</v>
      </c>
      <c r="S11" s="54" t="s">
        <v>285</v>
      </c>
      <c r="T11" s="1" t="s">
        <v>286</v>
      </c>
      <c r="U11" s="513" t="s">
        <v>861</v>
      </c>
      <c r="V11" s="3" t="b">
        <v>1</v>
      </c>
      <c r="W11" s="3" t="b">
        <v>0</v>
      </c>
      <c r="X11" s="3" t="b">
        <v>0</v>
      </c>
      <c r="Y11" s="3" t="b">
        <v>0</v>
      </c>
      <c r="Z11" s="3" t="b">
        <v>0</v>
      </c>
      <c r="AA11" s="3" t="b">
        <v>0</v>
      </c>
      <c r="AB11" s="3" t="b">
        <v>0</v>
      </c>
      <c r="AC11" s="1"/>
      <c r="AD11" s="1" t="s">
        <v>1380</v>
      </c>
      <c r="AE11" s="1" t="b">
        <v>0</v>
      </c>
    </row>
    <row r="12" spans="1:52" x14ac:dyDescent="0.35">
      <c r="A12" s="53" t="s">
        <v>287</v>
      </c>
      <c r="B12" s="1" t="s">
        <v>288</v>
      </c>
      <c r="C12" s="53" t="s">
        <v>258</v>
      </c>
      <c r="D12" s="53" t="s">
        <v>289</v>
      </c>
      <c r="E12" s="53" t="s">
        <v>597</v>
      </c>
      <c r="F12" s="53" t="s">
        <v>289</v>
      </c>
      <c r="G12" s="53" t="s">
        <v>598</v>
      </c>
      <c r="H12" s="53" t="s">
        <v>290</v>
      </c>
      <c r="I12" s="484" t="s">
        <v>291</v>
      </c>
      <c r="J12" s="484"/>
      <c r="K12" s="484"/>
      <c r="L12" s="485" t="s">
        <v>599</v>
      </c>
      <c r="M12" s="485" t="s">
        <v>292</v>
      </c>
      <c r="N12" s="485" t="s">
        <v>600</v>
      </c>
      <c r="O12" s="579" t="s">
        <v>1637</v>
      </c>
      <c r="P12" s="1" t="s">
        <v>923</v>
      </c>
      <c r="Q12" t="s">
        <v>327</v>
      </c>
      <c r="R12" s="1" t="s">
        <v>235</v>
      </c>
      <c r="S12" s="54" t="s">
        <v>236</v>
      </c>
      <c r="T12" s="1" t="s">
        <v>237</v>
      </c>
      <c r="V12" s="3" t="b">
        <v>0</v>
      </c>
      <c r="W12" s="3" t="b">
        <v>0</v>
      </c>
      <c r="X12" s="3" t="b">
        <v>0</v>
      </c>
      <c r="Y12" s="3" t="b">
        <v>0</v>
      </c>
      <c r="Z12" s="3" t="b">
        <v>0</v>
      </c>
      <c r="AA12" s="3" t="b">
        <v>0</v>
      </c>
      <c r="AB12" s="3" t="b">
        <v>0</v>
      </c>
      <c r="AC12" s="1"/>
      <c r="AD12" s="1" t="s">
        <v>1380</v>
      </c>
      <c r="AE12" s="1" t="b">
        <v>0</v>
      </c>
    </row>
    <row r="13" spans="1:52" x14ac:dyDescent="0.35">
      <c r="A13" s="582" t="s">
        <v>293</v>
      </c>
      <c r="B13" s="1" t="s">
        <v>264</v>
      </c>
      <c r="C13" s="53" t="s">
        <v>590</v>
      </c>
      <c r="D13" s="53" t="s">
        <v>294</v>
      </c>
      <c r="E13" s="53"/>
      <c r="F13" s="53" t="s">
        <v>294</v>
      </c>
      <c r="G13" s="53" t="s">
        <v>295</v>
      </c>
      <c r="H13" s="53" t="s">
        <v>296</v>
      </c>
      <c r="I13" s="484" t="s">
        <v>297</v>
      </c>
      <c r="J13" s="484"/>
      <c r="K13" s="484" t="s">
        <v>928</v>
      </c>
      <c r="L13" s="53" t="s">
        <v>295</v>
      </c>
      <c r="M13" s="53" t="s">
        <v>296</v>
      </c>
      <c r="N13" s="484" t="s">
        <v>297</v>
      </c>
      <c r="O13" s="484"/>
      <c r="P13" s="1" t="s">
        <v>923</v>
      </c>
      <c r="Q13" t="s">
        <v>327</v>
      </c>
      <c r="R13" s="1" t="s">
        <v>235</v>
      </c>
      <c r="S13" s="54" t="s">
        <v>254</v>
      </c>
      <c r="T13" s="1" t="s">
        <v>255</v>
      </c>
      <c r="U13" s="513" t="s">
        <v>861</v>
      </c>
      <c r="V13" s="3" t="b">
        <v>0</v>
      </c>
      <c r="W13" s="3" t="b">
        <v>0</v>
      </c>
      <c r="X13" s="3" t="b">
        <v>0</v>
      </c>
      <c r="Y13" s="3" t="b">
        <v>0</v>
      </c>
      <c r="Z13" s="3" t="b">
        <v>0</v>
      </c>
      <c r="AA13" s="3" t="b">
        <v>0</v>
      </c>
      <c r="AB13" s="3" t="b">
        <v>0</v>
      </c>
      <c r="AC13" s="1"/>
      <c r="AD13" s="1" t="s">
        <v>1380</v>
      </c>
      <c r="AE13" s="1" t="b">
        <v>0</v>
      </c>
    </row>
    <row r="14" spans="1:52" x14ac:dyDescent="0.35">
      <c r="A14" s="53" t="s">
        <v>298</v>
      </c>
      <c r="B14" s="1" t="s">
        <v>299</v>
      </c>
      <c r="C14" s="53" t="s">
        <v>590</v>
      </c>
      <c r="D14" s="53" t="s">
        <v>300</v>
      </c>
      <c r="E14" s="53" t="s">
        <v>301</v>
      </c>
      <c r="F14" s="53" t="s">
        <v>300</v>
      </c>
      <c r="G14" s="53"/>
      <c r="H14" s="53"/>
      <c r="I14" s="484"/>
      <c r="J14" s="484"/>
      <c r="K14" s="484"/>
      <c r="L14" s="485" t="s">
        <v>601</v>
      </c>
      <c r="M14" s="485" t="s">
        <v>602</v>
      </c>
      <c r="N14" s="485" t="s">
        <v>299</v>
      </c>
      <c r="O14" s="484"/>
      <c r="P14" s="1" t="s">
        <v>954</v>
      </c>
      <c r="Q14" t="s">
        <v>302</v>
      </c>
      <c r="R14" s="1" t="s">
        <v>235</v>
      </c>
      <c r="S14" s="54" t="s">
        <v>254</v>
      </c>
      <c r="T14" s="1" t="s">
        <v>255</v>
      </c>
      <c r="V14" s="3" t="b">
        <v>0</v>
      </c>
      <c r="W14" s="3" t="b">
        <v>0</v>
      </c>
      <c r="X14" s="3" t="b">
        <v>0</v>
      </c>
      <c r="Y14" s="3" t="b">
        <v>0</v>
      </c>
      <c r="Z14" s="3" t="b">
        <v>0</v>
      </c>
      <c r="AA14" s="3" t="b">
        <v>0</v>
      </c>
      <c r="AB14" s="3" t="b">
        <v>0</v>
      </c>
      <c r="AC14" s="1"/>
      <c r="AD14" s="1" t="s">
        <v>1380</v>
      </c>
      <c r="AE14" s="1" t="b">
        <v>0</v>
      </c>
    </row>
    <row r="15" spans="1:52" x14ac:dyDescent="0.35">
      <c r="A15" s="53" t="s">
        <v>709</v>
      </c>
      <c r="B15" s="1" t="s">
        <v>303</v>
      </c>
      <c r="C15" s="53" t="s">
        <v>258</v>
      </c>
      <c r="D15" s="53" t="s">
        <v>603</v>
      </c>
      <c r="E15" s="53"/>
      <c r="F15" s="53" t="s">
        <v>603</v>
      </c>
      <c r="G15" s="53"/>
      <c r="H15" s="53"/>
      <c r="I15" s="484"/>
      <c r="J15" s="484"/>
      <c r="K15" s="484"/>
      <c r="L15" s="485"/>
      <c r="M15" s="485"/>
      <c r="N15" s="485"/>
      <c r="O15" s="484"/>
      <c r="R15" s="1" t="s">
        <v>235</v>
      </c>
      <c r="S15" s="54" t="s">
        <v>236</v>
      </c>
      <c r="T15" s="1" t="s">
        <v>237</v>
      </c>
      <c r="V15" s="3" t="b">
        <v>0</v>
      </c>
      <c r="W15" s="3" t="b">
        <v>0</v>
      </c>
      <c r="X15" s="3" t="b">
        <v>0</v>
      </c>
      <c r="Y15" s="3" t="b">
        <v>0</v>
      </c>
      <c r="Z15" s="3" t="b">
        <v>0</v>
      </c>
      <c r="AA15" s="3" t="b">
        <v>0</v>
      </c>
      <c r="AB15" s="3" t="b">
        <v>0</v>
      </c>
      <c r="AC15" s="1"/>
      <c r="AD15" s="1" t="s">
        <v>1380</v>
      </c>
      <c r="AE15" s="1" t="b">
        <v>0</v>
      </c>
    </row>
    <row r="16" spans="1:52" x14ac:dyDescent="0.35">
      <c r="A16" s="53" t="s">
        <v>708</v>
      </c>
      <c r="B16" s="1" t="s">
        <v>868</v>
      </c>
      <c r="C16" s="53" t="s">
        <v>258</v>
      </c>
      <c r="D16" s="53" t="s">
        <v>603</v>
      </c>
      <c r="E16" s="53"/>
      <c r="F16" s="53" t="s">
        <v>603</v>
      </c>
      <c r="G16" s="53" t="s">
        <v>604</v>
      </c>
      <c r="H16" s="53" t="s">
        <v>605</v>
      </c>
      <c r="I16" s="484" t="s">
        <v>606</v>
      </c>
      <c r="J16" s="484"/>
      <c r="K16" s="484" t="s">
        <v>867</v>
      </c>
      <c r="L16" s="485" t="s">
        <v>604</v>
      </c>
      <c r="M16" s="485" t="s">
        <v>605</v>
      </c>
      <c r="N16" s="485" t="s">
        <v>606</v>
      </c>
      <c r="O16" s="579" t="s">
        <v>1638</v>
      </c>
      <c r="P16" s="1" t="s">
        <v>925</v>
      </c>
      <c r="Q16" t="s">
        <v>234</v>
      </c>
      <c r="R16" s="1" t="s">
        <v>607</v>
      </c>
      <c r="S16" s="54" t="s">
        <v>254</v>
      </c>
      <c r="T16" s="1" t="s">
        <v>255</v>
      </c>
      <c r="U16" s="513" t="s">
        <v>1518</v>
      </c>
      <c r="V16" s="3" t="b">
        <v>0</v>
      </c>
      <c r="W16" s="3" t="b">
        <v>0</v>
      </c>
      <c r="X16" s="3" t="b">
        <v>1</v>
      </c>
      <c r="Y16" s="3" t="b">
        <v>0</v>
      </c>
      <c r="Z16" s="3" t="b">
        <v>0</v>
      </c>
      <c r="AA16" s="3" t="b">
        <v>0</v>
      </c>
      <c r="AB16" s="3" t="b">
        <v>0</v>
      </c>
      <c r="AC16" s="1"/>
      <c r="AD16" s="1" t="s">
        <v>1380</v>
      </c>
      <c r="AE16" s="1" t="b">
        <v>0</v>
      </c>
    </row>
    <row r="17" spans="1:31" x14ac:dyDescent="0.35">
      <c r="A17" s="53" t="s">
        <v>855</v>
      </c>
      <c r="B17" s="1" t="s">
        <v>856</v>
      </c>
      <c r="C17" s="53" t="s">
        <v>859</v>
      </c>
      <c r="D17" s="53" t="s">
        <v>855</v>
      </c>
      <c r="E17" s="53"/>
      <c r="F17" s="53" t="s">
        <v>855</v>
      </c>
      <c r="G17" s="53" t="s">
        <v>1537</v>
      </c>
      <c r="H17" s="53" t="s">
        <v>1538</v>
      </c>
      <c r="I17" s="578" t="s">
        <v>1539</v>
      </c>
      <c r="J17" s="579" t="s">
        <v>1540</v>
      </c>
      <c r="K17" s="484" t="s">
        <v>1541</v>
      </c>
      <c r="L17" s="485" t="s">
        <v>857</v>
      </c>
      <c r="M17" s="485" t="s">
        <v>858</v>
      </c>
      <c r="N17" s="485" t="s">
        <v>856</v>
      </c>
      <c r="O17" s="579" t="s">
        <v>1629</v>
      </c>
      <c r="P17" s="1" t="s">
        <v>954</v>
      </c>
      <c r="Q17" t="s">
        <v>327</v>
      </c>
      <c r="R17" s="1" t="s">
        <v>235</v>
      </c>
      <c r="S17" s="54" t="s">
        <v>236</v>
      </c>
      <c r="T17" s="1" t="s">
        <v>237</v>
      </c>
      <c r="U17" s="513" t="s">
        <v>1720</v>
      </c>
      <c r="V17" s="3" t="b">
        <v>0</v>
      </c>
      <c r="W17" s="3" t="b">
        <v>0</v>
      </c>
      <c r="X17" s="3" t="b">
        <v>0</v>
      </c>
      <c r="Y17" s="3" t="b">
        <v>0</v>
      </c>
      <c r="Z17" s="3" t="b">
        <v>0</v>
      </c>
      <c r="AA17" s="3" t="b">
        <v>0</v>
      </c>
      <c r="AB17" s="3" t="b">
        <v>0</v>
      </c>
      <c r="AC17" s="1"/>
      <c r="AD17" s="1" t="s">
        <v>1380</v>
      </c>
      <c r="AE17" s="1" t="b">
        <v>0</v>
      </c>
    </row>
    <row r="18" spans="1:31" x14ac:dyDescent="0.35">
      <c r="A18" s="53" t="s">
        <v>304</v>
      </c>
      <c r="B18" s="1" t="s">
        <v>305</v>
      </c>
      <c r="C18" s="53" t="s">
        <v>258</v>
      </c>
      <c r="D18" s="53" t="s">
        <v>608</v>
      </c>
      <c r="E18" s="53"/>
      <c r="F18" s="53" t="s">
        <v>608</v>
      </c>
      <c r="G18" s="53" t="s">
        <v>609</v>
      </c>
      <c r="H18" s="53" t="s">
        <v>610</v>
      </c>
      <c r="I18" s="484" t="s">
        <v>611</v>
      </c>
      <c r="J18" s="484"/>
      <c r="K18" s="484" t="s">
        <v>611</v>
      </c>
      <c r="L18" s="485" t="s">
        <v>609</v>
      </c>
      <c r="M18" s="485" t="s">
        <v>610</v>
      </c>
      <c r="N18" s="485" t="s">
        <v>611</v>
      </c>
      <c r="O18" s="484" t="s">
        <v>612</v>
      </c>
      <c r="P18" s="1" t="s">
        <v>954</v>
      </c>
      <c r="Q18" t="s">
        <v>327</v>
      </c>
      <c r="R18" s="1" t="s">
        <v>253</v>
      </c>
      <c r="S18" s="54" t="s">
        <v>254</v>
      </c>
      <c r="T18" s="1" t="s">
        <v>255</v>
      </c>
      <c r="U18" s="513" t="s">
        <v>861</v>
      </c>
      <c r="V18" s="3" t="b">
        <v>0</v>
      </c>
      <c r="W18" s="3" t="b">
        <v>0</v>
      </c>
      <c r="X18" s="3" t="b">
        <v>0</v>
      </c>
      <c r="Y18" s="3" t="b">
        <v>0</v>
      </c>
      <c r="Z18" s="3" t="b">
        <v>0</v>
      </c>
      <c r="AA18" s="3" t="b">
        <v>0</v>
      </c>
      <c r="AB18" s="3" t="b">
        <v>0</v>
      </c>
      <c r="AC18" s="1"/>
      <c r="AD18" s="1" t="s">
        <v>1380</v>
      </c>
      <c r="AE18" s="1" t="b">
        <v>0</v>
      </c>
    </row>
    <row r="19" spans="1:31" x14ac:dyDescent="0.35">
      <c r="A19" s="53" t="s">
        <v>306</v>
      </c>
      <c r="B19" s="1" t="s">
        <v>307</v>
      </c>
      <c r="C19" s="53" t="s">
        <v>258</v>
      </c>
      <c r="D19" s="53" t="s">
        <v>308</v>
      </c>
      <c r="E19" s="53"/>
      <c r="F19" s="53" t="s">
        <v>308</v>
      </c>
      <c r="G19" s="53" t="s">
        <v>309</v>
      </c>
      <c r="H19" s="53" t="s">
        <v>310</v>
      </c>
      <c r="I19" s="484" t="s">
        <v>311</v>
      </c>
      <c r="J19" s="484"/>
      <c r="K19" s="484" t="s">
        <v>690</v>
      </c>
      <c r="L19" s="485" t="s">
        <v>309</v>
      </c>
      <c r="M19" s="485" t="s">
        <v>310</v>
      </c>
      <c r="N19" s="485" t="s">
        <v>311</v>
      </c>
      <c r="O19" s="579" t="s">
        <v>1639</v>
      </c>
      <c r="P19" s="1" t="s">
        <v>954</v>
      </c>
      <c r="Q19" t="s">
        <v>327</v>
      </c>
      <c r="R19" s="1" t="s">
        <v>235</v>
      </c>
      <c r="S19" s="54" t="s">
        <v>236</v>
      </c>
      <c r="T19" s="1" t="s">
        <v>237</v>
      </c>
      <c r="U19" s="513" t="s">
        <v>1392</v>
      </c>
      <c r="V19" s="3" t="b">
        <v>0</v>
      </c>
      <c r="W19" s="3" t="b">
        <v>0</v>
      </c>
      <c r="X19" s="3" t="b">
        <v>0</v>
      </c>
      <c r="Y19" s="3" t="b">
        <v>1</v>
      </c>
      <c r="Z19" s="3" t="b">
        <v>0</v>
      </c>
      <c r="AA19" s="3" t="b">
        <v>0</v>
      </c>
      <c r="AB19" s="3" t="b">
        <v>0</v>
      </c>
      <c r="AC19" s="1"/>
      <c r="AD19" s="1" t="s">
        <v>1380</v>
      </c>
      <c r="AE19" s="1" t="b">
        <v>0</v>
      </c>
    </row>
    <row r="20" spans="1:31" x14ac:dyDescent="0.35">
      <c r="A20" s="53" t="s">
        <v>312</v>
      </c>
      <c r="B20" s="1" t="s">
        <v>288</v>
      </c>
      <c r="C20" s="53" t="s">
        <v>859</v>
      </c>
      <c r="D20" s="53" t="s">
        <v>313</v>
      </c>
      <c r="E20" s="53"/>
      <c r="F20" s="53" t="s">
        <v>313</v>
      </c>
      <c r="G20" s="53" t="s">
        <v>613</v>
      </c>
      <c r="H20" s="53" t="s">
        <v>614</v>
      </c>
      <c r="I20" s="484" t="s">
        <v>288</v>
      </c>
      <c r="J20" s="484"/>
      <c r="K20" s="484"/>
      <c r="L20" s="485"/>
      <c r="M20" s="485"/>
      <c r="N20" s="485"/>
      <c r="O20" s="579" t="s">
        <v>1640</v>
      </c>
      <c r="P20" s="1" t="s">
        <v>954</v>
      </c>
      <c r="Q20" t="s">
        <v>327</v>
      </c>
      <c r="R20" s="1" t="s">
        <v>235</v>
      </c>
      <c r="S20" s="54" t="s">
        <v>236</v>
      </c>
      <c r="T20" s="1" t="s">
        <v>237</v>
      </c>
      <c r="V20" s="3" t="b">
        <v>0</v>
      </c>
      <c r="W20" s="3" t="b">
        <v>0</v>
      </c>
      <c r="X20" s="3" t="b">
        <v>0</v>
      </c>
      <c r="Y20" s="3" t="b">
        <v>0</v>
      </c>
      <c r="Z20" s="3" t="b">
        <v>0</v>
      </c>
      <c r="AA20" s="3" t="b">
        <v>0</v>
      </c>
      <c r="AB20" s="3" t="b">
        <v>0</v>
      </c>
      <c r="AC20" s="1"/>
      <c r="AD20" s="1" t="s">
        <v>1380</v>
      </c>
      <c r="AE20" s="1" t="b">
        <v>0</v>
      </c>
    </row>
    <row r="21" spans="1:31" x14ac:dyDescent="0.35">
      <c r="A21" s="53" t="s">
        <v>314</v>
      </c>
      <c r="B21" s="1" t="s">
        <v>22</v>
      </c>
      <c r="C21" s="53" t="s">
        <v>315</v>
      </c>
      <c r="D21" s="53" t="s">
        <v>316</v>
      </c>
      <c r="E21" s="53"/>
      <c r="F21" s="53" t="s">
        <v>316</v>
      </c>
      <c r="G21" s="53" t="s">
        <v>669</v>
      </c>
      <c r="H21" s="53" t="s">
        <v>670</v>
      </c>
      <c r="I21" s="484" t="s">
        <v>319</v>
      </c>
      <c r="J21" s="484"/>
      <c r="K21" s="484" t="s">
        <v>842</v>
      </c>
      <c r="L21" s="485" t="s">
        <v>317</v>
      </c>
      <c r="M21" s="485" t="s">
        <v>318</v>
      </c>
      <c r="N21" s="485" t="s">
        <v>319</v>
      </c>
      <c r="O21" s="579" t="s">
        <v>1641</v>
      </c>
      <c r="P21" s="1" t="s">
        <v>920</v>
      </c>
      <c r="Q21" t="s">
        <v>615</v>
      </c>
      <c r="R21" s="1" t="s">
        <v>235</v>
      </c>
      <c r="S21" s="54" t="s">
        <v>236</v>
      </c>
      <c r="T21" s="1" t="s">
        <v>237</v>
      </c>
      <c r="U21" s="513" t="s">
        <v>1309</v>
      </c>
      <c r="V21" s="3" t="b">
        <v>0</v>
      </c>
      <c r="W21" s="3" t="b">
        <v>0</v>
      </c>
      <c r="X21" s="3" t="b">
        <v>0</v>
      </c>
      <c r="Y21" s="3" t="b">
        <v>0</v>
      </c>
      <c r="Z21" s="3" t="b">
        <v>0</v>
      </c>
      <c r="AA21" s="3" t="b">
        <v>0</v>
      </c>
      <c r="AB21" s="3" t="b">
        <v>0</v>
      </c>
      <c r="AC21" s="1"/>
      <c r="AD21" s="1" t="s">
        <v>1380</v>
      </c>
      <c r="AE21" s="1" t="b">
        <v>0</v>
      </c>
    </row>
    <row r="22" spans="1:31" x14ac:dyDescent="0.35">
      <c r="A22" s="53" t="s">
        <v>320</v>
      </c>
      <c r="B22" s="1" t="s">
        <v>321</v>
      </c>
      <c r="C22" s="53" t="s">
        <v>258</v>
      </c>
      <c r="D22" s="53" t="s">
        <v>322</v>
      </c>
      <c r="E22" s="53"/>
      <c r="F22" s="53" t="s">
        <v>322</v>
      </c>
      <c r="G22" s="53"/>
      <c r="H22" s="53"/>
      <c r="I22" s="484"/>
      <c r="J22" s="484"/>
      <c r="K22" s="484"/>
      <c r="L22" s="485" t="s">
        <v>616</v>
      </c>
      <c r="M22" s="485" t="s">
        <v>617</v>
      </c>
      <c r="N22" s="485"/>
      <c r="O22" s="579" t="s">
        <v>1642</v>
      </c>
      <c r="P22" s="1" t="s">
        <v>954</v>
      </c>
      <c r="Q22" t="s">
        <v>618</v>
      </c>
      <c r="R22" s="1" t="s">
        <v>235</v>
      </c>
      <c r="S22" s="54" t="s">
        <v>236</v>
      </c>
      <c r="T22" s="1" t="s">
        <v>237</v>
      </c>
      <c r="V22" s="3" t="b">
        <v>0</v>
      </c>
      <c r="W22" s="3" t="b">
        <v>0</v>
      </c>
      <c r="X22" s="3" t="b">
        <v>0</v>
      </c>
      <c r="Y22" s="3" t="b">
        <v>0</v>
      </c>
      <c r="Z22" s="3" t="b">
        <v>0</v>
      </c>
      <c r="AA22" s="3" t="b">
        <v>0</v>
      </c>
      <c r="AB22" s="3" t="b">
        <v>0</v>
      </c>
      <c r="AC22" s="1"/>
      <c r="AD22" s="1" t="s">
        <v>1380</v>
      </c>
      <c r="AE22" s="1" t="b">
        <v>0</v>
      </c>
    </row>
    <row r="23" spans="1:31" x14ac:dyDescent="0.35">
      <c r="A23" s="53" t="s">
        <v>965</v>
      </c>
      <c r="B23" s="1" t="s">
        <v>346</v>
      </c>
      <c r="C23" s="53" t="s">
        <v>590</v>
      </c>
      <c r="D23" s="53" t="s">
        <v>966</v>
      </c>
      <c r="E23" s="53"/>
      <c r="F23" s="53" t="s">
        <v>966</v>
      </c>
      <c r="G23" s="53" t="s">
        <v>967</v>
      </c>
      <c r="H23" s="53" t="s">
        <v>968</v>
      </c>
      <c r="I23" s="484" t="s">
        <v>346</v>
      </c>
      <c r="J23" s="484"/>
      <c r="K23" s="484"/>
      <c r="L23" s="485"/>
      <c r="M23" s="485"/>
      <c r="N23" s="485"/>
      <c r="O23" s="484"/>
      <c r="V23" s="3" t="b">
        <v>0</v>
      </c>
      <c r="W23" s="3" t="b">
        <v>0</v>
      </c>
      <c r="X23" s="3" t="b">
        <v>0</v>
      </c>
      <c r="Y23" s="3" t="b">
        <v>0</v>
      </c>
      <c r="Z23" s="3" t="b">
        <v>0</v>
      </c>
      <c r="AA23" s="3" t="b">
        <v>0</v>
      </c>
      <c r="AB23" s="3" t="b">
        <v>0</v>
      </c>
      <c r="AC23" s="1"/>
      <c r="AD23" s="1" t="s">
        <v>1380</v>
      </c>
      <c r="AE23" s="1" t="b">
        <v>0</v>
      </c>
    </row>
    <row r="24" spans="1:31" x14ac:dyDescent="0.35">
      <c r="A24" s="53" t="s">
        <v>323</v>
      </c>
      <c r="B24" s="1" t="s">
        <v>1351</v>
      </c>
      <c r="C24" s="53" t="s">
        <v>258</v>
      </c>
      <c r="D24" s="53" t="s">
        <v>323</v>
      </c>
      <c r="E24" s="53"/>
      <c r="F24" s="53" t="s">
        <v>323</v>
      </c>
      <c r="G24" s="53" t="s">
        <v>1357</v>
      </c>
      <c r="H24" s="53" t="s">
        <v>1358</v>
      </c>
      <c r="I24" s="484" t="s">
        <v>1359</v>
      </c>
      <c r="J24" s="484" t="s">
        <v>1351</v>
      </c>
      <c r="K24" s="484"/>
      <c r="L24" s="485" t="s">
        <v>1354</v>
      </c>
      <c r="M24" s="485" t="s">
        <v>1355</v>
      </c>
      <c r="N24" s="485" t="s">
        <v>1356</v>
      </c>
      <c r="O24" s="484"/>
      <c r="P24" s="1" t="s">
        <v>1353</v>
      </c>
      <c r="Q24" t="s">
        <v>1352</v>
      </c>
      <c r="R24" s="1" t="s">
        <v>253</v>
      </c>
      <c r="S24" s="54" t="s">
        <v>254</v>
      </c>
      <c r="T24" s="1" t="s">
        <v>255</v>
      </c>
      <c r="U24" s="513" t="s">
        <v>1360</v>
      </c>
      <c r="V24" s="3" t="b">
        <v>0</v>
      </c>
      <c r="W24" s="3" t="b">
        <v>0</v>
      </c>
      <c r="X24" s="3" t="b">
        <v>0</v>
      </c>
      <c r="Y24" s="3" t="b">
        <v>0</v>
      </c>
      <c r="Z24" s="3" t="b">
        <v>0</v>
      </c>
      <c r="AA24" s="3" t="b">
        <v>0</v>
      </c>
      <c r="AB24" s="3" t="b">
        <v>0</v>
      </c>
      <c r="AC24" s="1"/>
      <c r="AD24" s="1" t="s">
        <v>1380</v>
      </c>
      <c r="AE24" s="1" t="b">
        <v>0</v>
      </c>
    </row>
    <row r="25" spans="1:31" x14ac:dyDescent="0.35">
      <c r="A25" s="53" t="s">
        <v>325</v>
      </c>
      <c r="B25" s="1" t="s">
        <v>324</v>
      </c>
      <c r="C25" s="53" t="s">
        <v>590</v>
      </c>
      <c r="D25" s="53"/>
      <c r="E25" s="53"/>
      <c r="F25" s="53"/>
      <c r="G25" s="53"/>
      <c r="H25" s="53"/>
      <c r="I25" s="484"/>
      <c r="J25" s="484"/>
      <c r="K25" s="484"/>
      <c r="L25" s="485"/>
      <c r="M25" s="485"/>
      <c r="N25" s="485"/>
      <c r="O25" s="484"/>
      <c r="V25" s="3" t="b">
        <v>0</v>
      </c>
      <c r="W25" s="3" t="b">
        <v>0</v>
      </c>
      <c r="X25" s="3" t="b">
        <v>0</v>
      </c>
      <c r="Y25" s="3" t="b">
        <v>0</v>
      </c>
      <c r="Z25" s="3" t="b">
        <v>0</v>
      </c>
      <c r="AA25" s="3" t="b">
        <v>0</v>
      </c>
      <c r="AB25" s="3" t="b">
        <v>0</v>
      </c>
      <c r="AC25" s="1"/>
      <c r="AD25" s="1" t="s">
        <v>1380</v>
      </c>
      <c r="AE25" s="1" t="b">
        <v>0</v>
      </c>
    </row>
    <row r="26" spans="1:31" x14ac:dyDescent="0.35">
      <c r="A26" s="53" t="s">
        <v>1544</v>
      </c>
      <c r="B26" s="1" t="s">
        <v>278</v>
      </c>
      <c r="C26" s="53" t="s">
        <v>258</v>
      </c>
      <c r="D26" s="53" t="s">
        <v>1545</v>
      </c>
      <c r="E26" s="53"/>
      <c r="F26" s="53" t="s">
        <v>1545</v>
      </c>
      <c r="G26" s="53"/>
      <c r="H26" s="53"/>
      <c r="I26" s="484"/>
      <c r="J26" s="484"/>
      <c r="K26" s="484"/>
      <c r="L26" s="485"/>
      <c r="M26" s="485"/>
      <c r="N26" s="485"/>
      <c r="O26" s="484"/>
      <c r="P26" s="1" t="s">
        <v>919</v>
      </c>
      <c r="Q26" t="s">
        <v>234</v>
      </c>
      <c r="R26" s="1" t="s">
        <v>235</v>
      </c>
      <c r="S26" s="54" t="s">
        <v>285</v>
      </c>
      <c r="T26" s="1" t="s">
        <v>286</v>
      </c>
      <c r="U26" s="513" t="s">
        <v>861</v>
      </c>
      <c r="V26" s="3" t="b">
        <v>1</v>
      </c>
      <c r="W26" s="3" t="b">
        <v>0</v>
      </c>
      <c r="X26" s="3" t="b">
        <v>0</v>
      </c>
      <c r="Y26" s="3" t="b">
        <v>0</v>
      </c>
      <c r="Z26" s="3" t="b">
        <v>0</v>
      </c>
      <c r="AA26" s="3" t="b">
        <v>0</v>
      </c>
      <c r="AB26" s="3" t="b">
        <v>0</v>
      </c>
      <c r="AC26" s="1"/>
      <c r="AD26" s="1" t="s">
        <v>1380</v>
      </c>
      <c r="AE26" s="1" t="b">
        <v>0</v>
      </c>
    </row>
    <row r="27" spans="1:31" x14ac:dyDescent="0.35">
      <c r="A27" s="53" t="s">
        <v>619</v>
      </c>
      <c r="B27" s="1" t="s">
        <v>585</v>
      </c>
      <c r="C27" s="53" t="s">
        <v>859</v>
      </c>
      <c r="D27" s="53" t="s">
        <v>586</v>
      </c>
      <c r="E27" s="53"/>
      <c r="F27" s="53" t="s">
        <v>586</v>
      </c>
      <c r="G27" s="53" t="s">
        <v>587</v>
      </c>
      <c r="H27" s="53" t="s">
        <v>588</v>
      </c>
      <c r="I27" s="484" t="s">
        <v>585</v>
      </c>
      <c r="J27" s="484"/>
      <c r="K27" s="484" t="s">
        <v>691</v>
      </c>
      <c r="L27" s="485" t="s">
        <v>587</v>
      </c>
      <c r="M27" s="485" t="s">
        <v>588</v>
      </c>
      <c r="N27" s="485" t="s">
        <v>585</v>
      </c>
      <c r="O27" s="484"/>
      <c r="P27" s="1" t="s">
        <v>954</v>
      </c>
      <c r="Q27" t="s">
        <v>327</v>
      </c>
      <c r="R27" s="1" t="s">
        <v>235</v>
      </c>
      <c r="S27" s="54" t="s">
        <v>254</v>
      </c>
      <c r="T27" s="1" t="s">
        <v>255</v>
      </c>
      <c r="U27" s="513" t="s">
        <v>1310</v>
      </c>
      <c r="V27" s="3" t="b">
        <v>0</v>
      </c>
      <c r="W27" s="3" t="b">
        <v>0</v>
      </c>
      <c r="X27" s="3" t="b">
        <v>0</v>
      </c>
      <c r="Y27" s="3" t="b">
        <v>0</v>
      </c>
      <c r="Z27" s="3" t="b">
        <v>1</v>
      </c>
      <c r="AA27" s="3" t="b">
        <v>0</v>
      </c>
      <c r="AB27" s="3" t="b">
        <v>0</v>
      </c>
      <c r="AC27" s="1"/>
      <c r="AD27" s="1" t="s">
        <v>1380</v>
      </c>
      <c r="AE27" s="1" t="b">
        <v>0</v>
      </c>
    </row>
    <row r="28" spans="1:31" x14ac:dyDescent="0.35">
      <c r="A28" s="53" t="s">
        <v>326</v>
      </c>
      <c r="B28" s="1" t="s">
        <v>872</v>
      </c>
      <c r="C28" s="53" t="s">
        <v>859</v>
      </c>
      <c r="D28" s="53" t="s">
        <v>1311</v>
      </c>
      <c r="E28" s="53"/>
      <c r="F28" s="53" t="s">
        <v>1311</v>
      </c>
      <c r="G28" s="53" t="s">
        <v>620</v>
      </c>
      <c r="H28" s="53" t="s">
        <v>621</v>
      </c>
      <c r="I28" s="484" t="s">
        <v>989</v>
      </c>
      <c r="J28" s="484"/>
      <c r="K28" s="484" t="s">
        <v>623</v>
      </c>
      <c r="L28" s="485" t="s">
        <v>620</v>
      </c>
      <c r="M28" s="485" t="s">
        <v>621</v>
      </c>
      <c r="N28" s="485" t="s">
        <v>622</v>
      </c>
      <c r="O28" s="484"/>
      <c r="P28" s="1" t="s">
        <v>922</v>
      </c>
      <c r="Q28" t="s">
        <v>327</v>
      </c>
      <c r="R28" s="1" t="s">
        <v>235</v>
      </c>
      <c r="S28" s="54" t="s">
        <v>254</v>
      </c>
      <c r="T28" s="1" t="s">
        <v>255</v>
      </c>
      <c r="U28" s="513" t="s">
        <v>861</v>
      </c>
      <c r="V28" s="3" t="b">
        <v>0</v>
      </c>
      <c r="W28" s="3" t="b">
        <v>0</v>
      </c>
      <c r="X28" s="3" t="b">
        <v>1</v>
      </c>
      <c r="Y28" s="3" t="b">
        <v>1</v>
      </c>
      <c r="Z28" s="3" t="b">
        <v>0</v>
      </c>
      <c r="AA28" s="3" t="b">
        <v>0</v>
      </c>
      <c r="AB28" s="3" t="b">
        <v>0</v>
      </c>
      <c r="AC28" s="1"/>
      <c r="AD28" s="1" t="s">
        <v>1380</v>
      </c>
      <c r="AE28" s="1" t="b">
        <v>0</v>
      </c>
    </row>
    <row r="29" spans="1:31" x14ac:dyDescent="0.35">
      <c r="A29" s="53" t="s">
        <v>1160</v>
      </c>
      <c r="B29" s="1" t="s">
        <v>264</v>
      </c>
      <c r="C29" s="53" t="s">
        <v>258</v>
      </c>
      <c r="D29" s="53" t="s">
        <v>962</v>
      </c>
      <c r="E29" s="53"/>
      <c r="F29" s="53" t="s">
        <v>962</v>
      </c>
      <c r="G29" s="53" t="s">
        <v>963</v>
      </c>
      <c r="H29" s="53" t="s">
        <v>964</v>
      </c>
      <c r="I29" s="484"/>
      <c r="J29" s="484"/>
      <c r="K29" s="484" t="s">
        <v>928</v>
      </c>
      <c r="L29" s="485"/>
      <c r="M29" s="485"/>
      <c r="N29" s="485"/>
      <c r="O29" s="484"/>
      <c r="P29" s="1" t="s">
        <v>923</v>
      </c>
      <c r="Q29" t="s">
        <v>327</v>
      </c>
      <c r="R29" s="1" t="s">
        <v>235</v>
      </c>
      <c r="S29" s="54" t="s">
        <v>254</v>
      </c>
      <c r="T29" s="1" t="s">
        <v>255</v>
      </c>
      <c r="V29" s="3" t="b">
        <v>0</v>
      </c>
      <c r="W29" s="3" t="b">
        <v>0</v>
      </c>
      <c r="X29" s="3" t="b">
        <v>0</v>
      </c>
      <c r="Y29" s="3" t="b">
        <v>0</v>
      </c>
      <c r="Z29" s="3" t="b">
        <v>0</v>
      </c>
      <c r="AA29" s="3" t="b">
        <v>0</v>
      </c>
      <c r="AB29" s="3" t="b">
        <v>0</v>
      </c>
      <c r="AC29" s="1"/>
      <c r="AD29" s="1" t="s">
        <v>1380</v>
      </c>
      <c r="AE29" s="1" t="b">
        <v>0</v>
      </c>
    </row>
    <row r="30" spans="1:31" x14ac:dyDescent="0.35">
      <c r="A30" s="53" t="s">
        <v>328</v>
      </c>
      <c r="B30" s="1" t="s">
        <v>303</v>
      </c>
      <c r="C30" s="53" t="s">
        <v>590</v>
      </c>
      <c r="D30" s="53"/>
      <c r="E30" s="53"/>
      <c r="F30" s="53"/>
      <c r="G30" s="53"/>
      <c r="H30" s="53"/>
      <c r="I30" s="484"/>
      <c r="J30" s="484"/>
      <c r="K30" s="484"/>
      <c r="L30" s="485"/>
      <c r="M30" s="485"/>
      <c r="N30" s="485"/>
      <c r="O30" s="484"/>
      <c r="V30" s="3" t="b">
        <v>0</v>
      </c>
      <c r="W30" s="3" t="b">
        <v>0</v>
      </c>
      <c r="X30" s="3" t="b">
        <v>0</v>
      </c>
      <c r="Y30" s="3" t="b">
        <v>0</v>
      </c>
      <c r="Z30" s="3" t="b">
        <v>0</v>
      </c>
      <c r="AA30" s="3" t="b">
        <v>0</v>
      </c>
      <c r="AB30" s="3" t="b">
        <v>0</v>
      </c>
      <c r="AC30" s="1"/>
      <c r="AD30" s="1" t="s">
        <v>1380</v>
      </c>
      <c r="AE30" s="1" t="b">
        <v>0</v>
      </c>
    </row>
    <row r="31" spans="1:31" x14ac:dyDescent="0.35">
      <c r="A31" s="53" t="s">
        <v>329</v>
      </c>
      <c r="B31" s="1" t="s">
        <v>330</v>
      </c>
      <c r="C31" s="53" t="s">
        <v>258</v>
      </c>
      <c r="D31" s="53" t="s">
        <v>624</v>
      </c>
      <c r="E31" s="53"/>
      <c r="F31" s="53" t="s">
        <v>624</v>
      </c>
      <c r="G31" s="53" t="s">
        <v>625</v>
      </c>
      <c r="H31" s="53" t="s">
        <v>874</v>
      </c>
      <c r="I31" s="484"/>
      <c r="J31" s="484"/>
      <c r="K31" s="484" t="s">
        <v>865</v>
      </c>
      <c r="L31" s="485" t="s">
        <v>625</v>
      </c>
      <c r="M31" s="485" t="s">
        <v>874</v>
      </c>
      <c r="N31" s="485"/>
      <c r="O31" s="484" t="s">
        <v>626</v>
      </c>
      <c r="P31" s="1" t="s">
        <v>866</v>
      </c>
      <c r="Q31" t="s">
        <v>234</v>
      </c>
      <c r="R31" s="1" t="s">
        <v>253</v>
      </c>
      <c r="S31" s="54" t="s">
        <v>254</v>
      </c>
      <c r="T31" s="1" t="s">
        <v>255</v>
      </c>
      <c r="U31" s="513" t="s">
        <v>1312</v>
      </c>
      <c r="V31" s="3" t="b">
        <v>0</v>
      </c>
      <c r="W31" s="3" t="b">
        <v>0</v>
      </c>
      <c r="X31" s="3" t="b">
        <v>0</v>
      </c>
      <c r="Y31" s="3" t="b">
        <v>0</v>
      </c>
      <c r="Z31" s="3" t="b">
        <v>1</v>
      </c>
      <c r="AA31" s="3" t="b">
        <v>0</v>
      </c>
      <c r="AB31" s="3" t="b">
        <v>0</v>
      </c>
      <c r="AC31" s="1"/>
      <c r="AD31" s="1" t="s">
        <v>1380</v>
      </c>
      <c r="AE31" s="1" t="b">
        <v>0</v>
      </c>
    </row>
    <row r="32" spans="1:31" x14ac:dyDescent="0.35">
      <c r="A32" s="53" t="s">
        <v>1409</v>
      </c>
      <c r="B32" s="1" t="s">
        <v>347</v>
      </c>
      <c r="C32" s="53" t="s">
        <v>859</v>
      </c>
      <c r="D32" s="53" t="s">
        <v>1409</v>
      </c>
      <c r="E32" s="53"/>
      <c r="F32" s="53" t="s">
        <v>1409</v>
      </c>
      <c r="G32" s="53" t="s">
        <v>1412</v>
      </c>
      <c r="H32" s="53" t="s">
        <v>1413</v>
      </c>
      <c r="I32" s="484" t="s">
        <v>1410</v>
      </c>
      <c r="J32" s="484"/>
      <c r="K32" s="484"/>
      <c r="L32" s="485" t="s">
        <v>1412</v>
      </c>
      <c r="M32" s="485" t="s">
        <v>1413</v>
      </c>
      <c r="N32" s="485" t="s">
        <v>239</v>
      </c>
      <c r="O32" s="484"/>
      <c r="Q32" t="s">
        <v>327</v>
      </c>
      <c r="R32" s="1" t="s">
        <v>235</v>
      </c>
      <c r="S32" s="54" t="s">
        <v>236</v>
      </c>
      <c r="T32" s="1" t="s">
        <v>237</v>
      </c>
      <c r="U32" s="513" t="s">
        <v>861</v>
      </c>
      <c r="V32" s="3" t="b">
        <v>0</v>
      </c>
      <c r="W32" s="3" t="b">
        <v>0</v>
      </c>
      <c r="X32" s="3" t="b">
        <v>0</v>
      </c>
      <c r="Y32" s="3" t="b">
        <v>0</v>
      </c>
      <c r="Z32" s="3" t="b">
        <v>0</v>
      </c>
      <c r="AA32" s="3" t="b">
        <v>0</v>
      </c>
      <c r="AB32" s="3" t="b">
        <v>0</v>
      </c>
      <c r="AC32" s="1"/>
      <c r="AD32" s="1" t="s">
        <v>1380</v>
      </c>
      <c r="AE32" s="1" t="b">
        <v>0</v>
      </c>
    </row>
    <row r="33" spans="1:31" x14ac:dyDescent="0.35">
      <c r="A33" s="53" t="s">
        <v>331</v>
      </c>
      <c r="B33" s="1" t="s">
        <v>332</v>
      </c>
      <c r="C33" s="53" t="s">
        <v>590</v>
      </c>
      <c r="D33" s="53"/>
      <c r="E33" s="53"/>
      <c r="F33" s="53"/>
      <c r="G33" s="53"/>
      <c r="H33" s="53"/>
      <c r="I33" s="484"/>
      <c r="J33" s="484"/>
      <c r="K33" s="484"/>
      <c r="L33" s="485"/>
      <c r="M33" s="485"/>
      <c r="N33" s="485"/>
      <c r="O33" s="484"/>
      <c r="V33" s="3" t="b">
        <v>0</v>
      </c>
      <c r="W33" s="3" t="b">
        <v>0</v>
      </c>
      <c r="X33" s="3" t="b">
        <v>0</v>
      </c>
      <c r="Y33" s="3" t="b">
        <v>0</v>
      </c>
      <c r="Z33" s="3" t="b">
        <v>0</v>
      </c>
      <c r="AA33" s="3" t="b">
        <v>0</v>
      </c>
      <c r="AB33" s="3" t="b">
        <v>0</v>
      </c>
      <c r="AC33" s="1"/>
      <c r="AD33" s="1" t="s">
        <v>1380</v>
      </c>
      <c r="AE33" s="1" t="b">
        <v>0</v>
      </c>
    </row>
    <row r="34" spans="1:31" x14ac:dyDescent="0.35">
      <c r="A34" s="53" t="s">
        <v>333</v>
      </c>
      <c r="B34" s="1" t="s">
        <v>334</v>
      </c>
      <c r="C34" s="53" t="s">
        <v>859</v>
      </c>
      <c r="D34" s="53" t="s">
        <v>627</v>
      </c>
      <c r="E34" s="53"/>
      <c r="F34" s="53" t="s">
        <v>627</v>
      </c>
      <c r="G34" s="53" t="s">
        <v>628</v>
      </c>
      <c r="H34" s="53" t="s">
        <v>629</v>
      </c>
      <c r="I34" s="484"/>
      <c r="J34" s="484"/>
      <c r="K34" s="484" t="s">
        <v>1314</v>
      </c>
      <c r="L34" s="485" t="s">
        <v>628</v>
      </c>
      <c r="M34" s="485" t="s">
        <v>629</v>
      </c>
      <c r="N34" s="485"/>
      <c r="O34" s="484"/>
      <c r="P34" s="1" t="s">
        <v>954</v>
      </c>
      <c r="Q34" t="s">
        <v>327</v>
      </c>
      <c r="R34" s="1" t="s">
        <v>235</v>
      </c>
      <c r="S34" s="54" t="s">
        <v>254</v>
      </c>
      <c r="T34" s="1" t="s">
        <v>255</v>
      </c>
      <c r="U34" s="513" t="s">
        <v>1313</v>
      </c>
      <c r="V34" s="3" t="b">
        <v>0</v>
      </c>
      <c r="W34" s="3" t="b">
        <v>0</v>
      </c>
      <c r="X34" s="3" t="b">
        <v>1</v>
      </c>
      <c r="Y34" s="3" t="b">
        <v>1</v>
      </c>
      <c r="Z34" s="3" t="b">
        <v>0</v>
      </c>
      <c r="AA34" s="3" t="b">
        <v>0</v>
      </c>
      <c r="AB34" s="3" t="b">
        <v>0</v>
      </c>
      <c r="AC34" s="1"/>
      <c r="AD34" s="1" t="s">
        <v>1380</v>
      </c>
      <c r="AE34" s="1" t="b">
        <v>0</v>
      </c>
    </row>
    <row r="35" spans="1:31" x14ac:dyDescent="0.35">
      <c r="A35" s="53" t="s">
        <v>697</v>
      </c>
      <c r="B35" s="1" t="s">
        <v>303</v>
      </c>
      <c r="C35" s="53" t="s">
        <v>859</v>
      </c>
      <c r="D35" s="53" t="s">
        <v>630</v>
      </c>
      <c r="E35" s="53"/>
      <c r="F35" s="53" t="s">
        <v>630</v>
      </c>
      <c r="G35" s="53" t="s">
        <v>698</v>
      </c>
      <c r="H35" s="53" t="s">
        <v>699</v>
      </c>
      <c r="I35" s="484" t="s">
        <v>303</v>
      </c>
      <c r="J35" s="484"/>
      <c r="K35" s="484" t="s">
        <v>700</v>
      </c>
      <c r="L35" s="485" t="s">
        <v>631</v>
      </c>
      <c r="M35" s="485" t="s">
        <v>632</v>
      </c>
      <c r="N35" s="485"/>
      <c r="O35" s="579" t="s">
        <v>1631</v>
      </c>
      <c r="P35" s="1" t="s">
        <v>919</v>
      </c>
      <c r="Q35" t="s">
        <v>335</v>
      </c>
      <c r="R35" s="1" t="s">
        <v>235</v>
      </c>
      <c r="S35" s="54" t="s">
        <v>285</v>
      </c>
      <c r="T35" s="1" t="s">
        <v>286</v>
      </c>
      <c r="U35" s="513" t="s">
        <v>1519</v>
      </c>
      <c r="V35" s="3" t="b">
        <v>0</v>
      </c>
      <c r="W35" s="3" t="b">
        <v>0</v>
      </c>
      <c r="X35" s="3" t="b">
        <v>1</v>
      </c>
      <c r="Y35" s="3" t="b">
        <v>0</v>
      </c>
      <c r="Z35" s="3" t="b">
        <v>0</v>
      </c>
      <c r="AA35" s="3" t="b">
        <v>1</v>
      </c>
      <c r="AB35" s="3" t="b">
        <v>0</v>
      </c>
      <c r="AC35" s="1"/>
      <c r="AD35" s="1" t="s">
        <v>1380</v>
      </c>
      <c r="AE35" s="1" t="b">
        <v>0</v>
      </c>
    </row>
    <row r="36" spans="1:31" x14ac:dyDescent="0.35">
      <c r="A36" s="53" t="s">
        <v>692</v>
      </c>
      <c r="B36" s="1" t="s">
        <v>303</v>
      </c>
      <c r="C36" s="53" t="s">
        <v>859</v>
      </c>
      <c r="D36" s="53" t="s">
        <v>630</v>
      </c>
      <c r="E36" s="53"/>
      <c r="F36" s="53" t="s">
        <v>1577</v>
      </c>
      <c r="G36" s="53" t="s">
        <v>693</v>
      </c>
      <c r="H36" s="484" t="s">
        <v>694</v>
      </c>
      <c r="I36" s="484" t="s">
        <v>303</v>
      </c>
      <c r="J36" s="484"/>
      <c r="K36" s="484" t="s">
        <v>695</v>
      </c>
      <c r="L36" s="485" t="s">
        <v>631</v>
      </c>
      <c r="M36" s="485" t="s">
        <v>632</v>
      </c>
      <c r="N36" s="485"/>
      <c r="O36" s="579" t="s">
        <v>1631</v>
      </c>
      <c r="P36" s="1" t="s">
        <v>919</v>
      </c>
      <c r="Q36" t="s">
        <v>696</v>
      </c>
      <c r="R36" s="1" t="s">
        <v>235</v>
      </c>
      <c r="S36" s="54" t="s">
        <v>236</v>
      </c>
      <c r="T36" s="1" t="s">
        <v>237</v>
      </c>
      <c r="U36" s="513" t="s">
        <v>1670</v>
      </c>
      <c r="V36" s="3" t="b">
        <v>0</v>
      </c>
      <c r="W36" s="3" t="b">
        <v>0</v>
      </c>
      <c r="X36" s="3" t="b">
        <v>1</v>
      </c>
      <c r="Y36" s="3" t="b">
        <v>0</v>
      </c>
      <c r="Z36" s="3" t="b">
        <v>0</v>
      </c>
      <c r="AA36" s="3" t="b">
        <v>1</v>
      </c>
      <c r="AB36" s="3" t="b">
        <v>0</v>
      </c>
      <c r="AC36" s="1"/>
      <c r="AD36" s="1" t="s">
        <v>1380</v>
      </c>
      <c r="AE36" s="1" t="b">
        <v>0</v>
      </c>
    </row>
    <row r="37" spans="1:31" x14ac:dyDescent="0.35">
      <c r="A37" s="53" t="s">
        <v>1546</v>
      </c>
      <c r="B37" s="1" t="s">
        <v>278</v>
      </c>
      <c r="C37" s="53" t="s">
        <v>258</v>
      </c>
      <c r="D37" s="53" t="s">
        <v>1546</v>
      </c>
      <c r="E37" s="53"/>
      <c r="F37" s="53" t="s">
        <v>1546</v>
      </c>
      <c r="G37" s="53"/>
      <c r="H37" s="53"/>
      <c r="I37" s="484"/>
      <c r="J37" s="484"/>
      <c r="K37" s="484"/>
      <c r="L37" s="485"/>
      <c r="M37" s="485"/>
      <c r="N37" s="485"/>
      <c r="O37" s="484"/>
      <c r="P37" s="1" t="s">
        <v>919</v>
      </c>
      <c r="Q37" t="s">
        <v>234</v>
      </c>
      <c r="R37" s="1" t="s">
        <v>235</v>
      </c>
      <c r="S37" s="54" t="s">
        <v>285</v>
      </c>
      <c r="T37" s="1" t="s">
        <v>286</v>
      </c>
      <c r="U37" s="513" t="s">
        <v>861</v>
      </c>
      <c r="V37" s="3" t="b">
        <v>1</v>
      </c>
      <c r="W37" s="3" t="b">
        <v>0</v>
      </c>
      <c r="X37" s="3" t="b">
        <v>0</v>
      </c>
      <c r="Y37" s="3" t="b">
        <v>0</v>
      </c>
      <c r="Z37" s="3" t="b">
        <v>0</v>
      </c>
      <c r="AA37" s="3" t="b">
        <v>0</v>
      </c>
      <c r="AB37" s="3" t="b">
        <v>0</v>
      </c>
      <c r="AC37" s="1"/>
      <c r="AD37" s="1" t="s">
        <v>1380</v>
      </c>
      <c r="AE37" s="1" t="b">
        <v>0</v>
      </c>
    </row>
    <row r="38" spans="1:31" x14ac:dyDescent="0.35">
      <c r="A38" s="53" t="s">
        <v>711</v>
      </c>
      <c r="B38" s="1" t="s">
        <v>712</v>
      </c>
      <c r="C38" s="53" t="s">
        <v>258</v>
      </c>
      <c r="D38" s="53" t="s">
        <v>969</v>
      </c>
      <c r="E38" s="53"/>
      <c r="F38" s="53" t="s">
        <v>969</v>
      </c>
      <c r="G38" s="53" t="s">
        <v>970</v>
      </c>
      <c r="H38" s="53" t="s">
        <v>971</v>
      </c>
      <c r="I38" s="484" t="s">
        <v>972</v>
      </c>
      <c r="J38" s="484"/>
      <c r="K38" s="484"/>
      <c r="L38" s="485"/>
      <c r="M38" s="485"/>
      <c r="N38" s="485"/>
      <c r="O38" s="484"/>
      <c r="P38" s="1" t="s">
        <v>923</v>
      </c>
      <c r="V38" s="3" t="b">
        <v>0</v>
      </c>
      <c r="W38" s="3" t="b">
        <v>0</v>
      </c>
      <c r="X38" s="3" t="b">
        <v>0</v>
      </c>
      <c r="Y38" s="3" t="b">
        <v>0</v>
      </c>
      <c r="Z38" s="3" t="b">
        <v>0</v>
      </c>
      <c r="AA38" s="3" t="b">
        <v>0</v>
      </c>
      <c r="AB38" s="3" t="b">
        <v>0</v>
      </c>
      <c r="AC38" s="1"/>
      <c r="AD38" s="1" t="s">
        <v>1380</v>
      </c>
      <c r="AE38" s="1" t="b">
        <v>0</v>
      </c>
    </row>
    <row r="39" spans="1:31" x14ac:dyDescent="0.35">
      <c r="A39" s="53" t="s">
        <v>1563</v>
      </c>
      <c r="B39" s="1" t="s">
        <v>1558</v>
      </c>
      <c r="C39" s="53" t="s">
        <v>859</v>
      </c>
      <c r="D39" s="53" t="s">
        <v>1564</v>
      </c>
      <c r="E39" s="53" t="s">
        <v>1565</v>
      </c>
      <c r="F39" s="53" t="s">
        <v>1564</v>
      </c>
      <c r="G39" s="53" t="s">
        <v>1565</v>
      </c>
      <c r="H39" s="53" t="s">
        <v>1566</v>
      </c>
      <c r="I39" s="484" t="s">
        <v>1567</v>
      </c>
      <c r="J39" s="484" t="s">
        <v>1558</v>
      </c>
      <c r="K39" s="484"/>
      <c r="L39" s="485" t="s">
        <v>1566</v>
      </c>
      <c r="M39" s="485" t="s">
        <v>1569</v>
      </c>
      <c r="N39" s="485" t="s">
        <v>1570</v>
      </c>
      <c r="O39" s="484"/>
      <c r="P39" s="1" t="s">
        <v>954</v>
      </c>
      <c r="Q39" t="s">
        <v>327</v>
      </c>
      <c r="R39" s="1" t="s">
        <v>235</v>
      </c>
      <c r="S39" s="54" t="s">
        <v>254</v>
      </c>
      <c r="T39" s="1" t="s">
        <v>255</v>
      </c>
      <c r="U39" s="513" t="s">
        <v>861</v>
      </c>
      <c r="V39" s="3" t="b">
        <v>0</v>
      </c>
      <c r="W39" s="3" t="b">
        <v>0</v>
      </c>
      <c r="X39" s="3" t="b">
        <v>0</v>
      </c>
      <c r="Y39" s="3" t="b">
        <v>0</v>
      </c>
      <c r="Z39" s="3" t="b">
        <v>0</v>
      </c>
      <c r="AA39" s="3" t="b">
        <v>0</v>
      </c>
      <c r="AB39" s="3" t="b">
        <v>0</v>
      </c>
      <c r="AC39" s="1" t="s">
        <v>1568</v>
      </c>
      <c r="AD39" s="1" t="s">
        <v>1380</v>
      </c>
      <c r="AE39" s="1" t="b">
        <v>0</v>
      </c>
    </row>
    <row r="40" spans="1:31" x14ac:dyDescent="0.35">
      <c r="A40" s="53" t="s">
        <v>336</v>
      </c>
      <c r="B40" s="1" t="s">
        <v>337</v>
      </c>
      <c r="C40" s="53" t="s">
        <v>315</v>
      </c>
      <c r="D40" s="53" t="s">
        <v>973</v>
      </c>
      <c r="E40" s="53"/>
      <c r="F40" s="53" t="s">
        <v>973</v>
      </c>
      <c r="G40" s="53"/>
      <c r="H40" s="53"/>
      <c r="I40" s="484"/>
      <c r="J40" s="484"/>
      <c r="K40" s="484"/>
      <c r="L40" s="485" t="s">
        <v>633</v>
      </c>
      <c r="M40" s="485" t="s">
        <v>634</v>
      </c>
      <c r="N40" s="485"/>
      <c r="O40" s="579" t="s">
        <v>1643</v>
      </c>
      <c r="P40" s="1" t="s">
        <v>954</v>
      </c>
      <c r="Q40" t="s">
        <v>635</v>
      </c>
      <c r="R40" s="1" t="s">
        <v>235</v>
      </c>
      <c r="S40" s="54" t="s">
        <v>236</v>
      </c>
      <c r="T40" s="1" t="s">
        <v>237</v>
      </c>
      <c r="V40" s="3" t="b">
        <v>0</v>
      </c>
      <c r="W40" s="3" t="b">
        <v>0</v>
      </c>
      <c r="X40" s="3" t="b">
        <v>0</v>
      </c>
      <c r="Y40" s="3" t="b">
        <v>0</v>
      </c>
      <c r="Z40" s="3" t="b">
        <v>0</v>
      </c>
      <c r="AA40" s="3" t="b">
        <v>0</v>
      </c>
      <c r="AB40" s="3" t="b">
        <v>0</v>
      </c>
      <c r="AC40" s="1"/>
      <c r="AD40" s="1" t="s">
        <v>1380</v>
      </c>
      <c r="AE40" s="1" t="b">
        <v>0</v>
      </c>
    </row>
    <row r="41" spans="1:31" x14ac:dyDescent="0.35">
      <c r="A41" s="53" t="s">
        <v>659</v>
      </c>
      <c r="B41" s="1" t="s">
        <v>342</v>
      </c>
      <c r="D41" s="53" t="s">
        <v>860</v>
      </c>
      <c r="E41" s="53" t="s">
        <v>861</v>
      </c>
      <c r="F41" s="53" t="s">
        <v>860</v>
      </c>
      <c r="G41" s="53" t="s">
        <v>862</v>
      </c>
      <c r="H41" s="53" t="s">
        <v>863</v>
      </c>
      <c r="I41" s="484" t="s">
        <v>864</v>
      </c>
      <c r="J41" s="484"/>
      <c r="K41" s="484"/>
      <c r="L41" s="485"/>
      <c r="M41" s="485"/>
      <c r="N41" s="485"/>
      <c r="O41" s="484"/>
      <c r="V41" s="3" t="b">
        <v>0</v>
      </c>
      <c r="W41" s="3" t="b">
        <v>0</v>
      </c>
      <c r="X41" s="3" t="b">
        <v>0</v>
      </c>
      <c r="Y41" s="3" t="b">
        <v>0</v>
      </c>
      <c r="Z41" s="3" t="b">
        <v>0</v>
      </c>
      <c r="AA41" s="3" t="b">
        <v>0</v>
      </c>
      <c r="AB41" s="3" t="b">
        <v>0</v>
      </c>
      <c r="AC41" s="1"/>
      <c r="AD41" s="1" t="s">
        <v>1380</v>
      </c>
      <c r="AE41" s="1" t="b">
        <v>0</v>
      </c>
    </row>
    <row r="42" spans="1:31" x14ac:dyDescent="0.35">
      <c r="A42" s="53" t="s">
        <v>338</v>
      </c>
      <c r="B42" s="1" t="s">
        <v>321</v>
      </c>
      <c r="C42" s="53" t="s">
        <v>590</v>
      </c>
      <c r="D42" s="53"/>
      <c r="E42" s="53"/>
      <c r="F42" s="53"/>
      <c r="G42" s="53"/>
      <c r="H42" s="53"/>
      <c r="I42" s="484"/>
      <c r="J42" s="484"/>
      <c r="K42" s="484"/>
      <c r="L42" s="485"/>
      <c r="M42" s="485"/>
      <c r="N42" s="485"/>
      <c r="O42" s="484"/>
      <c r="V42" s="3" t="b">
        <v>0</v>
      </c>
      <c r="W42" s="3" t="b">
        <v>0</v>
      </c>
      <c r="X42" s="3" t="b">
        <v>0</v>
      </c>
      <c r="Y42" s="3" t="b">
        <v>0</v>
      </c>
      <c r="Z42" s="3" t="b">
        <v>0</v>
      </c>
      <c r="AA42" s="3" t="b">
        <v>0</v>
      </c>
      <c r="AB42" s="3" t="b">
        <v>0</v>
      </c>
      <c r="AC42" s="1"/>
      <c r="AD42" s="1" t="s">
        <v>1380</v>
      </c>
      <c r="AE42" s="1" t="b">
        <v>0</v>
      </c>
    </row>
    <row r="43" spans="1:31" x14ac:dyDescent="0.35">
      <c r="A43" s="53" t="s">
        <v>339</v>
      </c>
      <c r="B43" s="1" t="s">
        <v>340</v>
      </c>
      <c r="C43" s="53" t="s">
        <v>590</v>
      </c>
      <c r="D43" s="53"/>
      <c r="E43" s="53"/>
      <c r="F43" s="53"/>
      <c r="G43" s="53"/>
      <c r="H43" s="53"/>
      <c r="I43" s="484"/>
      <c r="J43" s="484"/>
      <c r="K43" s="484"/>
      <c r="L43" s="485"/>
      <c r="M43" s="485"/>
      <c r="N43" s="485"/>
      <c r="O43" s="484"/>
      <c r="V43" s="3" t="b">
        <v>0</v>
      </c>
      <c r="W43" s="3" t="b">
        <v>0</v>
      </c>
      <c r="X43" s="3" t="b">
        <v>0</v>
      </c>
      <c r="Y43" s="3" t="b">
        <v>0</v>
      </c>
      <c r="Z43" s="3" t="b">
        <v>0</v>
      </c>
      <c r="AA43" s="3" t="b">
        <v>0</v>
      </c>
      <c r="AB43" s="3" t="b">
        <v>0</v>
      </c>
      <c r="AC43" s="1"/>
      <c r="AD43" s="1" t="s">
        <v>1380</v>
      </c>
      <c r="AE43" s="1" t="b">
        <v>0</v>
      </c>
    </row>
    <row r="44" spans="1:31" x14ac:dyDescent="0.35">
      <c r="A44" s="53" t="s">
        <v>651</v>
      </c>
      <c r="B44" s="1" t="s">
        <v>652</v>
      </c>
      <c r="C44" s="53" t="s">
        <v>258</v>
      </c>
      <c r="D44" s="53" t="s">
        <v>1296</v>
      </c>
      <c r="E44" s="53"/>
      <c r="F44" s="53" t="s">
        <v>1296</v>
      </c>
      <c r="G44" s="53" t="s">
        <v>1297</v>
      </c>
      <c r="H44" s="53" t="s">
        <v>1298</v>
      </c>
      <c r="I44" s="484" t="s">
        <v>1299</v>
      </c>
      <c r="J44" s="484"/>
      <c r="K44" s="484" t="s">
        <v>1300</v>
      </c>
      <c r="L44" s="485" t="s">
        <v>1297</v>
      </c>
      <c r="M44" s="485" t="s">
        <v>1298</v>
      </c>
      <c r="N44" s="485" t="s">
        <v>1299</v>
      </c>
      <c r="O44" s="484" t="s">
        <v>1295</v>
      </c>
      <c r="P44" s="1" t="s">
        <v>925</v>
      </c>
      <c r="Q44" t="s">
        <v>234</v>
      </c>
      <c r="R44" s="1" t="s">
        <v>253</v>
      </c>
      <c r="S44" s="54" t="s">
        <v>254</v>
      </c>
      <c r="T44" s="1" t="s">
        <v>255</v>
      </c>
      <c r="U44" s="513" t="s">
        <v>1315</v>
      </c>
      <c r="V44" s="3" t="b">
        <v>0</v>
      </c>
      <c r="W44" s="3" t="b">
        <v>1</v>
      </c>
      <c r="X44" s="3" t="b">
        <v>0</v>
      </c>
      <c r="Y44" s="3" t="b">
        <v>0</v>
      </c>
      <c r="Z44" s="3" t="b">
        <v>0</v>
      </c>
      <c r="AA44" s="3" t="b">
        <v>0</v>
      </c>
      <c r="AB44" s="3" t="b">
        <v>0</v>
      </c>
      <c r="AC44" s="1"/>
      <c r="AD44" s="1" t="s">
        <v>1380</v>
      </c>
      <c r="AE44" s="1" t="b">
        <v>0</v>
      </c>
    </row>
    <row r="45" spans="1:31" x14ac:dyDescent="0.35">
      <c r="A45" s="53" t="s">
        <v>653</v>
      </c>
      <c r="B45" s="1" t="s">
        <v>654</v>
      </c>
      <c r="C45" s="53" t="s">
        <v>258</v>
      </c>
      <c r="D45" s="53" t="s">
        <v>655</v>
      </c>
      <c r="E45" s="53"/>
      <c r="F45" s="53" t="s">
        <v>655</v>
      </c>
      <c r="G45" s="53"/>
      <c r="H45" s="53"/>
      <c r="I45" s="484"/>
      <c r="J45" s="484"/>
      <c r="K45" s="484"/>
      <c r="L45" s="485"/>
      <c r="M45" s="485"/>
      <c r="N45" s="485"/>
      <c r="O45" s="484"/>
      <c r="V45" s="3" t="b">
        <v>0</v>
      </c>
      <c r="W45" s="3" t="b">
        <v>0</v>
      </c>
      <c r="X45" s="3" t="b">
        <v>0</v>
      </c>
      <c r="Y45" s="3" t="b">
        <v>0</v>
      </c>
      <c r="Z45" s="3" t="b">
        <v>0</v>
      </c>
      <c r="AA45" s="3" t="b">
        <v>0</v>
      </c>
      <c r="AB45" s="3" t="b">
        <v>0</v>
      </c>
      <c r="AC45" s="1"/>
      <c r="AD45" s="1" t="s">
        <v>1380</v>
      </c>
      <c r="AE45" s="1" t="b">
        <v>0</v>
      </c>
    </row>
    <row r="46" spans="1:31" x14ac:dyDescent="0.35">
      <c r="A46" s="53" t="s">
        <v>649</v>
      </c>
      <c r="B46" s="1" t="s">
        <v>650</v>
      </c>
      <c r="C46" s="53" t="s">
        <v>258</v>
      </c>
      <c r="D46" s="53" t="s">
        <v>655</v>
      </c>
      <c r="E46" s="53"/>
      <c r="F46" s="53" t="s">
        <v>655</v>
      </c>
      <c r="G46" s="53" t="s">
        <v>657</v>
      </c>
      <c r="H46" s="53" t="s">
        <v>658</v>
      </c>
      <c r="I46" s="484" t="s">
        <v>987</v>
      </c>
      <c r="J46" s="484"/>
      <c r="K46" s="484" t="s">
        <v>931</v>
      </c>
      <c r="L46" s="485" t="s">
        <v>657</v>
      </c>
      <c r="M46" s="485" t="s">
        <v>658</v>
      </c>
      <c r="N46" s="485" t="s">
        <v>987</v>
      </c>
      <c r="O46" s="484" t="s">
        <v>656</v>
      </c>
      <c r="P46" s="1" t="s">
        <v>954</v>
      </c>
      <c r="Q46" t="s">
        <v>327</v>
      </c>
      <c r="R46" s="1" t="s">
        <v>253</v>
      </c>
      <c r="S46" s="54" t="s">
        <v>254</v>
      </c>
      <c r="T46" s="1" t="s">
        <v>255</v>
      </c>
      <c r="U46" s="513" t="s">
        <v>861</v>
      </c>
      <c r="V46" s="3" t="b">
        <v>0</v>
      </c>
      <c r="W46" s="3" t="b">
        <v>1</v>
      </c>
      <c r="X46" s="3" t="b">
        <v>0</v>
      </c>
      <c r="Y46" s="3" t="b">
        <v>0</v>
      </c>
      <c r="Z46" s="3" t="b">
        <v>0</v>
      </c>
      <c r="AA46" s="3" t="b">
        <v>0</v>
      </c>
      <c r="AB46" s="3" t="b">
        <v>0</v>
      </c>
      <c r="AC46" s="1"/>
      <c r="AD46" s="1" t="s">
        <v>1380</v>
      </c>
      <c r="AE46" s="1" t="b">
        <v>0</v>
      </c>
    </row>
    <row r="47" spans="1:31" x14ac:dyDescent="0.35">
      <c r="A47" s="53" t="s">
        <v>341</v>
      </c>
      <c r="B47" s="1" t="s">
        <v>342</v>
      </c>
      <c r="C47" s="53" t="s">
        <v>315</v>
      </c>
      <c r="D47" s="53" t="s">
        <v>636</v>
      </c>
      <c r="E47" s="53"/>
      <c r="F47" s="53" t="s">
        <v>636</v>
      </c>
      <c r="G47" s="53"/>
      <c r="H47" s="53"/>
      <c r="I47" s="484"/>
      <c r="J47" s="484"/>
      <c r="K47" s="484"/>
      <c r="L47" s="485" t="s">
        <v>637</v>
      </c>
      <c r="M47" s="485" t="s">
        <v>638</v>
      </c>
      <c r="N47" s="485"/>
      <c r="O47" s="579" t="s">
        <v>1644</v>
      </c>
      <c r="P47" s="1" t="s">
        <v>954</v>
      </c>
      <c r="Q47" t="s">
        <v>327</v>
      </c>
      <c r="R47" s="1" t="s">
        <v>235</v>
      </c>
      <c r="S47" s="54" t="s">
        <v>236</v>
      </c>
      <c r="T47" s="1" t="s">
        <v>237</v>
      </c>
      <c r="V47" s="3" t="b">
        <v>0</v>
      </c>
      <c r="W47" s="3" t="b">
        <v>0</v>
      </c>
      <c r="X47" s="3" t="b">
        <v>0</v>
      </c>
      <c r="Y47" s="3" t="b">
        <v>0</v>
      </c>
      <c r="Z47" s="3" t="b">
        <v>0</v>
      </c>
      <c r="AA47" s="3" t="b">
        <v>0</v>
      </c>
      <c r="AB47" s="3" t="b">
        <v>0</v>
      </c>
      <c r="AC47" s="1"/>
      <c r="AD47" s="1" t="s">
        <v>1380</v>
      </c>
      <c r="AE47" s="1" t="b">
        <v>0</v>
      </c>
    </row>
    <row r="48" spans="1:31" x14ac:dyDescent="0.35">
      <c r="A48" s="53" t="s">
        <v>343</v>
      </c>
      <c r="B48" s="1" t="s">
        <v>868</v>
      </c>
      <c r="C48" s="53" t="s">
        <v>258</v>
      </c>
      <c r="D48" s="53" t="s">
        <v>639</v>
      </c>
      <c r="E48" s="53"/>
      <c r="F48" s="53" t="s">
        <v>639</v>
      </c>
      <c r="G48" s="53" t="s">
        <v>1322</v>
      </c>
      <c r="H48" s="53" t="s">
        <v>1321</v>
      </c>
      <c r="I48" s="484" t="s">
        <v>1323</v>
      </c>
      <c r="J48" s="484" t="s">
        <v>1324</v>
      </c>
      <c r="K48" s="484" t="s">
        <v>704</v>
      </c>
      <c r="L48" s="485" t="s">
        <v>1330</v>
      </c>
      <c r="M48" s="485" t="s">
        <v>1325</v>
      </c>
      <c r="N48" s="485" t="s">
        <v>1326</v>
      </c>
      <c r="O48" s="579" t="s">
        <v>1645</v>
      </c>
      <c r="P48" s="1" t="s">
        <v>919</v>
      </c>
      <c r="Q48" t="s">
        <v>327</v>
      </c>
      <c r="R48" s="1" t="s">
        <v>607</v>
      </c>
      <c r="S48" s="54" t="s">
        <v>254</v>
      </c>
      <c r="T48" s="1" t="s">
        <v>255</v>
      </c>
      <c r="U48" s="513" t="s">
        <v>1320</v>
      </c>
      <c r="V48" s="3" t="b">
        <v>0</v>
      </c>
      <c r="W48" s="3" t="b">
        <v>0</v>
      </c>
      <c r="X48" s="3" t="b">
        <v>1</v>
      </c>
      <c r="Y48" s="3" t="b">
        <v>0</v>
      </c>
      <c r="Z48" s="3" t="b">
        <v>0</v>
      </c>
      <c r="AA48" s="3" t="b">
        <v>0</v>
      </c>
      <c r="AB48" s="3" t="b">
        <v>1</v>
      </c>
      <c r="AC48" s="1"/>
      <c r="AD48" s="1" t="s">
        <v>1380</v>
      </c>
      <c r="AE48" s="1" t="b">
        <v>1</v>
      </c>
    </row>
    <row r="49" spans="1:31" x14ac:dyDescent="0.35">
      <c r="A49" s="53" t="s">
        <v>344</v>
      </c>
      <c r="B49" s="1" t="s">
        <v>332</v>
      </c>
      <c r="C49" s="53" t="s">
        <v>859</v>
      </c>
      <c r="D49" s="53" t="s">
        <v>640</v>
      </c>
      <c r="E49" s="53"/>
      <c r="F49" s="53" t="s">
        <v>640</v>
      </c>
      <c r="G49" s="53" t="s">
        <v>641</v>
      </c>
      <c r="H49" s="53" t="s">
        <v>642</v>
      </c>
      <c r="I49" s="484"/>
      <c r="J49" s="484"/>
      <c r="K49" s="484" t="s">
        <v>705</v>
      </c>
      <c r="L49" s="485" t="s">
        <v>1080</v>
      </c>
      <c r="M49" s="485" t="s">
        <v>1081</v>
      </c>
      <c r="N49" s="485"/>
      <c r="O49" s="579" t="s">
        <v>1646</v>
      </c>
      <c r="P49" s="1" t="s">
        <v>954</v>
      </c>
      <c r="Q49" t="s">
        <v>327</v>
      </c>
      <c r="R49" s="1" t="s">
        <v>235</v>
      </c>
      <c r="S49" s="54" t="s">
        <v>236</v>
      </c>
      <c r="T49" s="1" t="s">
        <v>237</v>
      </c>
      <c r="U49" s="513" t="s">
        <v>861</v>
      </c>
      <c r="V49" s="3" t="b">
        <v>0</v>
      </c>
      <c r="W49" s="3" t="b">
        <v>0</v>
      </c>
      <c r="X49" s="3" t="b">
        <v>0</v>
      </c>
      <c r="Y49" s="3" t="b">
        <v>0</v>
      </c>
      <c r="Z49" s="3" t="b">
        <v>0</v>
      </c>
      <c r="AA49" s="3" t="b">
        <v>0</v>
      </c>
      <c r="AB49" s="3" t="b">
        <v>0</v>
      </c>
      <c r="AC49" s="1"/>
      <c r="AD49" s="1" t="s">
        <v>1380</v>
      </c>
      <c r="AE49" s="1" t="b">
        <v>0</v>
      </c>
    </row>
    <row r="50" spans="1:31" x14ac:dyDescent="0.35">
      <c r="A50" s="53" t="s">
        <v>345</v>
      </c>
      <c r="B50" s="1" t="s">
        <v>346</v>
      </c>
      <c r="C50" s="53" t="s">
        <v>859</v>
      </c>
      <c r="D50" s="53" t="s">
        <v>643</v>
      </c>
      <c r="E50" s="53"/>
      <c r="F50" s="53" t="s">
        <v>643</v>
      </c>
      <c r="G50" s="53" t="s">
        <v>644</v>
      </c>
      <c r="H50" s="53" t="s">
        <v>645</v>
      </c>
      <c r="I50" s="484" t="s">
        <v>646</v>
      </c>
      <c r="J50" s="484"/>
      <c r="K50" s="484" t="s">
        <v>646</v>
      </c>
      <c r="L50" s="485" t="s">
        <v>644</v>
      </c>
      <c r="M50" s="485" t="s">
        <v>645</v>
      </c>
      <c r="N50" s="485" t="s">
        <v>646</v>
      </c>
      <c r="O50" s="579" t="s">
        <v>1647</v>
      </c>
      <c r="P50" s="1" t="s">
        <v>954</v>
      </c>
      <c r="Q50" t="s">
        <v>327</v>
      </c>
      <c r="R50" s="1" t="s">
        <v>235</v>
      </c>
      <c r="S50" s="54" t="s">
        <v>236</v>
      </c>
      <c r="T50" s="1" t="s">
        <v>237</v>
      </c>
      <c r="U50" s="513" t="s">
        <v>861</v>
      </c>
      <c r="V50" s="3" t="b">
        <v>0</v>
      </c>
      <c r="W50" s="3" t="b">
        <v>0</v>
      </c>
      <c r="X50" s="3" t="b">
        <v>0</v>
      </c>
      <c r="Y50" s="3" t="b">
        <v>0</v>
      </c>
      <c r="Z50" s="3" t="b">
        <v>0</v>
      </c>
      <c r="AA50" s="3" t="b">
        <v>0</v>
      </c>
      <c r="AB50" s="3" t="b">
        <v>0</v>
      </c>
      <c r="AC50" s="1"/>
      <c r="AD50" s="1" t="s">
        <v>1380</v>
      </c>
      <c r="AE50" s="1" t="b">
        <v>0</v>
      </c>
    </row>
    <row r="51" spans="1:31" x14ac:dyDescent="0.35">
      <c r="A51" s="582" t="s">
        <v>1658</v>
      </c>
      <c r="B51" s="1" t="s">
        <v>22</v>
      </c>
      <c r="C51" s="53" t="s">
        <v>590</v>
      </c>
      <c r="D51" s="53" t="s">
        <v>1019</v>
      </c>
      <c r="E51" s="53"/>
      <c r="F51" s="53" t="s">
        <v>1019</v>
      </c>
      <c r="G51" s="53" t="s">
        <v>949</v>
      </c>
      <c r="H51" s="53" t="s">
        <v>950</v>
      </c>
      <c r="I51" s="484" t="s">
        <v>22</v>
      </c>
      <c r="J51" s="484"/>
      <c r="K51" s="484" t="s">
        <v>951</v>
      </c>
      <c r="L51" s="485"/>
      <c r="M51" s="485"/>
      <c r="N51" s="485"/>
      <c r="O51" s="484"/>
      <c r="R51" s="1" t="s">
        <v>235</v>
      </c>
      <c r="S51" s="54" t="s">
        <v>236</v>
      </c>
      <c r="T51" s="1" t="s">
        <v>237</v>
      </c>
      <c r="V51" s="3" t="b">
        <v>0</v>
      </c>
      <c r="W51" s="3" t="b">
        <v>0</v>
      </c>
      <c r="X51" s="3" t="b">
        <v>0</v>
      </c>
      <c r="Y51" s="3" t="b">
        <v>0</v>
      </c>
      <c r="Z51" s="3" t="b">
        <v>0</v>
      </c>
      <c r="AA51" s="3" t="b">
        <v>0</v>
      </c>
      <c r="AB51" s="3" t="b">
        <v>0</v>
      </c>
      <c r="AC51" s="1"/>
      <c r="AD51" s="1" t="s">
        <v>1380</v>
      </c>
      <c r="AE51" s="1" t="b">
        <v>0</v>
      </c>
    </row>
    <row r="52" spans="1:31" x14ac:dyDescent="0.35">
      <c r="A52" s="53" t="s">
        <v>1513</v>
      </c>
      <c r="B52" s="1" t="s">
        <v>342</v>
      </c>
      <c r="D52" t="s">
        <v>1513</v>
      </c>
      <c r="G52" s="53"/>
      <c r="H52" s="624"/>
      <c r="I52" s="625"/>
      <c r="J52" s="625"/>
      <c r="K52" s="625"/>
      <c r="L52" s="626"/>
      <c r="M52" s="626"/>
      <c r="N52" s="626"/>
      <c r="O52" s="625"/>
      <c r="U52" s="627"/>
      <c r="V52" s="3"/>
      <c r="W52" s="3"/>
      <c r="X52" s="3"/>
      <c r="Y52" s="3"/>
      <c r="Z52" s="3"/>
      <c r="AA52" s="3"/>
      <c r="AB52" s="3"/>
      <c r="AC52" s="1"/>
      <c r="AD52" s="1"/>
      <c r="AE52" s="1"/>
    </row>
    <row r="53" spans="1:31" x14ac:dyDescent="0.35">
      <c r="A53" s="53" t="s">
        <v>348</v>
      </c>
      <c r="B53" s="1" t="s">
        <v>1705</v>
      </c>
      <c r="C53" s="53" t="s">
        <v>258</v>
      </c>
      <c r="D53" t="s">
        <v>1706</v>
      </c>
      <c r="F53" t="s">
        <v>1706</v>
      </c>
      <c r="G53" t="s">
        <v>1708</v>
      </c>
      <c r="H53" s="53" t="s">
        <v>1712</v>
      </c>
      <c r="I53" s="624" t="s">
        <v>1705</v>
      </c>
      <c r="J53" s="625"/>
      <c r="K53" s="625" t="s">
        <v>986</v>
      </c>
      <c r="L53" t="s">
        <v>1707</v>
      </c>
      <c r="M53" t="s">
        <v>1708</v>
      </c>
      <c r="N53" s="53" t="s">
        <v>1709</v>
      </c>
      <c r="O53" s="625" t="s">
        <v>1710</v>
      </c>
      <c r="P53" s="1" t="s">
        <v>1711</v>
      </c>
      <c r="Q53" t="s">
        <v>327</v>
      </c>
      <c r="R53" s="1" t="s">
        <v>235</v>
      </c>
      <c r="S53" s="54" t="s">
        <v>254</v>
      </c>
      <c r="T53" s="1" t="s">
        <v>255</v>
      </c>
      <c r="U53" s="627"/>
      <c r="V53" s="3" t="b">
        <v>0</v>
      </c>
      <c r="W53" s="3" t="b">
        <v>0</v>
      </c>
      <c r="X53" s="3" t="b">
        <v>0</v>
      </c>
      <c r="Y53" s="3" t="b">
        <v>0</v>
      </c>
      <c r="Z53" s="3" t="b">
        <v>0</v>
      </c>
      <c r="AA53" s="3" t="b">
        <v>0</v>
      </c>
      <c r="AB53" s="3" t="b">
        <v>0</v>
      </c>
      <c r="AC53" s="1"/>
      <c r="AD53" s="1" t="s">
        <v>1380</v>
      </c>
      <c r="AE53" s="1" t="b">
        <v>0</v>
      </c>
    </row>
    <row r="54" spans="1:31" x14ac:dyDescent="0.35">
      <c r="H54" s="153"/>
      <c r="I54" s="153"/>
      <c r="J54" s="153"/>
      <c r="K54" s="153"/>
      <c r="L54" s="154"/>
      <c r="M54" s="154"/>
      <c r="N54" s="154"/>
      <c r="O54" s="153"/>
    </row>
    <row r="55" spans="1:31" x14ac:dyDescent="0.35">
      <c r="H55" s="153"/>
      <c r="I55" s="153"/>
      <c r="J55" s="153"/>
      <c r="K55" s="153"/>
      <c r="L55" s="154"/>
      <c r="M55" s="154"/>
      <c r="N55" s="154"/>
      <c r="O55" s="153"/>
    </row>
    <row r="56" spans="1:31" x14ac:dyDescent="0.35">
      <c r="H56" s="153"/>
      <c r="I56" s="153"/>
      <c r="J56" s="153"/>
      <c r="K56" s="153"/>
      <c r="L56" s="154"/>
      <c r="M56" s="154"/>
      <c r="N56" s="154"/>
      <c r="O56" s="153"/>
    </row>
    <row r="57" spans="1:31" x14ac:dyDescent="0.35">
      <c r="A57"/>
      <c r="B57"/>
      <c r="C57"/>
      <c r="L57"/>
      <c r="M57"/>
      <c r="N57"/>
      <c r="P57"/>
      <c r="R57"/>
      <c r="S57"/>
      <c r="T57"/>
    </row>
    <row r="58" spans="1:31" x14ac:dyDescent="0.35">
      <c r="H58" s="153"/>
      <c r="I58" s="153"/>
      <c r="J58" s="153"/>
      <c r="K58" s="153"/>
      <c r="L58" s="154"/>
      <c r="M58" s="154"/>
      <c r="N58" s="154"/>
      <c r="O58" s="153"/>
    </row>
    <row r="59" spans="1:31" x14ac:dyDescent="0.35">
      <c r="H59" s="153"/>
      <c r="I59" s="153"/>
      <c r="J59" s="153"/>
      <c r="K59" s="153"/>
      <c r="L59" s="154"/>
      <c r="M59" s="154"/>
      <c r="N59" s="154"/>
      <c r="O59" s="153"/>
    </row>
    <row r="60" spans="1:31" x14ac:dyDescent="0.35">
      <c r="H60" s="153"/>
      <c r="I60" s="153"/>
      <c r="J60" s="153"/>
      <c r="K60" s="153"/>
      <c r="L60" s="154"/>
      <c r="M60" s="154"/>
      <c r="N60" s="154"/>
      <c r="O60" s="153"/>
    </row>
    <row r="61" spans="1:31" x14ac:dyDescent="0.35">
      <c r="H61" s="153"/>
      <c r="I61" s="153"/>
      <c r="J61" s="153"/>
      <c r="K61" s="153"/>
      <c r="L61" s="154"/>
      <c r="M61" s="154"/>
      <c r="N61" s="154"/>
      <c r="O61" s="153"/>
    </row>
    <row r="62" spans="1:31" x14ac:dyDescent="0.35">
      <c r="H62" s="153"/>
      <c r="I62" s="153"/>
      <c r="J62" s="153"/>
      <c r="K62" s="153"/>
      <c r="L62" s="154"/>
      <c r="M62" s="154"/>
      <c r="N62" s="154"/>
      <c r="O62" s="153"/>
    </row>
    <row r="63" spans="1:31" x14ac:dyDescent="0.35">
      <c r="H63" s="153"/>
      <c r="I63" s="153"/>
      <c r="J63" s="153"/>
      <c r="K63" s="153"/>
      <c r="L63" s="154"/>
      <c r="M63" s="154"/>
      <c r="N63" s="154"/>
      <c r="O63" s="153"/>
    </row>
    <row r="64" spans="1:31" x14ac:dyDescent="0.35">
      <c r="H64" s="153"/>
      <c r="I64" s="153"/>
      <c r="J64" s="153"/>
      <c r="K64" s="153"/>
      <c r="L64" s="154"/>
      <c r="M64" s="154"/>
      <c r="N64" s="154"/>
      <c r="O64" s="153"/>
    </row>
    <row r="65" spans="8:15" x14ac:dyDescent="0.35">
      <c r="H65" s="153"/>
      <c r="I65" s="153"/>
      <c r="J65" s="153"/>
      <c r="K65" s="153"/>
      <c r="L65" s="154"/>
      <c r="M65" s="154"/>
      <c r="N65" s="154"/>
      <c r="O65" s="153"/>
    </row>
    <row r="66" spans="8:15" x14ac:dyDescent="0.35">
      <c r="H66" s="153"/>
      <c r="I66" s="153"/>
      <c r="J66" s="153"/>
      <c r="K66" s="153"/>
      <c r="L66" s="154"/>
      <c r="M66" s="154"/>
      <c r="N66" s="154"/>
      <c r="O66" s="153"/>
    </row>
    <row r="67" spans="8:15" x14ac:dyDescent="0.35">
      <c r="H67" s="153"/>
      <c r="I67" s="153"/>
      <c r="J67" s="153"/>
      <c r="K67" s="153"/>
      <c r="L67" s="154"/>
      <c r="M67" s="154"/>
      <c r="N67" s="154"/>
      <c r="O67" s="153"/>
    </row>
    <row r="68" spans="8:15" x14ac:dyDescent="0.35">
      <c r="H68" s="153"/>
      <c r="I68" s="153"/>
      <c r="J68" s="153"/>
      <c r="K68" s="153"/>
      <c r="L68" s="154"/>
      <c r="M68" s="154"/>
      <c r="N68" s="154"/>
      <c r="O68" s="153"/>
    </row>
    <row r="69" spans="8:15" x14ac:dyDescent="0.35">
      <c r="H69" s="153"/>
      <c r="I69" s="153"/>
      <c r="J69" s="153"/>
      <c r="K69" s="153"/>
      <c r="L69" s="154"/>
      <c r="M69" s="154"/>
      <c r="N69" s="154"/>
      <c r="O69" s="153"/>
    </row>
    <row r="70" spans="8:15" x14ac:dyDescent="0.35">
      <c r="H70" s="153"/>
      <c r="I70" s="153"/>
      <c r="J70" s="153"/>
      <c r="K70" s="153"/>
      <c r="L70" s="154"/>
      <c r="M70" s="154"/>
      <c r="N70" s="154"/>
      <c r="O70" s="153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4"/>
  <dimension ref="A1:T91"/>
  <sheetViews>
    <sheetView workbookViewId="0">
      <selection activeCell="A32" sqref="A32"/>
    </sheetView>
  </sheetViews>
  <sheetFormatPr defaultColWidth="8.7265625" defaultRowHeight="14.5" x14ac:dyDescent="0.35"/>
  <cols>
    <col min="1" max="1" width="26" style="53" bestFit="1" customWidth="1"/>
    <col min="2" max="2" width="14.81640625" bestFit="1" customWidth="1"/>
    <col min="3" max="3" width="8.7265625" customWidth="1"/>
    <col min="4" max="4" width="13.26953125" customWidth="1"/>
    <col min="5" max="5" width="12.26953125" bestFit="1" customWidth="1"/>
    <col min="6" max="6" width="11.54296875" bestFit="1" customWidth="1"/>
    <col min="7" max="7" width="15.54296875" bestFit="1" customWidth="1"/>
    <col min="8" max="8" width="21" bestFit="1" customWidth="1"/>
    <col min="9" max="9" width="17" bestFit="1" customWidth="1"/>
    <col min="10" max="10" width="22.54296875" bestFit="1" customWidth="1"/>
    <col min="11" max="11" width="17" bestFit="1" customWidth="1"/>
    <col min="12" max="12" width="22.54296875" bestFit="1" customWidth="1"/>
    <col min="13" max="13" width="17" bestFit="1" customWidth="1"/>
    <col min="14" max="14" width="22.54296875" bestFit="1" customWidth="1"/>
    <col min="15" max="15" width="17" bestFit="1" customWidth="1"/>
    <col min="16" max="16" width="22.54296875" bestFit="1" customWidth="1"/>
    <col min="17" max="17" width="16.26953125" bestFit="1" customWidth="1"/>
    <col min="18" max="18" width="21.54296875" bestFit="1" customWidth="1"/>
    <col min="19" max="19" width="16.26953125" bestFit="1" customWidth="1"/>
    <col min="20" max="20" width="21.54296875" bestFit="1" customWidth="1"/>
    <col min="21" max="22" width="8.81640625" customWidth="1"/>
  </cols>
  <sheetData>
    <row r="1" spans="1:20" s="503" customFormat="1" x14ac:dyDescent="0.35">
      <c r="A1" s="116" t="s">
        <v>1624</v>
      </c>
      <c r="B1" s="503" t="s">
        <v>1625</v>
      </c>
      <c r="D1" s="503" t="s">
        <v>1600</v>
      </c>
      <c r="E1" s="503" t="s">
        <v>169</v>
      </c>
      <c r="F1" s="503" t="s">
        <v>150</v>
      </c>
      <c r="G1" s="503" t="s">
        <v>1614</v>
      </c>
      <c r="H1" s="503" t="s">
        <v>1619</v>
      </c>
      <c r="I1" s="503" t="s">
        <v>1615</v>
      </c>
      <c r="J1" s="503" t="s">
        <v>1620</v>
      </c>
      <c r="K1" s="503" t="s">
        <v>1627</v>
      </c>
      <c r="L1" s="503" t="s">
        <v>1628</v>
      </c>
      <c r="M1" s="503" t="s">
        <v>1616</v>
      </c>
      <c r="N1" s="503" t="s">
        <v>1621</v>
      </c>
      <c r="O1" s="503" t="s">
        <v>1617</v>
      </c>
      <c r="P1" s="503" t="s">
        <v>1622</v>
      </c>
      <c r="Q1" s="503" t="s">
        <v>1696</v>
      </c>
      <c r="R1" s="503" t="s">
        <v>1697</v>
      </c>
      <c r="S1" s="503" t="s">
        <v>1618</v>
      </c>
      <c r="T1" s="503" t="s">
        <v>1623</v>
      </c>
    </row>
    <row r="2" spans="1:20" x14ac:dyDescent="0.35">
      <c r="A2" s="53" t="s">
        <v>1614</v>
      </c>
      <c r="B2">
        <v>33</v>
      </c>
      <c r="C2" s="3"/>
      <c r="D2" t="s">
        <v>54</v>
      </c>
      <c r="E2" t="s">
        <v>168</v>
      </c>
      <c r="F2" t="s">
        <v>149</v>
      </c>
      <c r="G2" t="s">
        <v>54</v>
      </c>
      <c r="H2">
        <v>1</v>
      </c>
      <c r="I2" t="s">
        <v>91</v>
      </c>
      <c r="J2">
        <v>1</v>
      </c>
      <c r="K2" t="s">
        <v>168</v>
      </c>
      <c r="L2">
        <v>1</v>
      </c>
      <c r="M2" t="s">
        <v>149</v>
      </c>
      <c r="N2">
        <v>1</v>
      </c>
      <c r="O2" t="s">
        <v>160</v>
      </c>
      <c r="P2">
        <v>1</v>
      </c>
      <c r="Q2" t="s">
        <v>672</v>
      </c>
      <c r="R2">
        <v>1</v>
      </c>
      <c r="S2" t="s">
        <v>680</v>
      </c>
      <c r="T2">
        <v>1</v>
      </c>
    </row>
    <row r="3" spans="1:20" x14ac:dyDescent="0.35">
      <c r="A3" s="53" t="s">
        <v>1615</v>
      </c>
      <c r="B3">
        <v>43</v>
      </c>
      <c r="C3" s="3"/>
      <c r="D3" t="s">
        <v>1061</v>
      </c>
      <c r="E3" t="s">
        <v>173</v>
      </c>
      <c r="F3" t="s">
        <v>154</v>
      </c>
      <c r="G3" t="s">
        <v>1061</v>
      </c>
      <c r="H3">
        <v>1</v>
      </c>
      <c r="I3" t="s">
        <v>93</v>
      </c>
      <c r="J3">
        <v>1</v>
      </c>
      <c r="K3" t="s">
        <v>173</v>
      </c>
      <c r="L3">
        <v>1</v>
      </c>
      <c r="M3" t="s">
        <v>154</v>
      </c>
      <c r="N3">
        <v>1</v>
      </c>
      <c r="O3" t="s">
        <v>162</v>
      </c>
      <c r="P3">
        <v>1</v>
      </c>
      <c r="Q3" t="s">
        <v>674</v>
      </c>
      <c r="R3">
        <v>1</v>
      </c>
      <c r="S3" t="s">
        <v>682</v>
      </c>
      <c r="T3">
        <v>1</v>
      </c>
    </row>
    <row r="4" spans="1:20" x14ac:dyDescent="0.35">
      <c r="A4" s="53" t="s">
        <v>1627</v>
      </c>
      <c r="B4">
        <v>4</v>
      </c>
      <c r="C4" s="3"/>
      <c r="D4" t="s">
        <v>1060</v>
      </c>
      <c r="E4" t="s">
        <v>175</v>
      </c>
      <c r="F4" t="s">
        <v>156</v>
      </c>
      <c r="G4" t="s">
        <v>1060</v>
      </c>
      <c r="H4">
        <v>1</v>
      </c>
      <c r="I4" t="s">
        <v>95</v>
      </c>
      <c r="J4">
        <v>1</v>
      </c>
      <c r="K4" t="s">
        <v>175</v>
      </c>
      <c r="L4">
        <v>1</v>
      </c>
      <c r="M4" t="s">
        <v>156</v>
      </c>
      <c r="N4">
        <v>1</v>
      </c>
      <c r="O4" t="s">
        <v>164</v>
      </c>
      <c r="P4">
        <v>1</v>
      </c>
      <c r="Q4" t="s">
        <v>676</v>
      </c>
      <c r="R4">
        <v>1</v>
      </c>
      <c r="S4" t="s">
        <v>684</v>
      </c>
      <c r="T4">
        <v>1</v>
      </c>
    </row>
    <row r="5" spans="1:20" x14ac:dyDescent="0.35">
      <c r="A5" s="53" t="s">
        <v>1616</v>
      </c>
      <c r="B5">
        <v>19</v>
      </c>
      <c r="C5" s="3"/>
      <c r="D5" t="s">
        <v>58</v>
      </c>
      <c r="E5" t="s">
        <v>177</v>
      </c>
      <c r="F5" t="s">
        <v>158</v>
      </c>
      <c r="G5" t="s">
        <v>58</v>
      </c>
      <c r="H5">
        <v>1</v>
      </c>
      <c r="I5" t="s">
        <v>97</v>
      </c>
      <c r="J5">
        <v>1</v>
      </c>
      <c r="K5" t="s">
        <v>177</v>
      </c>
      <c r="L5">
        <v>1</v>
      </c>
      <c r="M5" t="s">
        <v>158</v>
      </c>
      <c r="N5">
        <v>1</v>
      </c>
      <c r="O5" t="s">
        <v>166</v>
      </c>
      <c r="P5">
        <v>1</v>
      </c>
      <c r="Q5" t="s">
        <v>678</v>
      </c>
      <c r="R5">
        <v>1</v>
      </c>
      <c r="S5" t="s">
        <v>686</v>
      </c>
      <c r="T5">
        <v>1</v>
      </c>
    </row>
    <row r="6" spans="1:20" x14ac:dyDescent="0.35">
      <c r="A6" s="53" t="s">
        <v>1617</v>
      </c>
      <c r="B6">
        <v>23</v>
      </c>
      <c r="C6" s="3"/>
      <c r="D6" t="s">
        <v>1201</v>
      </c>
      <c r="E6" t="s">
        <v>672</v>
      </c>
      <c r="F6" t="s">
        <v>160</v>
      </c>
      <c r="G6" t="s">
        <v>1201</v>
      </c>
      <c r="H6">
        <v>1</v>
      </c>
      <c r="I6" t="s">
        <v>99</v>
      </c>
      <c r="J6">
        <v>1</v>
      </c>
      <c r="M6" t="s">
        <v>29</v>
      </c>
      <c r="N6">
        <v>0.45</v>
      </c>
      <c r="O6" t="s">
        <v>17</v>
      </c>
      <c r="P6">
        <v>0.45</v>
      </c>
      <c r="S6" t="s">
        <v>1219</v>
      </c>
      <c r="T6">
        <v>0.4</v>
      </c>
    </row>
    <row r="7" spans="1:20" x14ac:dyDescent="0.35">
      <c r="A7" s="53" t="s">
        <v>1696</v>
      </c>
      <c r="B7">
        <v>4</v>
      </c>
      <c r="C7" s="3"/>
      <c r="D7" t="s">
        <v>60</v>
      </c>
      <c r="E7" t="s">
        <v>674</v>
      </c>
      <c r="F7" t="s">
        <v>162</v>
      </c>
      <c r="G7" t="s">
        <v>60</v>
      </c>
      <c r="H7">
        <v>1</v>
      </c>
      <c r="I7" t="s">
        <v>101</v>
      </c>
      <c r="J7">
        <v>1</v>
      </c>
      <c r="M7" t="s">
        <v>32</v>
      </c>
      <c r="N7">
        <v>0.45</v>
      </c>
      <c r="O7" t="s">
        <v>23</v>
      </c>
      <c r="P7">
        <v>0.45</v>
      </c>
      <c r="S7" t="s">
        <v>88</v>
      </c>
      <c r="T7">
        <v>0.4</v>
      </c>
    </row>
    <row r="8" spans="1:20" x14ac:dyDescent="0.35">
      <c r="A8" s="53" t="s">
        <v>1618</v>
      </c>
      <c r="B8">
        <v>6</v>
      </c>
      <c r="C8" s="3"/>
      <c r="D8" t="s">
        <v>1202</v>
      </c>
      <c r="E8" t="s">
        <v>676</v>
      </c>
      <c r="F8" t="s">
        <v>164</v>
      </c>
      <c r="G8" t="s">
        <v>1202</v>
      </c>
      <c r="H8">
        <v>1</v>
      </c>
      <c r="I8" t="s">
        <v>103</v>
      </c>
      <c r="J8">
        <v>1</v>
      </c>
      <c r="M8" t="s">
        <v>34</v>
      </c>
      <c r="N8">
        <v>0.45</v>
      </c>
      <c r="O8" t="s">
        <v>25</v>
      </c>
      <c r="P8">
        <v>0.45</v>
      </c>
    </row>
    <row r="9" spans="1:20" x14ac:dyDescent="0.35">
      <c r="A9" s="576"/>
      <c r="C9" s="3"/>
      <c r="D9" t="s">
        <v>62</v>
      </c>
      <c r="E9" t="s">
        <v>678</v>
      </c>
      <c r="F9" t="s">
        <v>166</v>
      </c>
      <c r="G9" t="s">
        <v>62</v>
      </c>
      <c r="H9">
        <v>1</v>
      </c>
      <c r="I9" t="s">
        <v>105</v>
      </c>
      <c r="J9">
        <v>1</v>
      </c>
      <c r="M9" t="s">
        <v>36</v>
      </c>
      <c r="N9">
        <v>0.45</v>
      </c>
      <c r="O9" t="s">
        <v>27</v>
      </c>
      <c r="P9">
        <v>0.45</v>
      </c>
    </row>
    <row r="10" spans="1:20" x14ac:dyDescent="0.35">
      <c r="A10" s="576"/>
      <c r="C10" s="3"/>
      <c r="D10" t="s">
        <v>1203</v>
      </c>
      <c r="F10" t="s">
        <v>680</v>
      </c>
      <c r="G10" t="s">
        <v>1203</v>
      </c>
      <c r="H10">
        <v>1</v>
      </c>
      <c r="I10" t="s">
        <v>107</v>
      </c>
      <c r="J10">
        <v>1</v>
      </c>
      <c r="M10" t="s">
        <v>46</v>
      </c>
      <c r="N10">
        <v>0.45</v>
      </c>
      <c r="O10" t="s">
        <v>38</v>
      </c>
      <c r="P10">
        <v>0.45</v>
      </c>
    </row>
    <row r="11" spans="1:20" x14ac:dyDescent="0.35">
      <c r="A11" s="576"/>
      <c r="C11" s="3"/>
      <c r="D11" t="s">
        <v>64</v>
      </c>
      <c r="F11" t="s">
        <v>682</v>
      </c>
      <c r="G11" t="s">
        <v>64</v>
      </c>
      <c r="H11">
        <v>1</v>
      </c>
      <c r="I11" t="s">
        <v>110</v>
      </c>
      <c r="J11">
        <v>1</v>
      </c>
      <c r="M11" t="s">
        <v>48</v>
      </c>
      <c r="N11">
        <v>0.45</v>
      </c>
      <c r="O11" t="s">
        <v>40</v>
      </c>
      <c r="P11">
        <v>0.45</v>
      </c>
    </row>
    <row r="12" spans="1:20" x14ac:dyDescent="0.35">
      <c r="A12" s="576"/>
      <c r="C12" s="3"/>
      <c r="D12" t="s">
        <v>1204</v>
      </c>
      <c r="F12" t="s">
        <v>684</v>
      </c>
      <c r="G12" t="s">
        <v>1204</v>
      </c>
      <c r="H12">
        <v>1</v>
      </c>
      <c r="I12" t="s">
        <v>112</v>
      </c>
      <c r="J12">
        <v>1</v>
      </c>
      <c r="M12" t="s">
        <v>50</v>
      </c>
      <c r="N12">
        <v>0.45</v>
      </c>
      <c r="O12" t="s">
        <v>42</v>
      </c>
      <c r="P12">
        <v>0.45</v>
      </c>
    </row>
    <row r="13" spans="1:20" x14ac:dyDescent="0.35">
      <c r="C13" s="3"/>
      <c r="D13" t="s">
        <v>66</v>
      </c>
      <c r="F13" t="s">
        <v>686</v>
      </c>
      <c r="G13" t="s">
        <v>66</v>
      </c>
      <c r="H13">
        <v>1</v>
      </c>
      <c r="I13" t="s">
        <v>1216</v>
      </c>
      <c r="J13">
        <v>1</v>
      </c>
      <c r="M13" t="s">
        <v>52</v>
      </c>
      <c r="N13">
        <v>0.45</v>
      </c>
      <c r="O13" t="s">
        <v>44</v>
      </c>
      <c r="P13">
        <v>0.45</v>
      </c>
    </row>
    <row r="14" spans="1:20" x14ac:dyDescent="0.35">
      <c r="A14" s="577"/>
      <c r="C14" s="3"/>
      <c r="D14" t="s">
        <v>1205</v>
      </c>
      <c r="F14" t="s">
        <v>17</v>
      </c>
      <c r="G14" t="s">
        <v>1205</v>
      </c>
      <c r="H14">
        <v>1</v>
      </c>
      <c r="I14" t="s">
        <v>114</v>
      </c>
      <c r="J14">
        <v>1</v>
      </c>
      <c r="M14" t="s">
        <v>80</v>
      </c>
      <c r="N14">
        <v>0.45</v>
      </c>
      <c r="O14" t="s">
        <v>72</v>
      </c>
      <c r="P14">
        <v>0.45</v>
      </c>
    </row>
    <row r="15" spans="1:20" x14ac:dyDescent="0.35">
      <c r="A15" s="577"/>
      <c r="C15" s="3"/>
      <c r="D15" t="s">
        <v>68</v>
      </c>
      <c r="F15" t="s">
        <v>23</v>
      </c>
      <c r="G15" t="s">
        <v>68</v>
      </c>
      <c r="H15">
        <v>1</v>
      </c>
      <c r="I15" t="s">
        <v>116</v>
      </c>
      <c r="J15">
        <v>1</v>
      </c>
      <c r="M15" t="s">
        <v>82</v>
      </c>
      <c r="N15">
        <v>0.45</v>
      </c>
      <c r="O15" t="s">
        <v>74</v>
      </c>
      <c r="P15">
        <v>0.45</v>
      </c>
    </row>
    <row r="16" spans="1:20" x14ac:dyDescent="0.35">
      <c r="A16" s="576"/>
      <c r="C16" s="3"/>
      <c r="D16" t="s">
        <v>1206</v>
      </c>
      <c r="F16" t="s">
        <v>25</v>
      </c>
      <c r="G16" t="s">
        <v>1206</v>
      </c>
      <c r="H16">
        <v>1</v>
      </c>
      <c r="I16" t="s">
        <v>1217</v>
      </c>
      <c r="J16">
        <v>1</v>
      </c>
      <c r="M16" t="s">
        <v>84</v>
      </c>
      <c r="N16">
        <v>0.45</v>
      </c>
      <c r="O16" t="s">
        <v>76</v>
      </c>
      <c r="P16">
        <v>0.45</v>
      </c>
    </row>
    <row r="17" spans="1:16" x14ac:dyDescent="0.35">
      <c r="A17" s="576"/>
      <c r="C17" s="3"/>
      <c r="D17" t="s">
        <v>70</v>
      </c>
      <c r="F17" t="s">
        <v>27</v>
      </c>
      <c r="G17" t="s">
        <v>70</v>
      </c>
      <c r="H17">
        <v>1</v>
      </c>
      <c r="I17" t="s">
        <v>118</v>
      </c>
      <c r="J17">
        <v>1</v>
      </c>
      <c r="M17" t="s">
        <v>86</v>
      </c>
      <c r="N17">
        <v>0.45</v>
      </c>
      <c r="O17" t="s">
        <v>78</v>
      </c>
      <c r="P17">
        <v>0.45</v>
      </c>
    </row>
    <row r="18" spans="1:16" x14ac:dyDescent="0.35">
      <c r="A18" s="576"/>
      <c r="C18" s="3"/>
      <c r="D18" t="s">
        <v>1207</v>
      </c>
      <c r="F18" t="s">
        <v>29</v>
      </c>
      <c r="G18" t="s">
        <v>1207</v>
      </c>
      <c r="H18">
        <v>1</v>
      </c>
      <c r="I18" t="s">
        <v>120</v>
      </c>
      <c r="J18">
        <v>1</v>
      </c>
      <c r="M18" t="s">
        <v>200</v>
      </c>
      <c r="N18">
        <v>0.45</v>
      </c>
      <c r="O18" t="s">
        <v>188</v>
      </c>
      <c r="P18">
        <v>0.45</v>
      </c>
    </row>
    <row r="19" spans="1:16" x14ac:dyDescent="0.35">
      <c r="A19" s="576"/>
      <c r="C19" s="3"/>
      <c r="D19" t="s">
        <v>91</v>
      </c>
      <c r="F19" t="s">
        <v>32</v>
      </c>
      <c r="G19" t="s">
        <v>17</v>
      </c>
      <c r="H19">
        <v>0.55000000000000004</v>
      </c>
      <c r="I19" t="s">
        <v>1218</v>
      </c>
      <c r="J19">
        <v>1</v>
      </c>
      <c r="M19" t="s">
        <v>202</v>
      </c>
      <c r="N19">
        <v>0.45</v>
      </c>
      <c r="O19" t="s">
        <v>190</v>
      </c>
      <c r="P19">
        <v>0.45</v>
      </c>
    </row>
    <row r="20" spans="1:16" x14ac:dyDescent="0.35">
      <c r="A20" s="576"/>
      <c r="C20" s="3"/>
      <c r="D20" t="s">
        <v>93</v>
      </c>
      <c r="F20" t="s">
        <v>34</v>
      </c>
      <c r="G20" t="s">
        <v>23</v>
      </c>
      <c r="H20">
        <v>0.55000000000000004</v>
      </c>
      <c r="I20" t="s">
        <v>122</v>
      </c>
      <c r="J20">
        <v>1</v>
      </c>
      <c r="M20" t="s">
        <v>204</v>
      </c>
      <c r="N20">
        <v>0.45</v>
      </c>
      <c r="O20" t="s">
        <v>192</v>
      </c>
      <c r="P20">
        <v>0.45</v>
      </c>
    </row>
    <row r="21" spans="1:16" x14ac:dyDescent="0.35">
      <c r="A21" s="576"/>
      <c r="C21" s="3"/>
      <c r="D21" t="s">
        <v>95</v>
      </c>
      <c r="F21" t="s">
        <v>36</v>
      </c>
      <c r="G21" t="s">
        <v>25</v>
      </c>
      <c r="H21">
        <v>0.55000000000000004</v>
      </c>
      <c r="I21" t="s">
        <v>141</v>
      </c>
      <c r="J21">
        <v>1</v>
      </c>
      <c r="O21" t="s">
        <v>194</v>
      </c>
      <c r="P21">
        <v>0.45</v>
      </c>
    </row>
    <row r="22" spans="1:16" x14ac:dyDescent="0.35">
      <c r="A22" s="576"/>
      <c r="C22" s="3"/>
      <c r="D22" t="s">
        <v>97</v>
      </c>
      <c r="F22" t="s">
        <v>38</v>
      </c>
      <c r="G22" t="s">
        <v>27</v>
      </c>
      <c r="H22">
        <v>0.55000000000000004</v>
      </c>
      <c r="I22" t="s">
        <v>143</v>
      </c>
      <c r="J22">
        <v>1</v>
      </c>
      <c r="O22" t="s">
        <v>196</v>
      </c>
      <c r="P22">
        <v>0.45</v>
      </c>
    </row>
    <row r="23" spans="1:16" x14ac:dyDescent="0.35">
      <c r="A23" s="576"/>
      <c r="C23" s="3"/>
      <c r="D23" t="s">
        <v>99</v>
      </c>
      <c r="F23" t="s">
        <v>40</v>
      </c>
      <c r="G23" t="s">
        <v>29</v>
      </c>
      <c r="H23">
        <v>0.55000000000000004</v>
      </c>
      <c r="I23" t="s">
        <v>1679</v>
      </c>
      <c r="J23">
        <v>1</v>
      </c>
      <c r="O23" t="s">
        <v>198</v>
      </c>
      <c r="P23">
        <v>0.45</v>
      </c>
    </row>
    <row r="24" spans="1:16" x14ac:dyDescent="0.35">
      <c r="A24" s="576"/>
      <c r="C24" s="3"/>
      <c r="D24" t="s">
        <v>101</v>
      </c>
      <c r="F24" t="s">
        <v>42</v>
      </c>
      <c r="G24" t="s">
        <v>32</v>
      </c>
      <c r="H24">
        <v>0.55000000000000004</v>
      </c>
      <c r="I24" t="s">
        <v>1680</v>
      </c>
      <c r="J24">
        <v>1</v>
      </c>
      <c r="O24" t="s">
        <v>395</v>
      </c>
      <c r="P24">
        <v>0.25</v>
      </c>
    </row>
    <row r="25" spans="1:16" x14ac:dyDescent="0.35">
      <c r="A25" s="576"/>
      <c r="C25" s="3"/>
      <c r="D25" t="s">
        <v>103</v>
      </c>
      <c r="F25" t="s">
        <v>44</v>
      </c>
      <c r="G25" t="s">
        <v>34</v>
      </c>
      <c r="H25">
        <v>0.55000000000000004</v>
      </c>
      <c r="I25" t="s">
        <v>124</v>
      </c>
      <c r="J25">
        <v>1</v>
      </c>
    </row>
    <row r="26" spans="1:16" x14ac:dyDescent="0.35">
      <c r="A26" s="576"/>
      <c r="C26" s="3"/>
      <c r="D26" t="s">
        <v>105</v>
      </c>
      <c r="F26" t="s">
        <v>46</v>
      </c>
      <c r="G26" t="s">
        <v>36</v>
      </c>
      <c r="H26">
        <v>0.55000000000000004</v>
      </c>
      <c r="I26" t="s">
        <v>127</v>
      </c>
      <c r="J26">
        <v>1</v>
      </c>
    </row>
    <row r="27" spans="1:16" x14ac:dyDescent="0.35">
      <c r="A27" s="576"/>
      <c r="C27" s="3"/>
      <c r="D27" t="s">
        <v>107</v>
      </c>
      <c r="F27" t="s">
        <v>48</v>
      </c>
      <c r="G27" t="s">
        <v>38</v>
      </c>
      <c r="H27">
        <v>0.55000000000000004</v>
      </c>
      <c r="I27" t="s">
        <v>129</v>
      </c>
      <c r="J27">
        <v>1</v>
      </c>
    </row>
    <row r="28" spans="1:16" x14ac:dyDescent="0.35">
      <c r="A28" s="576"/>
      <c r="C28" s="3"/>
      <c r="D28" t="s">
        <v>110</v>
      </c>
      <c r="F28" t="s">
        <v>50</v>
      </c>
      <c r="G28" t="s">
        <v>40</v>
      </c>
      <c r="H28">
        <v>0.55000000000000004</v>
      </c>
      <c r="I28" t="s">
        <v>131</v>
      </c>
      <c r="J28">
        <v>1</v>
      </c>
    </row>
    <row r="29" spans="1:16" x14ac:dyDescent="0.35">
      <c r="A29" s="576"/>
      <c r="C29" s="3"/>
      <c r="D29" t="s">
        <v>112</v>
      </c>
      <c r="F29" t="s">
        <v>52</v>
      </c>
      <c r="G29" t="s">
        <v>42</v>
      </c>
      <c r="H29">
        <v>0.55000000000000004</v>
      </c>
      <c r="I29" t="s">
        <v>133</v>
      </c>
      <c r="J29">
        <v>1</v>
      </c>
    </row>
    <row r="30" spans="1:16" x14ac:dyDescent="0.35">
      <c r="C30" s="3"/>
      <c r="D30" t="s">
        <v>1216</v>
      </c>
      <c r="F30" t="s">
        <v>72</v>
      </c>
      <c r="G30" t="s">
        <v>44</v>
      </c>
      <c r="H30">
        <v>0.55000000000000004</v>
      </c>
      <c r="I30" t="s">
        <v>135</v>
      </c>
      <c r="J30">
        <v>1</v>
      </c>
    </row>
    <row r="31" spans="1:16" x14ac:dyDescent="0.35">
      <c r="C31" s="3"/>
      <c r="D31" t="s">
        <v>114</v>
      </c>
      <c r="F31" t="s">
        <v>74</v>
      </c>
      <c r="G31" t="s">
        <v>46</v>
      </c>
      <c r="H31">
        <v>0.55000000000000004</v>
      </c>
      <c r="I31" t="s">
        <v>137</v>
      </c>
      <c r="J31">
        <v>1</v>
      </c>
    </row>
    <row r="32" spans="1:16" x14ac:dyDescent="0.35">
      <c r="C32" s="3"/>
      <c r="D32" t="s">
        <v>116</v>
      </c>
      <c r="F32" t="s">
        <v>76</v>
      </c>
      <c r="G32" t="s">
        <v>48</v>
      </c>
      <c r="H32">
        <v>0.55000000000000004</v>
      </c>
      <c r="I32" t="s">
        <v>139</v>
      </c>
      <c r="J32">
        <v>1</v>
      </c>
    </row>
    <row r="33" spans="3:10" x14ac:dyDescent="0.35">
      <c r="C33" s="3"/>
      <c r="D33" t="s">
        <v>1217</v>
      </c>
      <c r="F33" t="s">
        <v>78</v>
      </c>
      <c r="G33" t="s">
        <v>50</v>
      </c>
      <c r="H33">
        <v>0.55000000000000004</v>
      </c>
      <c r="I33" t="s">
        <v>145</v>
      </c>
      <c r="J33">
        <v>1</v>
      </c>
    </row>
    <row r="34" spans="3:10" x14ac:dyDescent="0.35">
      <c r="C34" s="3"/>
      <c r="D34" t="s">
        <v>118</v>
      </c>
      <c r="F34" t="s">
        <v>80</v>
      </c>
      <c r="G34" t="s">
        <v>52</v>
      </c>
      <c r="H34">
        <v>0.55000000000000004</v>
      </c>
      <c r="I34" t="s">
        <v>147</v>
      </c>
      <c r="J34">
        <v>1</v>
      </c>
    </row>
    <row r="35" spans="3:10" x14ac:dyDescent="0.35">
      <c r="C35" s="3"/>
      <c r="D35" t="s">
        <v>120</v>
      </c>
      <c r="F35" t="s">
        <v>82</v>
      </c>
      <c r="I35" t="s">
        <v>72</v>
      </c>
      <c r="J35">
        <v>0.55000000000000004</v>
      </c>
    </row>
    <row r="36" spans="3:10" x14ac:dyDescent="0.35">
      <c r="C36" s="3"/>
      <c r="D36" t="s">
        <v>1218</v>
      </c>
      <c r="F36" t="s">
        <v>84</v>
      </c>
      <c r="I36" t="s">
        <v>74</v>
      </c>
      <c r="J36">
        <v>0.55000000000000004</v>
      </c>
    </row>
    <row r="37" spans="3:10" x14ac:dyDescent="0.35">
      <c r="C37" s="3"/>
      <c r="D37" t="s">
        <v>122</v>
      </c>
      <c r="F37" t="s">
        <v>86</v>
      </c>
      <c r="I37" t="s">
        <v>76</v>
      </c>
      <c r="J37">
        <v>0.55000000000000004</v>
      </c>
    </row>
    <row r="38" spans="3:10" x14ac:dyDescent="0.35">
      <c r="C38" s="3"/>
      <c r="D38" t="s">
        <v>141</v>
      </c>
      <c r="F38" t="s">
        <v>1219</v>
      </c>
      <c r="I38" t="s">
        <v>78</v>
      </c>
      <c r="J38">
        <v>0.55000000000000004</v>
      </c>
    </row>
    <row r="39" spans="3:10" x14ac:dyDescent="0.35">
      <c r="C39" s="3"/>
      <c r="D39" t="s">
        <v>143</v>
      </c>
      <c r="F39" t="s">
        <v>88</v>
      </c>
      <c r="I39" t="s">
        <v>80</v>
      </c>
      <c r="J39">
        <v>0.55000000000000004</v>
      </c>
    </row>
    <row r="40" spans="3:10" x14ac:dyDescent="0.35">
      <c r="C40" s="3"/>
      <c r="D40" t="s">
        <v>1679</v>
      </c>
      <c r="F40" t="s">
        <v>188</v>
      </c>
      <c r="I40" t="s">
        <v>82</v>
      </c>
      <c r="J40">
        <v>0.55000000000000004</v>
      </c>
    </row>
    <row r="41" spans="3:10" x14ac:dyDescent="0.35">
      <c r="C41" s="3"/>
      <c r="D41" t="s">
        <v>1680</v>
      </c>
      <c r="F41" t="s">
        <v>190</v>
      </c>
      <c r="I41" t="s">
        <v>84</v>
      </c>
      <c r="J41">
        <v>0.55000000000000004</v>
      </c>
    </row>
    <row r="42" spans="3:10" x14ac:dyDescent="0.35">
      <c r="C42" s="3"/>
      <c r="D42" t="s">
        <v>124</v>
      </c>
      <c r="F42" t="s">
        <v>192</v>
      </c>
      <c r="I42" t="s">
        <v>86</v>
      </c>
      <c r="J42">
        <v>0.55000000000000004</v>
      </c>
    </row>
    <row r="43" spans="3:10" x14ac:dyDescent="0.35">
      <c r="C43" s="3"/>
      <c r="D43" t="s">
        <v>127</v>
      </c>
      <c r="F43" t="s">
        <v>194</v>
      </c>
      <c r="I43" t="s">
        <v>1219</v>
      </c>
      <c r="J43">
        <v>0.6</v>
      </c>
    </row>
    <row r="44" spans="3:10" x14ac:dyDescent="0.35">
      <c r="C44" s="3"/>
      <c r="D44" t="s">
        <v>129</v>
      </c>
      <c r="F44" t="s">
        <v>196</v>
      </c>
      <c r="I44" t="s">
        <v>88</v>
      </c>
      <c r="J44">
        <v>0.6</v>
      </c>
    </row>
    <row r="45" spans="3:10" x14ac:dyDescent="0.35">
      <c r="C45" s="3"/>
      <c r="D45" t="s">
        <v>131</v>
      </c>
      <c r="F45" t="s">
        <v>198</v>
      </c>
    </row>
    <row r="46" spans="3:10" x14ac:dyDescent="0.35">
      <c r="C46" s="3"/>
      <c r="D46" t="s">
        <v>133</v>
      </c>
      <c r="F46" t="s">
        <v>200</v>
      </c>
    </row>
    <row r="47" spans="3:10" x14ac:dyDescent="0.35">
      <c r="C47" s="3"/>
      <c r="D47" t="s">
        <v>135</v>
      </c>
      <c r="F47" t="s">
        <v>202</v>
      </c>
    </row>
    <row r="48" spans="3:10" x14ac:dyDescent="0.35">
      <c r="C48" s="3"/>
      <c r="D48" t="s">
        <v>137</v>
      </c>
      <c r="F48" t="s">
        <v>204</v>
      </c>
    </row>
    <row r="49" spans="3:6" x14ac:dyDescent="0.35">
      <c r="C49" s="3"/>
      <c r="D49" t="s">
        <v>139</v>
      </c>
      <c r="F49" t="s">
        <v>395</v>
      </c>
    </row>
    <row r="50" spans="3:6" x14ac:dyDescent="0.35">
      <c r="C50" s="3"/>
      <c r="D50" t="s">
        <v>145</v>
      </c>
      <c r="F50" t="s">
        <v>395</v>
      </c>
    </row>
    <row r="51" spans="3:6" x14ac:dyDescent="0.35">
      <c r="C51" s="3"/>
      <c r="D51" t="s">
        <v>147</v>
      </c>
      <c r="F51" t="s">
        <v>395</v>
      </c>
    </row>
    <row r="52" spans="3:6" x14ac:dyDescent="0.35">
      <c r="C52" s="3"/>
      <c r="D52" t="s">
        <v>17</v>
      </c>
      <c r="F52" t="s">
        <v>395</v>
      </c>
    </row>
    <row r="53" spans="3:6" x14ac:dyDescent="0.35">
      <c r="C53" s="3"/>
      <c r="D53" t="s">
        <v>23</v>
      </c>
    </row>
    <row r="54" spans="3:6" x14ac:dyDescent="0.35">
      <c r="C54" s="3"/>
      <c r="D54" t="s">
        <v>25</v>
      </c>
    </row>
    <row r="55" spans="3:6" x14ac:dyDescent="0.35">
      <c r="C55" s="3"/>
      <c r="D55" t="s">
        <v>27</v>
      </c>
    </row>
    <row r="56" spans="3:6" x14ac:dyDescent="0.35">
      <c r="C56" s="3"/>
      <c r="D56" t="s">
        <v>29</v>
      </c>
    </row>
    <row r="57" spans="3:6" x14ac:dyDescent="0.35">
      <c r="C57" s="3"/>
      <c r="D57" t="s">
        <v>32</v>
      </c>
    </row>
    <row r="58" spans="3:6" x14ac:dyDescent="0.35">
      <c r="C58" s="222"/>
      <c r="D58" t="s">
        <v>34</v>
      </c>
    </row>
    <row r="59" spans="3:6" x14ac:dyDescent="0.35">
      <c r="C59" s="222"/>
      <c r="D59" t="s">
        <v>36</v>
      </c>
    </row>
    <row r="60" spans="3:6" x14ac:dyDescent="0.35">
      <c r="C60" s="222"/>
      <c r="D60" t="s">
        <v>38</v>
      </c>
    </row>
    <row r="61" spans="3:6" x14ac:dyDescent="0.35">
      <c r="C61" s="222"/>
      <c r="D61" t="s">
        <v>40</v>
      </c>
    </row>
    <row r="62" spans="3:6" x14ac:dyDescent="0.35">
      <c r="C62" s="222"/>
      <c r="D62" t="s">
        <v>42</v>
      </c>
    </row>
    <row r="63" spans="3:6" x14ac:dyDescent="0.35">
      <c r="C63" s="222"/>
      <c r="D63" t="s">
        <v>44</v>
      </c>
    </row>
    <row r="64" spans="3:6" x14ac:dyDescent="0.35">
      <c r="C64" s="222"/>
      <c r="D64" t="s">
        <v>46</v>
      </c>
    </row>
    <row r="65" spans="3:4" x14ac:dyDescent="0.35">
      <c r="C65" s="222"/>
      <c r="D65" t="s">
        <v>48</v>
      </c>
    </row>
    <row r="66" spans="3:4" x14ac:dyDescent="0.35">
      <c r="C66" s="3"/>
      <c r="D66" t="s">
        <v>50</v>
      </c>
    </row>
    <row r="67" spans="3:4" x14ac:dyDescent="0.35">
      <c r="C67" s="3"/>
      <c r="D67" t="s">
        <v>52</v>
      </c>
    </row>
    <row r="68" spans="3:4" x14ac:dyDescent="0.35">
      <c r="C68" s="3"/>
      <c r="D68" t="s">
        <v>72</v>
      </c>
    </row>
    <row r="69" spans="3:4" x14ac:dyDescent="0.35">
      <c r="C69" s="3"/>
      <c r="D69" t="s">
        <v>74</v>
      </c>
    </row>
    <row r="70" spans="3:4" x14ac:dyDescent="0.35">
      <c r="C70" s="3"/>
      <c r="D70" t="s">
        <v>76</v>
      </c>
    </row>
    <row r="71" spans="3:4" x14ac:dyDescent="0.35">
      <c r="C71" s="3"/>
      <c r="D71" t="s">
        <v>78</v>
      </c>
    </row>
    <row r="72" spans="3:4" x14ac:dyDescent="0.35">
      <c r="C72" s="3"/>
      <c r="D72" t="s">
        <v>80</v>
      </c>
    </row>
    <row r="73" spans="3:4" x14ac:dyDescent="0.35">
      <c r="C73" s="3"/>
      <c r="D73" t="s">
        <v>82</v>
      </c>
    </row>
    <row r="74" spans="3:4" x14ac:dyDescent="0.35">
      <c r="D74" t="s">
        <v>84</v>
      </c>
    </row>
    <row r="75" spans="3:4" x14ac:dyDescent="0.35">
      <c r="C75" s="222"/>
      <c r="D75" t="s">
        <v>86</v>
      </c>
    </row>
    <row r="76" spans="3:4" x14ac:dyDescent="0.35">
      <c r="D76" t="s">
        <v>1219</v>
      </c>
    </row>
    <row r="77" spans="3:4" x14ac:dyDescent="0.35">
      <c r="D77" t="s">
        <v>88</v>
      </c>
    </row>
    <row r="78" spans="3:4" x14ac:dyDescent="0.35">
      <c r="D78" t="s">
        <v>188</v>
      </c>
    </row>
    <row r="79" spans="3:4" x14ac:dyDescent="0.35">
      <c r="D79" t="s">
        <v>190</v>
      </c>
    </row>
    <row r="80" spans="3:4" x14ac:dyDescent="0.35">
      <c r="D80" t="s">
        <v>192</v>
      </c>
    </row>
    <row r="81" spans="4:4" x14ac:dyDescent="0.35">
      <c r="D81" t="s">
        <v>194</v>
      </c>
    </row>
    <row r="82" spans="4:4" x14ac:dyDescent="0.35">
      <c r="D82" t="s">
        <v>196</v>
      </c>
    </row>
    <row r="83" spans="4:4" x14ac:dyDescent="0.35">
      <c r="D83" t="s">
        <v>198</v>
      </c>
    </row>
    <row r="84" spans="4:4" x14ac:dyDescent="0.35">
      <c r="D84" t="s">
        <v>200</v>
      </c>
    </row>
    <row r="85" spans="4:4" x14ac:dyDescent="0.35">
      <c r="D85" t="s">
        <v>202</v>
      </c>
    </row>
    <row r="86" spans="4:4" x14ac:dyDescent="0.35">
      <c r="D86" t="s">
        <v>204</v>
      </c>
    </row>
    <row r="87" spans="4:4" x14ac:dyDescent="0.35">
      <c r="D87" t="s">
        <v>1226</v>
      </c>
    </row>
    <row r="88" spans="4:4" x14ac:dyDescent="0.35">
      <c r="D88" t="s">
        <v>1225</v>
      </c>
    </row>
    <row r="89" spans="4:4" x14ac:dyDescent="0.35">
      <c r="D89" t="s">
        <v>1227</v>
      </c>
    </row>
    <row r="90" spans="4:4" x14ac:dyDescent="0.35">
      <c r="D90" t="s">
        <v>1228</v>
      </c>
    </row>
    <row r="91" spans="4:4" x14ac:dyDescent="0.35">
      <c r="D91" t="s">
        <v>1229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5"/>
  <dimension ref="A1:N313"/>
  <sheetViews>
    <sheetView topLeftCell="A184" zoomScale="90" zoomScaleNormal="90" workbookViewId="0">
      <selection activeCell="E208" sqref="E208"/>
    </sheetView>
  </sheetViews>
  <sheetFormatPr defaultRowHeight="14.5" x14ac:dyDescent="0.35"/>
  <cols>
    <col min="1" max="1" width="20" style="1" bestFit="1" customWidth="1"/>
    <col min="2" max="2" width="18.453125" style="1" bestFit="1" customWidth="1"/>
    <col min="3" max="3" width="68.1796875" bestFit="1" customWidth="1"/>
    <col min="4" max="4" width="8.7265625" style="1" bestFit="1" customWidth="1"/>
    <col min="5" max="5" width="12.453125" style="1" customWidth="1"/>
    <col min="6" max="6" width="18.26953125" style="480" customWidth="1"/>
    <col min="9" max="9" width="9.81640625" bestFit="1" customWidth="1"/>
    <col min="10" max="10" width="61.7265625" bestFit="1" customWidth="1"/>
    <col min="11" max="11" width="10.26953125" bestFit="1" customWidth="1"/>
    <col min="12" max="12" width="16.26953125" bestFit="1" customWidth="1"/>
    <col min="14" max="14" width="15.453125" bestFit="1" customWidth="1"/>
  </cols>
  <sheetData>
    <row r="1" spans="1:14" s="1" customFormat="1" x14ac:dyDescent="0.35">
      <c r="A1" s="1" t="s">
        <v>846</v>
      </c>
      <c r="B1" s="1" t="s">
        <v>1058</v>
      </c>
      <c r="C1" s="1" t="s">
        <v>379</v>
      </c>
      <c r="D1" s="1" t="s">
        <v>380</v>
      </c>
      <c r="E1" s="107" t="s">
        <v>381</v>
      </c>
      <c r="F1" s="481" t="s">
        <v>382</v>
      </c>
      <c r="I1" s="503" t="s">
        <v>1072</v>
      </c>
      <c r="J1"/>
      <c r="K1"/>
      <c r="L1" s="101"/>
      <c r="M1" s="483"/>
      <c r="N1" s="483"/>
    </row>
    <row r="2" spans="1:14" x14ac:dyDescent="0.35">
      <c r="A2" s="1" t="s">
        <v>1422</v>
      </c>
      <c r="C2" t="s">
        <v>1427</v>
      </c>
      <c r="D2" s="1" t="s">
        <v>383</v>
      </c>
      <c r="E2" s="107">
        <v>35</v>
      </c>
      <c r="I2" t="s">
        <v>1073</v>
      </c>
      <c r="J2" t="s">
        <v>1074</v>
      </c>
      <c r="L2" s="101"/>
      <c r="M2" s="483"/>
      <c r="N2" s="483"/>
    </row>
    <row r="3" spans="1:14" x14ac:dyDescent="0.35">
      <c r="A3" s="1" t="s">
        <v>1423</v>
      </c>
      <c r="C3" t="s">
        <v>1428</v>
      </c>
      <c r="D3" s="1" t="s">
        <v>383</v>
      </c>
      <c r="E3" s="107">
        <v>16</v>
      </c>
      <c r="I3" t="s">
        <v>1075</v>
      </c>
      <c r="J3" t="s">
        <v>1200</v>
      </c>
      <c r="L3" s="101"/>
      <c r="M3" s="483"/>
      <c r="N3" s="483"/>
    </row>
    <row r="4" spans="1:14" x14ac:dyDescent="0.35">
      <c r="A4" s="1" t="s">
        <v>1424</v>
      </c>
      <c r="C4" t="s">
        <v>1429</v>
      </c>
      <c r="D4" s="1" t="s">
        <v>383</v>
      </c>
      <c r="E4" s="107">
        <v>32</v>
      </c>
      <c r="I4" t="s">
        <v>1076</v>
      </c>
      <c r="J4" t="s">
        <v>1077</v>
      </c>
      <c r="L4" s="101"/>
      <c r="M4" s="483"/>
      <c r="N4" s="483"/>
    </row>
    <row r="5" spans="1:14" x14ac:dyDescent="0.35">
      <c r="A5" s="1" t="s">
        <v>1425</v>
      </c>
      <c r="C5" t="s">
        <v>1430</v>
      </c>
      <c r="D5" s="1" t="s">
        <v>383</v>
      </c>
      <c r="E5" s="107">
        <v>52</v>
      </c>
      <c r="F5" s="482"/>
      <c r="L5" s="101"/>
      <c r="M5" s="483"/>
      <c r="N5" s="483"/>
    </row>
    <row r="6" spans="1:14" x14ac:dyDescent="0.35">
      <c r="A6" s="1" t="s">
        <v>1487</v>
      </c>
      <c r="C6" t="s">
        <v>1521</v>
      </c>
      <c r="D6" s="1" t="s">
        <v>383</v>
      </c>
      <c r="E6" s="107">
        <v>0</v>
      </c>
      <c r="L6" s="101"/>
      <c r="M6" s="483"/>
      <c r="N6" s="483"/>
    </row>
    <row r="7" spans="1:14" x14ac:dyDescent="0.35">
      <c r="A7" s="1" t="s">
        <v>1486</v>
      </c>
      <c r="C7" t="s">
        <v>1522</v>
      </c>
      <c r="D7" s="1" t="s">
        <v>383</v>
      </c>
      <c r="E7" s="107">
        <v>0</v>
      </c>
      <c r="L7" s="101"/>
      <c r="M7" s="483"/>
      <c r="N7" s="483"/>
    </row>
    <row r="8" spans="1:14" x14ac:dyDescent="0.35">
      <c r="A8" s="1" t="s">
        <v>1485</v>
      </c>
      <c r="C8" t="s">
        <v>1523</v>
      </c>
      <c r="D8" s="1" t="s">
        <v>383</v>
      </c>
      <c r="E8" s="107">
        <v>0</v>
      </c>
      <c r="L8" s="101"/>
      <c r="M8" s="483"/>
      <c r="N8" s="483"/>
    </row>
    <row r="9" spans="1:14" x14ac:dyDescent="0.35">
      <c r="A9" s="1" t="s">
        <v>1490</v>
      </c>
      <c r="C9" t="s">
        <v>1524</v>
      </c>
      <c r="D9" s="1" t="s">
        <v>383</v>
      </c>
      <c r="E9" s="107">
        <v>1</v>
      </c>
      <c r="F9" s="482"/>
      <c r="L9" s="101"/>
      <c r="M9" s="483"/>
      <c r="N9" s="483"/>
    </row>
    <row r="10" spans="1:14" x14ac:dyDescent="0.35">
      <c r="A10" s="1" t="s">
        <v>1488</v>
      </c>
      <c r="C10" t="s">
        <v>1526</v>
      </c>
      <c r="D10" s="1" t="s">
        <v>383</v>
      </c>
      <c r="E10" s="107">
        <v>2</v>
      </c>
      <c r="L10" s="101"/>
      <c r="M10" s="483"/>
      <c r="N10" s="483"/>
    </row>
    <row r="11" spans="1:14" x14ac:dyDescent="0.35">
      <c r="A11" s="1" t="s">
        <v>1489</v>
      </c>
      <c r="C11" t="s">
        <v>1525</v>
      </c>
      <c r="D11" s="1" t="s">
        <v>383</v>
      </c>
      <c r="E11" s="107">
        <v>1</v>
      </c>
      <c r="L11" s="101"/>
      <c r="M11" s="483"/>
      <c r="N11" s="483"/>
    </row>
    <row r="12" spans="1:14" x14ac:dyDescent="0.35">
      <c r="A12" s="1" t="s">
        <v>1493</v>
      </c>
      <c r="C12" t="s">
        <v>1499</v>
      </c>
      <c r="D12" s="1" t="s">
        <v>383</v>
      </c>
      <c r="E12" s="107">
        <v>5</v>
      </c>
      <c r="L12" s="101"/>
      <c r="M12" s="483"/>
      <c r="N12" s="483"/>
    </row>
    <row r="13" spans="1:14" x14ac:dyDescent="0.35">
      <c r="A13" s="1" t="s">
        <v>1492</v>
      </c>
      <c r="C13" t="s">
        <v>1498</v>
      </c>
      <c r="D13" s="1" t="s">
        <v>383</v>
      </c>
      <c r="E13" s="107">
        <v>5</v>
      </c>
      <c r="L13" s="101"/>
      <c r="M13" s="483"/>
      <c r="N13" s="483"/>
    </row>
    <row r="14" spans="1:14" x14ac:dyDescent="0.35">
      <c r="A14" s="1" t="s">
        <v>1491</v>
      </c>
      <c r="C14" t="s">
        <v>1497</v>
      </c>
      <c r="D14" s="1" t="s">
        <v>383</v>
      </c>
      <c r="E14" s="107">
        <v>1</v>
      </c>
      <c r="L14" s="101"/>
      <c r="M14" s="483"/>
      <c r="N14" s="483"/>
    </row>
    <row r="15" spans="1:14" x14ac:dyDescent="0.35">
      <c r="A15" s="1" t="s">
        <v>1496</v>
      </c>
      <c r="C15" t="s">
        <v>1501</v>
      </c>
      <c r="D15" s="1" t="s">
        <v>383</v>
      </c>
      <c r="E15" s="107">
        <v>2</v>
      </c>
      <c r="F15" s="482"/>
      <c r="L15" s="101"/>
      <c r="M15" s="483"/>
      <c r="N15" s="483"/>
    </row>
    <row r="16" spans="1:14" x14ac:dyDescent="0.35">
      <c r="A16" s="1" t="s">
        <v>1494</v>
      </c>
      <c r="C16" t="s">
        <v>1529</v>
      </c>
      <c r="D16" s="1" t="s">
        <v>383</v>
      </c>
      <c r="E16" s="107">
        <v>10</v>
      </c>
      <c r="L16" s="101"/>
      <c r="M16" s="483"/>
      <c r="N16" s="483"/>
    </row>
    <row r="17" spans="1:14" x14ac:dyDescent="0.35">
      <c r="A17" s="1" t="s">
        <v>1495</v>
      </c>
      <c r="C17" t="s">
        <v>1500</v>
      </c>
      <c r="D17" s="1" t="s">
        <v>383</v>
      </c>
      <c r="E17" s="107">
        <v>4</v>
      </c>
      <c r="L17" s="101"/>
      <c r="M17" s="483"/>
      <c r="N17" s="483"/>
    </row>
    <row r="18" spans="1:14" x14ac:dyDescent="0.35">
      <c r="A18" s="1" t="s">
        <v>1476</v>
      </c>
      <c r="C18" t="s">
        <v>1482</v>
      </c>
      <c r="D18" s="1" t="s">
        <v>383</v>
      </c>
      <c r="E18" s="107">
        <v>3</v>
      </c>
      <c r="F18" s="482"/>
      <c r="L18" s="101"/>
      <c r="M18" s="483"/>
      <c r="N18" s="483"/>
    </row>
    <row r="19" spans="1:14" x14ac:dyDescent="0.35">
      <c r="A19" s="1" t="s">
        <v>1475</v>
      </c>
      <c r="C19" t="s">
        <v>1481</v>
      </c>
      <c r="D19" s="1" t="s">
        <v>383</v>
      </c>
      <c r="E19" s="107">
        <v>0</v>
      </c>
      <c r="F19" s="482"/>
      <c r="L19" s="101"/>
      <c r="M19" s="483"/>
      <c r="N19" s="483"/>
    </row>
    <row r="20" spans="1:14" x14ac:dyDescent="0.35">
      <c r="A20" s="1" t="s">
        <v>1474</v>
      </c>
      <c r="C20" t="s">
        <v>1480</v>
      </c>
      <c r="D20" s="1" t="s">
        <v>383</v>
      </c>
      <c r="E20" s="107">
        <v>0</v>
      </c>
      <c r="F20" s="482"/>
      <c r="L20" s="101"/>
      <c r="M20" s="483"/>
      <c r="N20" s="483"/>
    </row>
    <row r="21" spans="1:14" x14ac:dyDescent="0.35">
      <c r="A21" s="1" t="s">
        <v>1479</v>
      </c>
      <c r="C21" t="s">
        <v>1484</v>
      </c>
      <c r="D21" s="1" t="s">
        <v>383</v>
      </c>
      <c r="E21" s="107">
        <v>2</v>
      </c>
      <c r="F21" s="482"/>
      <c r="L21" s="101"/>
      <c r="M21" s="483"/>
      <c r="N21" s="483"/>
    </row>
    <row r="22" spans="1:14" x14ac:dyDescent="0.35">
      <c r="A22" s="1" t="s">
        <v>1477</v>
      </c>
      <c r="C22" t="s">
        <v>1528</v>
      </c>
      <c r="D22" s="1" t="s">
        <v>383</v>
      </c>
      <c r="E22" s="107">
        <v>4</v>
      </c>
      <c r="F22" s="482"/>
      <c r="L22" s="101"/>
      <c r="M22" s="483"/>
      <c r="N22" s="483"/>
    </row>
    <row r="23" spans="1:14" x14ac:dyDescent="0.35">
      <c r="A23" s="1" t="s">
        <v>1478</v>
      </c>
      <c r="C23" t="s">
        <v>1483</v>
      </c>
      <c r="D23" s="1" t="s">
        <v>383</v>
      </c>
      <c r="E23" s="107">
        <v>4</v>
      </c>
      <c r="F23" s="482"/>
      <c r="L23" s="101"/>
      <c r="M23" s="483"/>
      <c r="N23" s="483"/>
    </row>
    <row r="24" spans="1:14" x14ac:dyDescent="0.35">
      <c r="A24" s="1" t="s">
        <v>1504</v>
      </c>
      <c r="C24" t="s">
        <v>1510</v>
      </c>
      <c r="D24" s="1" t="s">
        <v>383</v>
      </c>
      <c r="E24" s="107">
        <v>4</v>
      </c>
      <c r="L24" s="101"/>
      <c r="M24" s="483"/>
      <c r="N24" s="483"/>
    </row>
    <row r="25" spans="1:14" x14ac:dyDescent="0.35">
      <c r="A25" s="1" t="s">
        <v>1503</v>
      </c>
      <c r="C25" t="s">
        <v>1509</v>
      </c>
      <c r="D25" s="1" t="s">
        <v>383</v>
      </c>
      <c r="E25" s="107">
        <v>0</v>
      </c>
      <c r="L25" s="101"/>
      <c r="M25" s="483"/>
      <c r="N25" s="483"/>
    </row>
    <row r="26" spans="1:14" x14ac:dyDescent="0.35">
      <c r="A26" s="1" t="s">
        <v>1502</v>
      </c>
      <c r="C26" t="s">
        <v>1508</v>
      </c>
      <c r="D26" s="1" t="s">
        <v>383</v>
      </c>
      <c r="E26" s="107">
        <v>0</v>
      </c>
      <c r="L26" s="101"/>
      <c r="M26" s="483"/>
      <c r="N26" s="483"/>
    </row>
    <row r="27" spans="1:14" x14ac:dyDescent="0.35">
      <c r="A27" s="1" t="s">
        <v>1507</v>
      </c>
      <c r="C27" t="s">
        <v>1512</v>
      </c>
      <c r="D27" s="1" t="s">
        <v>383</v>
      </c>
      <c r="E27" s="107">
        <v>2</v>
      </c>
      <c r="L27" s="101"/>
      <c r="M27" s="483"/>
      <c r="N27" s="483"/>
    </row>
    <row r="28" spans="1:14" x14ac:dyDescent="0.35">
      <c r="A28" s="1" t="s">
        <v>1505</v>
      </c>
      <c r="C28" t="s">
        <v>1527</v>
      </c>
      <c r="D28" s="1" t="s">
        <v>383</v>
      </c>
      <c r="E28" s="107">
        <v>4</v>
      </c>
      <c r="L28" s="101"/>
      <c r="M28" s="483"/>
      <c r="N28" s="483"/>
    </row>
    <row r="29" spans="1:14" x14ac:dyDescent="0.35">
      <c r="A29" s="1" t="s">
        <v>1506</v>
      </c>
      <c r="C29" t="s">
        <v>1511</v>
      </c>
      <c r="D29" s="1" t="s">
        <v>383</v>
      </c>
      <c r="E29" s="107">
        <v>3</v>
      </c>
      <c r="L29" s="101"/>
      <c r="M29" s="483"/>
      <c r="N29" s="483"/>
    </row>
    <row r="30" spans="1:14" x14ac:dyDescent="0.35">
      <c r="A30" s="1" t="s">
        <v>72</v>
      </c>
      <c r="B30" s="1" t="s">
        <v>72</v>
      </c>
      <c r="C30" t="s">
        <v>73</v>
      </c>
      <c r="D30" s="1" t="s">
        <v>383</v>
      </c>
      <c r="E30" s="107">
        <v>200</v>
      </c>
      <c r="F30" s="480">
        <v>6.16</v>
      </c>
      <c r="L30" s="101"/>
      <c r="M30" s="483"/>
      <c r="N30" s="483"/>
    </row>
    <row r="31" spans="1:14" x14ac:dyDescent="0.35">
      <c r="A31" s="1" t="s">
        <v>74</v>
      </c>
      <c r="B31" s="1" t="s">
        <v>74</v>
      </c>
      <c r="C31" t="s">
        <v>75</v>
      </c>
      <c r="D31" s="1" t="s">
        <v>383</v>
      </c>
      <c r="E31" s="107">
        <v>200</v>
      </c>
      <c r="F31" s="480">
        <v>6.16</v>
      </c>
      <c r="L31" s="101"/>
      <c r="M31" s="483"/>
      <c r="N31" s="483"/>
    </row>
    <row r="32" spans="1:14" x14ac:dyDescent="0.35">
      <c r="A32" s="1" t="s">
        <v>76</v>
      </c>
      <c r="B32" s="1" t="s">
        <v>76</v>
      </c>
      <c r="C32" t="s">
        <v>77</v>
      </c>
      <c r="D32" s="1" t="s">
        <v>383</v>
      </c>
      <c r="E32" s="107">
        <v>200</v>
      </c>
      <c r="F32" s="480">
        <v>6.16</v>
      </c>
      <c r="L32" s="101"/>
      <c r="M32" s="483"/>
      <c r="N32" s="483"/>
    </row>
    <row r="33" spans="1:14" x14ac:dyDescent="0.35">
      <c r="A33" s="1" t="s">
        <v>78</v>
      </c>
      <c r="B33" s="1" t="s">
        <v>78</v>
      </c>
      <c r="C33" t="s">
        <v>79</v>
      </c>
      <c r="D33" s="1" t="s">
        <v>383</v>
      </c>
      <c r="E33" s="107">
        <v>200</v>
      </c>
      <c r="F33" s="480">
        <v>6.16</v>
      </c>
      <c r="L33" s="101"/>
      <c r="M33" s="483"/>
      <c r="N33" s="483"/>
    </row>
    <row r="34" spans="1:14" x14ac:dyDescent="0.35">
      <c r="A34" s="1" t="s">
        <v>17</v>
      </c>
      <c r="B34" s="1" t="s">
        <v>17</v>
      </c>
      <c r="C34" t="s">
        <v>20</v>
      </c>
      <c r="D34" s="1" t="s">
        <v>383</v>
      </c>
      <c r="E34" s="107">
        <v>672</v>
      </c>
      <c r="F34" s="480">
        <v>5.23</v>
      </c>
      <c r="L34" s="101"/>
      <c r="M34" s="483"/>
      <c r="N34" s="483"/>
    </row>
    <row r="35" spans="1:14" x14ac:dyDescent="0.35">
      <c r="A35" s="1" t="s">
        <v>23</v>
      </c>
      <c r="B35" s="1" t="s">
        <v>23</v>
      </c>
      <c r="C35" t="s">
        <v>24</v>
      </c>
      <c r="D35" s="1" t="s">
        <v>383</v>
      </c>
      <c r="E35" s="107">
        <v>1110</v>
      </c>
      <c r="F35" s="480">
        <v>5.23</v>
      </c>
      <c r="L35" s="101"/>
      <c r="M35" s="483"/>
      <c r="N35" s="483"/>
    </row>
    <row r="36" spans="1:14" x14ac:dyDescent="0.35">
      <c r="A36" s="1" t="s">
        <v>25</v>
      </c>
      <c r="B36" s="1" t="s">
        <v>25</v>
      </c>
      <c r="C36" t="s">
        <v>26</v>
      </c>
      <c r="D36" s="1" t="s">
        <v>383</v>
      </c>
      <c r="E36" s="107">
        <v>1110</v>
      </c>
      <c r="F36" s="480">
        <v>5.23</v>
      </c>
      <c r="L36" s="101"/>
      <c r="M36" s="483"/>
      <c r="N36" s="483"/>
    </row>
    <row r="37" spans="1:14" x14ac:dyDescent="0.35">
      <c r="A37" s="1" t="s">
        <v>27</v>
      </c>
      <c r="B37" s="1" t="s">
        <v>27</v>
      </c>
      <c r="C37" t="s">
        <v>28</v>
      </c>
      <c r="D37" s="1" t="s">
        <v>383</v>
      </c>
      <c r="E37" s="107">
        <v>1111</v>
      </c>
      <c r="F37" s="480">
        <v>5.23</v>
      </c>
      <c r="L37" s="101"/>
      <c r="M37" s="483"/>
      <c r="N37" s="483"/>
    </row>
    <row r="38" spans="1:14" x14ac:dyDescent="0.35">
      <c r="A38" s="1" t="s">
        <v>29</v>
      </c>
      <c r="B38" s="1" t="s">
        <v>29</v>
      </c>
      <c r="C38" t="s">
        <v>31</v>
      </c>
      <c r="D38" s="1" t="s">
        <v>383</v>
      </c>
      <c r="E38" s="107">
        <v>1110</v>
      </c>
      <c r="F38" s="480">
        <v>5.23</v>
      </c>
      <c r="L38" s="101"/>
      <c r="M38" s="483"/>
      <c r="N38" s="483"/>
    </row>
    <row r="39" spans="1:14" x14ac:dyDescent="0.35">
      <c r="A39" s="1" t="s">
        <v>32</v>
      </c>
      <c r="B39" s="1" t="s">
        <v>32</v>
      </c>
      <c r="C39" t="s">
        <v>33</v>
      </c>
      <c r="D39" s="1" t="s">
        <v>383</v>
      </c>
      <c r="E39" s="107">
        <v>1110</v>
      </c>
      <c r="F39" s="480">
        <v>5.23</v>
      </c>
      <c r="L39" s="101"/>
      <c r="M39" s="483"/>
      <c r="N39" s="483"/>
    </row>
    <row r="40" spans="1:14" x14ac:dyDescent="0.35">
      <c r="A40" s="1" t="s">
        <v>34</v>
      </c>
      <c r="B40" s="1" t="s">
        <v>34</v>
      </c>
      <c r="C40" t="s">
        <v>35</v>
      </c>
      <c r="D40" s="1" t="s">
        <v>383</v>
      </c>
      <c r="E40" s="107">
        <v>1110</v>
      </c>
      <c r="F40" s="480">
        <v>5.23</v>
      </c>
      <c r="L40" s="101"/>
      <c r="M40" s="483"/>
      <c r="N40" s="483"/>
    </row>
    <row r="41" spans="1:14" x14ac:dyDescent="0.35">
      <c r="A41" s="1" t="s">
        <v>36</v>
      </c>
      <c r="B41" s="1" t="s">
        <v>36</v>
      </c>
      <c r="C41" t="s">
        <v>37</v>
      </c>
      <c r="D41" s="1" t="s">
        <v>383</v>
      </c>
      <c r="E41" s="107">
        <v>1111</v>
      </c>
      <c r="F41" s="480">
        <v>5.23</v>
      </c>
      <c r="L41" s="101"/>
      <c r="M41" s="483"/>
      <c r="N41" s="483"/>
    </row>
    <row r="42" spans="1:14" x14ac:dyDescent="0.35">
      <c r="A42" s="1" t="s">
        <v>80</v>
      </c>
      <c r="B42" s="1" t="s">
        <v>80</v>
      </c>
      <c r="C42" t="s">
        <v>81</v>
      </c>
      <c r="D42" s="1" t="s">
        <v>383</v>
      </c>
      <c r="E42" s="107">
        <v>0</v>
      </c>
      <c r="F42" s="480">
        <v>6.16</v>
      </c>
      <c r="L42" s="101"/>
      <c r="M42" s="483"/>
      <c r="N42" s="483"/>
    </row>
    <row r="43" spans="1:14" x14ac:dyDescent="0.35">
      <c r="A43" s="1" t="s">
        <v>82</v>
      </c>
      <c r="B43" s="1" t="s">
        <v>82</v>
      </c>
      <c r="C43" t="s">
        <v>83</v>
      </c>
      <c r="D43" s="1" t="s">
        <v>383</v>
      </c>
      <c r="E43" s="107">
        <v>0</v>
      </c>
      <c r="F43" s="480">
        <v>6.16</v>
      </c>
      <c r="L43" s="101"/>
      <c r="M43" s="483"/>
      <c r="N43" s="483"/>
    </row>
    <row r="44" spans="1:14" x14ac:dyDescent="0.35">
      <c r="A44" s="1" t="s">
        <v>84</v>
      </c>
      <c r="B44" s="1" t="s">
        <v>84</v>
      </c>
      <c r="C44" t="s">
        <v>85</v>
      </c>
      <c r="D44" s="1" t="s">
        <v>383</v>
      </c>
      <c r="E44" s="107">
        <v>0</v>
      </c>
      <c r="F44" s="480">
        <v>6.16</v>
      </c>
      <c r="L44" s="101"/>
      <c r="M44" s="483"/>
      <c r="N44" s="483"/>
    </row>
    <row r="45" spans="1:14" x14ac:dyDescent="0.35">
      <c r="A45" s="1" t="s">
        <v>86</v>
      </c>
      <c r="B45" s="1" t="s">
        <v>86</v>
      </c>
      <c r="C45" t="s">
        <v>87</v>
      </c>
      <c r="D45" s="1" t="s">
        <v>383</v>
      </c>
      <c r="E45" s="107">
        <v>0</v>
      </c>
      <c r="F45" s="480">
        <v>6.16</v>
      </c>
      <c r="L45" s="101"/>
      <c r="M45" s="483"/>
      <c r="N45" s="483"/>
    </row>
    <row r="46" spans="1:14" x14ac:dyDescent="0.35">
      <c r="A46" s="1" t="s">
        <v>384</v>
      </c>
      <c r="B46" s="1" t="s">
        <v>384</v>
      </c>
      <c r="C46" t="s">
        <v>385</v>
      </c>
      <c r="D46" s="1" t="s">
        <v>383</v>
      </c>
      <c r="E46" s="107">
        <v>0</v>
      </c>
      <c r="F46" s="480">
        <v>4.0999999999999996</v>
      </c>
      <c r="L46" s="101"/>
      <c r="M46" s="483"/>
      <c r="N46" s="483"/>
    </row>
    <row r="47" spans="1:14" x14ac:dyDescent="0.35">
      <c r="A47" s="1" t="s">
        <v>386</v>
      </c>
      <c r="B47" s="1" t="s">
        <v>386</v>
      </c>
      <c r="C47" t="s">
        <v>387</v>
      </c>
      <c r="D47" s="1" t="s">
        <v>383</v>
      </c>
      <c r="E47" s="107">
        <v>0</v>
      </c>
      <c r="F47" s="480">
        <v>4.0999999999999996</v>
      </c>
      <c r="L47" s="101"/>
      <c r="M47" s="483"/>
      <c r="N47" s="483"/>
    </row>
    <row r="48" spans="1:14" x14ac:dyDescent="0.35">
      <c r="A48" s="1" t="s">
        <v>38</v>
      </c>
      <c r="B48" s="1" t="s">
        <v>38</v>
      </c>
      <c r="C48" t="s">
        <v>388</v>
      </c>
      <c r="D48" s="1" t="s">
        <v>383</v>
      </c>
      <c r="E48" s="107">
        <v>113</v>
      </c>
      <c r="F48" s="480">
        <v>6.16</v>
      </c>
      <c r="L48" s="101"/>
      <c r="M48" s="483"/>
      <c r="N48" s="483"/>
    </row>
    <row r="49" spans="1:14" x14ac:dyDescent="0.35">
      <c r="A49" s="1" t="s">
        <v>40</v>
      </c>
      <c r="B49" s="1" t="s">
        <v>40</v>
      </c>
      <c r="C49" t="s">
        <v>389</v>
      </c>
      <c r="D49" s="1" t="s">
        <v>383</v>
      </c>
      <c r="E49" s="107">
        <v>289</v>
      </c>
      <c r="F49" s="480">
        <v>6.16</v>
      </c>
      <c r="L49" s="101"/>
      <c r="M49" s="483"/>
      <c r="N49" s="483"/>
    </row>
    <row r="50" spans="1:14" x14ac:dyDescent="0.35">
      <c r="A50" s="1" t="s">
        <v>42</v>
      </c>
      <c r="B50" s="1" t="s">
        <v>42</v>
      </c>
      <c r="C50" t="s">
        <v>390</v>
      </c>
      <c r="D50" s="1" t="s">
        <v>383</v>
      </c>
      <c r="E50" s="107">
        <v>269</v>
      </c>
      <c r="F50" s="480">
        <v>6.16</v>
      </c>
      <c r="L50" s="101"/>
      <c r="M50" s="483"/>
      <c r="N50" s="483"/>
    </row>
    <row r="51" spans="1:14" x14ac:dyDescent="0.35">
      <c r="A51" s="1" t="s">
        <v>44</v>
      </c>
      <c r="B51" s="1" t="s">
        <v>44</v>
      </c>
      <c r="C51" t="s">
        <v>391</v>
      </c>
      <c r="D51" s="1" t="s">
        <v>383</v>
      </c>
      <c r="E51" s="107">
        <v>72</v>
      </c>
      <c r="F51" s="480">
        <v>6.16</v>
      </c>
      <c r="L51" s="101"/>
      <c r="M51" s="483"/>
      <c r="N51" s="483"/>
    </row>
    <row r="52" spans="1:14" x14ac:dyDescent="0.35">
      <c r="A52" s="1" t="s">
        <v>46</v>
      </c>
      <c r="B52" s="1" t="s">
        <v>46</v>
      </c>
      <c r="C52" t="s">
        <v>689</v>
      </c>
      <c r="D52" s="1" t="s">
        <v>383</v>
      </c>
      <c r="E52" s="107">
        <v>6</v>
      </c>
      <c r="F52" s="480">
        <v>6.16</v>
      </c>
      <c r="L52" s="101"/>
      <c r="M52" s="483"/>
      <c r="N52" s="483"/>
    </row>
    <row r="53" spans="1:14" x14ac:dyDescent="0.35">
      <c r="A53" s="1" t="s">
        <v>48</v>
      </c>
      <c r="B53" s="1" t="s">
        <v>48</v>
      </c>
      <c r="C53" t="s">
        <v>392</v>
      </c>
      <c r="D53" s="1" t="s">
        <v>383</v>
      </c>
      <c r="E53" s="107">
        <v>72</v>
      </c>
      <c r="F53" s="480">
        <v>6.16</v>
      </c>
      <c r="L53" s="101"/>
      <c r="M53" s="483"/>
      <c r="N53" s="483"/>
    </row>
    <row r="54" spans="1:14" x14ac:dyDescent="0.35">
      <c r="A54" s="1" t="s">
        <v>50</v>
      </c>
      <c r="B54" s="1" t="s">
        <v>50</v>
      </c>
      <c r="C54" t="s">
        <v>393</v>
      </c>
      <c r="D54" s="1" t="s">
        <v>383</v>
      </c>
      <c r="E54" s="107">
        <v>297</v>
      </c>
      <c r="F54" s="480">
        <v>6.16</v>
      </c>
      <c r="L54" s="101"/>
      <c r="M54" s="483"/>
      <c r="N54" s="483"/>
    </row>
    <row r="55" spans="1:14" x14ac:dyDescent="0.35">
      <c r="A55" s="1" t="s">
        <v>52</v>
      </c>
      <c r="B55" s="1" t="s">
        <v>52</v>
      </c>
      <c r="C55" t="s">
        <v>394</v>
      </c>
      <c r="D55" s="1" t="s">
        <v>383</v>
      </c>
      <c r="E55" s="107">
        <v>330</v>
      </c>
      <c r="F55" s="480">
        <v>6.16</v>
      </c>
      <c r="L55" s="101"/>
      <c r="M55" s="483"/>
      <c r="N55" s="483"/>
    </row>
    <row r="56" spans="1:14" x14ac:dyDescent="0.35">
      <c r="A56" s="1" t="s">
        <v>1057</v>
      </c>
      <c r="B56" s="1" t="s">
        <v>1057</v>
      </c>
      <c r="C56" t="s">
        <v>90</v>
      </c>
      <c r="D56" s="1" t="s">
        <v>383</v>
      </c>
      <c r="E56" s="107"/>
      <c r="F56" s="480" t="s">
        <v>861</v>
      </c>
      <c r="L56" s="101"/>
      <c r="M56" s="483"/>
      <c r="N56" s="483"/>
    </row>
    <row r="57" spans="1:14" x14ac:dyDescent="0.35">
      <c r="A57" s="1" t="s">
        <v>395</v>
      </c>
      <c r="B57" s="1" t="s">
        <v>395</v>
      </c>
      <c r="C57" t="s">
        <v>396</v>
      </c>
      <c r="D57" s="1" t="s">
        <v>383</v>
      </c>
      <c r="E57" s="107"/>
      <c r="F57" s="480">
        <v>0</v>
      </c>
      <c r="L57" s="101"/>
      <c r="M57" s="483"/>
      <c r="N57" s="483"/>
    </row>
    <row r="58" spans="1:14" x14ac:dyDescent="0.35">
      <c r="A58" s="1" t="s">
        <v>397</v>
      </c>
      <c r="B58" s="1" t="s">
        <v>397</v>
      </c>
      <c r="C58" t="s">
        <v>398</v>
      </c>
      <c r="D58" s="1" t="s">
        <v>383</v>
      </c>
      <c r="E58" s="107"/>
      <c r="F58" s="480">
        <v>0</v>
      </c>
      <c r="L58" s="101"/>
      <c r="M58" s="483"/>
      <c r="N58" s="483"/>
    </row>
    <row r="59" spans="1:14" x14ac:dyDescent="0.35">
      <c r="A59" s="1" t="s">
        <v>188</v>
      </c>
      <c r="B59" s="1" t="s">
        <v>188</v>
      </c>
      <c r="C59" t="s">
        <v>399</v>
      </c>
      <c r="D59" s="1" t="s">
        <v>383</v>
      </c>
      <c r="E59" s="107"/>
      <c r="F59" s="480">
        <v>0</v>
      </c>
      <c r="L59" s="101"/>
      <c r="M59" s="483"/>
      <c r="N59" s="483"/>
    </row>
    <row r="60" spans="1:14" x14ac:dyDescent="0.35">
      <c r="A60" s="1" t="s">
        <v>190</v>
      </c>
      <c r="B60" s="1" t="s">
        <v>190</v>
      </c>
      <c r="C60" t="s">
        <v>400</v>
      </c>
      <c r="D60" s="1" t="s">
        <v>383</v>
      </c>
      <c r="E60" s="107"/>
      <c r="F60" s="480">
        <v>0</v>
      </c>
      <c r="L60" s="101"/>
      <c r="M60" s="483"/>
      <c r="N60" s="483"/>
    </row>
    <row r="61" spans="1:14" x14ac:dyDescent="0.35">
      <c r="A61" s="1" t="s">
        <v>192</v>
      </c>
      <c r="B61" s="1" t="s">
        <v>192</v>
      </c>
      <c r="C61" t="s">
        <v>401</v>
      </c>
      <c r="D61" s="1" t="s">
        <v>383</v>
      </c>
      <c r="E61" s="107"/>
      <c r="F61" s="480">
        <v>0</v>
      </c>
      <c r="L61" s="101"/>
      <c r="M61" s="483"/>
      <c r="N61" s="483"/>
    </row>
    <row r="62" spans="1:14" x14ac:dyDescent="0.35">
      <c r="A62" s="1" t="s">
        <v>194</v>
      </c>
      <c r="B62" s="1" t="s">
        <v>194</v>
      </c>
      <c r="C62" t="s">
        <v>402</v>
      </c>
      <c r="D62" s="1" t="s">
        <v>383</v>
      </c>
      <c r="E62" s="107"/>
      <c r="F62" s="480">
        <v>0</v>
      </c>
      <c r="L62" s="101"/>
      <c r="M62" s="483"/>
      <c r="N62" s="483"/>
    </row>
    <row r="63" spans="1:14" x14ac:dyDescent="0.35">
      <c r="A63" s="1" t="s">
        <v>196</v>
      </c>
      <c r="B63" s="1" t="s">
        <v>196</v>
      </c>
      <c r="C63" t="s">
        <v>403</v>
      </c>
      <c r="D63" s="1" t="s">
        <v>383</v>
      </c>
      <c r="E63" s="107"/>
      <c r="F63" s="480">
        <v>0</v>
      </c>
      <c r="L63" s="101"/>
      <c r="M63" s="483"/>
      <c r="N63" s="483"/>
    </row>
    <row r="64" spans="1:14" x14ac:dyDescent="0.35">
      <c r="A64" s="1" t="s">
        <v>198</v>
      </c>
      <c r="B64" s="1" t="s">
        <v>198</v>
      </c>
      <c r="C64" t="s">
        <v>404</v>
      </c>
      <c r="D64" s="1" t="s">
        <v>383</v>
      </c>
      <c r="E64" s="107"/>
      <c r="F64" s="480">
        <v>0</v>
      </c>
      <c r="L64" s="101"/>
      <c r="M64" s="483"/>
      <c r="N64" s="483"/>
    </row>
    <row r="65" spans="1:14" x14ac:dyDescent="0.35">
      <c r="A65" s="1" t="s">
        <v>88</v>
      </c>
      <c r="B65" s="1" t="s">
        <v>88</v>
      </c>
      <c r="C65" t="s">
        <v>405</v>
      </c>
      <c r="D65" s="1" t="s">
        <v>383</v>
      </c>
      <c r="E65" s="107">
        <v>0</v>
      </c>
      <c r="F65" s="480">
        <v>15.89</v>
      </c>
      <c r="L65" s="101"/>
      <c r="M65" s="483"/>
      <c r="N65" s="483"/>
    </row>
    <row r="66" spans="1:14" x14ac:dyDescent="0.35">
      <c r="A66" s="1" t="s">
        <v>406</v>
      </c>
      <c r="B66" s="1" t="s">
        <v>406</v>
      </c>
      <c r="C66" t="s">
        <v>407</v>
      </c>
      <c r="D66" s="1" t="s">
        <v>383</v>
      </c>
      <c r="E66" s="107"/>
      <c r="F66" s="480">
        <v>0</v>
      </c>
      <c r="L66" s="101"/>
      <c r="M66" s="483"/>
      <c r="N66" s="483"/>
    </row>
    <row r="67" spans="1:14" x14ac:dyDescent="0.35">
      <c r="A67" s="1" t="s">
        <v>200</v>
      </c>
      <c r="B67" s="1" t="s">
        <v>200</v>
      </c>
      <c r="C67" t="s">
        <v>408</v>
      </c>
      <c r="D67" s="1" t="s">
        <v>383</v>
      </c>
      <c r="E67" s="107"/>
      <c r="F67" s="480">
        <v>0</v>
      </c>
      <c r="L67" s="101"/>
      <c r="M67" s="483"/>
      <c r="N67" s="483"/>
    </row>
    <row r="68" spans="1:14" x14ac:dyDescent="0.35">
      <c r="A68" s="1" t="s">
        <v>202</v>
      </c>
      <c r="B68" s="1" t="s">
        <v>202</v>
      </c>
      <c r="C68" t="s">
        <v>409</v>
      </c>
      <c r="D68" s="1" t="s">
        <v>383</v>
      </c>
      <c r="E68" s="107"/>
      <c r="F68" s="480">
        <v>0</v>
      </c>
      <c r="L68" s="101"/>
      <c r="M68" s="483"/>
      <c r="N68" s="483"/>
    </row>
    <row r="69" spans="1:14" x14ac:dyDescent="0.35">
      <c r="A69" s="1" t="s">
        <v>410</v>
      </c>
      <c r="B69" s="1" t="s">
        <v>410</v>
      </c>
      <c r="C69" t="s">
        <v>411</v>
      </c>
      <c r="D69" s="1" t="s">
        <v>383</v>
      </c>
      <c r="E69" s="107"/>
      <c r="F69" s="480">
        <v>0</v>
      </c>
      <c r="L69" s="101"/>
      <c r="M69" s="483"/>
      <c r="N69" s="483"/>
    </row>
    <row r="70" spans="1:14" x14ac:dyDescent="0.35">
      <c r="A70" s="1" t="s">
        <v>412</v>
      </c>
      <c r="B70" s="1" t="s">
        <v>412</v>
      </c>
      <c r="C70" t="s">
        <v>413</v>
      </c>
      <c r="D70" s="1" t="s">
        <v>383</v>
      </c>
      <c r="E70" s="107"/>
      <c r="F70" s="480">
        <v>0</v>
      </c>
      <c r="L70" s="101"/>
      <c r="M70" s="483"/>
      <c r="N70" s="483"/>
    </row>
    <row r="71" spans="1:14" x14ac:dyDescent="0.35">
      <c r="A71" s="1" t="s">
        <v>204</v>
      </c>
      <c r="B71" s="1" t="s">
        <v>204</v>
      </c>
      <c r="C71" t="s">
        <v>414</v>
      </c>
      <c r="D71" s="1" t="s">
        <v>383</v>
      </c>
      <c r="E71" s="107"/>
      <c r="F71" s="480">
        <v>0</v>
      </c>
      <c r="L71" s="101"/>
      <c r="M71" s="483"/>
      <c r="N71" s="483"/>
    </row>
    <row r="72" spans="1:14" x14ac:dyDescent="0.35">
      <c r="A72" s="1" t="s">
        <v>415</v>
      </c>
      <c r="B72" s="1" t="s">
        <v>415</v>
      </c>
      <c r="C72" t="s">
        <v>416</v>
      </c>
      <c r="D72" s="1" t="s">
        <v>383</v>
      </c>
      <c r="E72" s="107">
        <v>0</v>
      </c>
      <c r="F72" s="480">
        <v>0</v>
      </c>
      <c r="L72" s="101"/>
      <c r="M72" s="483"/>
      <c r="N72" s="483"/>
    </row>
    <row r="73" spans="1:14" x14ac:dyDescent="0.35">
      <c r="A73" s="1" t="s">
        <v>417</v>
      </c>
      <c r="B73" s="1" t="s">
        <v>417</v>
      </c>
      <c r="C73" t="s">
        <v>418</v>
      </c>
      <c r="D73" s="1" t="s">
        <v>383</v>
      </c>
      <c r="E73" s="107">
        <v>0</v>
      </c>
      <c r="F73" s="480">
        <v>3.72</v>
      </c>
      <c r="L73" s="101"/>
      <c r="M73" s="483"/>
      <c r="N73" s="483"/>
    </row>
    <row r="74" spans="1:14" x14ac:dyDescent="0.35">
      <c r="A74" s="1" t="s">
        <v>160</v>
      </c>
      <c r="B74" s="1" t="s">
        <v>160</v>
      </c>
      <c r="C74" t="s">
        <v>161</v>
      </c>
      <c r="D74" s="1" t="s">
        <v>383</v>
      </c>
      <c r="E74" s="107">
        <v>34</v>
      </c>
      <c r="F74" s="480">
        <v>0.81599999999999995</v>
      </c>
      <c r="L74" s="101"/>
      <c r="M74" s="483"/>
      <c r="N74" s="483"/>
    </row>
    <row r="75" spans="1:14" x14ac:dyDescent="0.35">
      <c r="A75" s="1" t="s">
        <v>162</v>
      </c>
      <c r="B75" s="1" t="s">
        <v>162</v>
      </c>
      <c r="C75" t="s">
        <v>163</v>
      </c>
      <c r="D75" s="1" t="s">
        <v>383</v>
      </c>
      <c r="E75" s="107">
        <v>311</v>
      </c>
      <c r="F75" s="480">
        <v>0.81599999999999995</v>
      </c>
      <c r="L75" s="101"/>
      <c r="M75" s="483"/>
      <c r="N75" s="483"/>
    </row>
    <row r="76" spans="1:14" x14ac:dyDescent="0.35">
      <c r="A76" s="1" t="s">
        <v>164</v>
      </c>
      <c r="B76" s="1" t="s">
        <v>164</v>
      </c>
      <c r="C76" t="s">
        <v>165</v>
      </c>
      <c r="D76" s="1" t="s">
        <v>383</v>
      </c>
      <c r="E76" s="107">
        <v>646</v>
      </c>
      <c r="F76" s="480">
        <v>0.81599999999999995</v>
      </c>
      <c r="L76" s="101"/>
      <c r="M76" s="483"/>
      <c r="N76" s="483"/>
    </row>
    <row r="77" spans="1:14" x14ac:dyDescent="0.35">
      <c r="A77" s="514" t="s">
        <v>166</v>
      </c>
      <c r="B77" s="1" t="s">
        <v>166</v>
      </c>
      <c r="C77" t="s">
        <v>167</v>
      </c>
      <c r="D77" s="1" t="s">
        <v>383</v>
      </c>
      <c r="E77" s="107">
        <v>1334</v>
      </c>
      <c r="F77" s="480">
        <v>0.81599999999999995</v>
      </c>
      <c r="L77" s="101"/>
      <c r="M77" s="483"/>
      <c r="N77" s="483"/>
    </row>
    <row r="78" spans="1:14" x14ac:dyDescent="0.35">
      <c r="A78" s="1" t="s">
        <v>91</v>
      </c>
      <c r="B78" s="1" t="s">
        <v>91</v>
      </c>
      <c r="C78" t="s">
        <v>92</v>
      </c>
      <c r="D78" s="1" t="s">
        <v>383</v>
      </c>
      <c r="E78" s="107">
        <v>7662</v>
      </c>
      <c r="F78" s="480">
        <v>5</v>
      </c>
      <c r="L78" s="101"/>
      <c r="M78" s="483"/>
      <c r="N78" s="483"/>
    </row>
    <row r="79" spans="1:14" x14ac:dyDescent="0.35">
      <c r="A79" s="1" t="s">
        <v>93</v>
      </c>
      <c r="B79" s="1" t="s">
        <v>93</v>
      </c>
      <c r="C79" t="s">
        <v>94</v>
      </c>
      <c r="D79" s="1" t="s">
        <v>383</v>
      </c>
      <c r="E79" s="107">
        <v>8366</v>
      </c>
      <c r="F79" s="480">
        <v>5</v>
      </c>
      <c r="L79" s="101"/>
      <c r="M79" s="483"/>
      <c r="N79" s="483"/>
    </row>
    <row r="80" spans="1:14" x14ac:dyDescent="0.35">
      <c r="A80" s="1" t="s">
        <v>95</v>
      </c>
      <c r="B80" s="1" t="s">
        <v>95</v>
      </c>
      <c r="C80" t="s">
        <v>96</v>
      </c>
      <c r="D80" s="1" t="s">
        <v>383</v>
      </c>
      <c r="E80" s="107">
        <v>8794</v>
      </c>
      <c r="F80" s="480">
        <v>5</v>
      </c>
      <c r="L80" s="101"/>
      <c r="M80" s="483"/>
      <c r="N80" s="483"/>
    </row>
    <row r="81" spans="1:14" x14ac:dyDescent="0.35">
      <c r="A81" s="1" t="s">
        <v>97</v>
      </c>
      <c r="B81" s="1" t="s">
        <v>97</v>
      </c>
      <c r="C81" t="s">
        <v>98</v>
      </c>
      <c r="D81" s="1" t="s">
        <v>383</v>
      </c>
      <c r="E81" s="107">
        <v>9057</v>
      </c>
      <c r="F81" s="480">
        <v>5</v>
      </c>
      <c r="L81" s="101"/>
      <c r="M81" s="483"/>
      <c r="N81" s="483"/>
    </row>
    <row r="82" spans="1:14" x14ac:dyDescent="0.35">
      <c r="A82" s="1" t="s">
        <v>54</v>
      </c>
      <c r="B82" s="1" t="s">
        <v>54</v>
      </c>
      <c r="C82" t="s">
        <v>56</v>
      </c>
      <c r="D82" s="1" t="s">
        <v>383</v>
      </c>
      <c r="E82" s="107">
        <v>0</v>
      </c>
      <c r="F82" s="480">
        <v>4.4139999999999997</v>
      </c>
      <c r="L82" s="101"/>
      <c r="M82" s="483"/>
      <c r="N82" s="483"/>
    </row>
    <row r="83" spans="1:14" x14ac:dyDescent="0.35">
      <c r="A83" s="1" t="s">
        <v>1061</v>
      </c>
      <c r="B83" s="1" t="s">
        <v>54</v>
      </c>
      <c r="C83" t="s">
        <v>1208</v>
      </c>
      <c r="D83" s="1" t="s">
        <v>383</v>
      </c>
      <c r="E83" s="107">
        <v>64</v>
      </c>
      <c r="F83" s="480">
        <v>4.4139999999999997</v>
      </c>
      <c r="L83" s="101"/>
      <c r="M83" s="483"/>
      <c r="N83" s="483"/>
    </row>
    <row r="84" spans="1:14" x14ac:dyDescent="0.35">
      <c r="A84" s="1" t="s">
        <v>1060</v>
      </c>
      <c r="B84" s="1" t="s">
        <v>54</v>
      </c>
      <c r="C84" t="s">
        <v>1208</v>
      </c>
      <c r="D84" s="1" t="s">
        <v>383</v>
      </c>
      <c r="E84" s="107">
        <v>20</v>
      </c>
      <c r="F84" s="480">
        <v>4.4139999999999997</v>
      </c>
      <c r="L84" s="101"/>
      <c r="M84" s="483"/>
      <c r="N84" s="483"/>
    </row>
    <row r="85" spans="1:14" x14ac:dyDescent="0.35">
      <c r="A85" s="1" t="s">
        <v>58</v>
      </c>
      <c r="B85" s="1" t="s">
        <v>58</v>
      </c>
      <c r="C85" t="s">
        <v>59</v>
      </c>
      <c r="D85" s="1" t="s">
        <v>383</v>
      </c>
      <c r="E85" s="107">
        <v>0</v>
      </c>
      <c r="F85" s="480">
        <v>4.4139999999999997</v>
      </c>
      <c r="L85" s="101"/>
      <c r="M85" s="483"/>
      <c r="N85" s="483"/>
    </row>
    <row r="86" spans="1:14" x14ac:dyDescent="0.35">
      <c r="A86" s="1" t="s">
        <v>1201</v>
      </c>
      <c r="B86" s="1" t="s">
        <v>58</v>
      </c>
      <c r="C86" t="s">
        <v>1209</v>
      </c>
      <c r="D86" s="1" t="s">
        <v>383</v>
      </c>
      <c r="E86" s="107">
        <v>7568</v>
      </c>
      <c r="F86" s="480">
        <v>4.4139999999999997</v>
      </c>
      <c r="L86" s="101"/>
      <c r="M86" s="483"/>
      <c r="N86" s="483"/>
    </row>
    <row r="87" spans="1:14" x14ac:dyDescent="0.35">
      <c r="A87" s="1" t="s">
        <v>60</v>
      </c>
      <c r="B87" s="1" t="s">
        <v>60</v>
      </c>
      <c r="C87" t="s">
        <v>61</v>
      </c>
      <c r="D87" s="1" t="s">
        <v>383</v>
      </c>
      <c r="E87" s="107">
        <v>0</v>
      </c>
      <c r="F87" s="480">
        <v>4.4139999999999997</v>
      </c>
      <c r="L87" s="101"/>
      <c r="M87" s="483"/>
      <c r="N87" s="483"/>
    </row>
    <row r="88" spans="1:14" x14ac:dyDescent="0.35">
      <c r="A88" s="1" t="s">
        <v>1202</v>
      </c>
      <c r="B88" s="1" t="s">
        <v>60</v>
      </c>
      <c r="C88" t="s">
        <v>1210</v>
      </c>
      <c r="D88" s="1" t="s">
        <v>383</v>
      </c>
      <c r="E88" s="107">
        <v>276</v>
      </c>
      <c r="F88" s="480">
        <v>4.4139999999999997</v>
      </c>
      <c r="L88" s="101"/>
      <c r="M88" s="483"/>
      <c r="N88" s="483"/>
    </row>
    <row r="89" spans="1:14" x14ac:dyDescent="0.35">
      <c r="A89" s="1" t="s">
        <v>62</v>
      </c>
      <c r="B89" s="1" t="s">
        <v>62</v>
      </c>
      <c r="C89" t="s">
        <v>63</v>
      </c>
      <c r="D89" s="1" t="s">
        <v>383</v>
      </c>
      <c r="E89" s="107">
        <v>0</v>
      </c>
      <c r="F89" s="480">
        <v>4.4139999999999997</v>
      </c>
      <c r="L89" s="101"/>
      <c r="M89" s="483"/>
      <c r="N89" s="483"/>
    </row>
    <row r="90" spans="1:14" x14ac:dyDescent="0.35">
      <c r="A90" s="1" t="s">
        <v>1203</v>
      </c>
      <c r="B90" s="1" t="s">
        <v>62</v>
      </c>
      <c r="C90" t="s">
        <v>1211</v>
      </c>
      <c r="D90" s="1" t="s">
        <v>383</v>
      </c>
      <c r="E90" s="107">
        <v>6239</v>
      </c>
      <c r="F90" s="480">
        <v>4.4139999999999997</v>
      </c>
      <c r="L90" s="101"/>
      <c r="M90" s="483"/>
      <c r="N90" s="483"/>
    </row>
    <row r="91" spans="1:14" x14ac:dyDescent="0.35">
      <c r="A91" s="1" t="s">
        <v>149</v>
      </c>
      <c r="B91" s="1" t="s">
        <v>149</v>
      </c>
      <c r="C91" t="s">
        <v>152</v>
      </c>
      <c r="D91" s="1" t="s">
        <v>383</v>
      </c>
      <c r="E91" s="107">
        <v>21194</v>
      </c>
      <c r="F91" s="480">
        <v>0.81599999999999995</v>
      </c>
      <c r="L91" s="101"/>
      <c r="M91" s="483"/>
      <c r="N91" s="483"/>
    </row>
    <row r="92" spans="1:14" x14ac:dyDescent="0.35">
      <c r="A92" s="1" t="s">
        <v>154</v>
      </c>
      <c r="B92" s="1" t="s">
        <v>154</v>
      </c>
      <c r="C92" t="s">
        <v>155</v>
      </c>
      <c r="D92" s="1" t="s">
        <v>383</v>
      </c>
      <c r="E92" s="107">
        <v>22442</v>
      </c>
      <c r="F92" s="480">
        <v>0.81599999999999995</v>
      </c>
      <c r="L92" s="101"/>
      <c r="M92" s="483"/>
      <c r="N92" s="483"/>
    </row>
    <row r="93" spans="1:14" x14ac:dyDescent="0.35">
      <c r="A93" s="1" t="s">
        <v>156</v>
      </c>
      <c r="B93" s="1" t="s">
        <v>156</v>
      </c>
      <c r="C93" t="s">
        <v>157</v>
      </c>
      <c r="D93" s="1" t="s">
        <v>383</v>
      </c>
      <c r="E93" s="107">
        <v>11058</v>
      </c>
      <c r="F93" s="480">
        <v>0.81599999999999995</v>
      </c>
      <c r="L93" s="101"/>
      <c r="M93" s="483"/>
      <c r="N93" s="483"/>
    </row>
    <row r="94" spans="1:14" x14ac:dyDescent="0.35">
      <c r="A94" s="1" t="s">
        <v>158</v>
      </c>
      <c r="B94" s="1" t="s">
        <v>158</v>
      </c>
      <c r="C94" t="s">
        <v>159</v>
      </c>
      <c r="D94" s="1" t="s">
        <v>383</v>
      </c>
      <c r="E94" s="107">
        <v>11202</v>
      </c>
      <c r="F94" s="480">
        <v>0.81599999999999995</v>
      </c>
      <c r="L94" s="101"/>
      <c r="M94" s="483"/>
      <c r="N94" s="483"/>
    </row>
    <row r="95" spans="1:14" x14ac:dyDescent="0.35">
      <c r="A95" s="1" t="s">
        <v>64</v>
      </c>
      <c r="B95" s="1" t="s">
        <v>64</v>
      </c>
      <c r="C95" t="s">
        <v>65</v>
      </c>
      <c r="D95" s="1" t="s">
        <v>383</v>
      </c>
      <c r="E95" s="107">
        <v>0</v>
      </c>
      <c r="F95" s="480">
        <v>4.4139999999999997</v>
      </c>
      <c r="L95" s="101"/>
      <c r="M95" s="483"/>
      <c r="N95" s="483"/>
    </row>
    <row r="96" spans="1:14" x14ac:dyDescent="0.35">
      <c r="A96" s="1" t="s">
        <v>1204</v>
      </c>
      <c r="B96" s="1" t="s">
        <v>64</v>
      </c>
      <c r="C96" t="s">
        <v>1212</v>
      </c>
      <c r="D96" s="1" t="s">
        <v>383</v>
      </c>
      <c r="E96" s="107">
        <v>7776</v>
      </c>
      <c r="F96" s="480">
        <v>4.4139999999999997</v>
      </c>
      <c r="L96" s="101"/>
      <c r="M96" s="483"/>
      <c r="N96" s="483"/>
    </row>
    <row r="97" spans="1:14" x14ac:dyDescent="0.35">
      <c r="A97" s="1" t="s">
        <v>66</v>
      </c>
      <c r="B97" s="1" t="s">
        <v>66</v>
      </c>
      <c r="C97" t="s">
        <v>67</v>
      </c>
      <c r="D97" s="1" t="s">
        <v>383</v>
      </c>
      <c r="E97" s="107">
        <v>0</v>
      </c>
      <c r="F97" s="480">
        <v>4.4139999999999997</v>
      </c>
      <c r="L97" s="101"/>
      <c r="M97" s="483"/>
      <c r="N97" s="483"/>
    </row>
    <row r="98" spans="1:14" x14ac:dyDescent="0.35">
      <c r="A98" s="1" t="s">
        <v>1205</v>
      </c>
      <c r="B98" s="1" t="s">
        <v>66</v>
      </c>
      <c r="C98" t="s">
        <v>1213</v>
      </c>
      <c r="D98" s="1" t="s">
        <v>383</v>
      </c>
      <c r="E98" s="107">
        <v>7682</v>
      </c>
      <c r="F98" s="480">
        <v>4.4139999999999997</v>
      </c>
      <c r="L98" s="101"/>
      <c r="M98" s="483"/>
      <c r="N98" s="483"/>
    </row>
    <row r="99" spans="1:14" x14ac:dyDescent="0.35">
      <c r="A99" s="1" t="s">
        <v>68</v>
      </c>
      <c r="B99" s="1" t="s">
        <v>68</v>
      </c>
      <c r="C99" t="s">
        <v>69</v>
      </c>
      <c r="D99" s="1" t="s">
        <v>383</v>
      </c>
      <c r="E99" s="107">
        <v>0</v>
      </c>
      <c r="F99" s="480">
        <v>4.4139999999999997</v>
      </c>
      <c r="L99" s="101"/>
      <c r="M99" s="483"/>
      <c r="N99" s="483"/>
    </row>
    <row r="100" spans="1:14" x14ac:dyDescent="0.35">
      <c r="A100" s="1" t="s">
        <v>1206</v>
      </c>
      <c r="B100" s="1" t="s">
        <v>68</v>
      </c>
      <c r="C100" t="s">
        <v>1214</v>
      </c>
      <c r="D100" s="1" t="s">
        <v>383</v>
      </c>
      <c r="E100" s="107">
        <v>7768</v>
      </c>
      <c r="F100" s="480">
        <v>4.4139999999999997</v>
      </c>
      <c r="L100" s="101"/>
      <c r="M100" s="483"/>
      <c r="N100" s="483"/>
    </row>
    <row r="101" spans="1:14" x14ac:dyDescent="0.35">
      <c r="A101" s="1" t="s">
        <v>70</v>
      </c>
      <c r="B101" s="1" t="s">
        <v>70</v>
      </c>
      <c r="C101" t="s">
        <v>71</v>
      </c>
      <c r="D101" s="1" t="s">
        <v>383</v>
      </c>
      <c r="E101" s="107">
        <v>0</v>
      </c>
      <c r="F101" s="480">
        <v>4.4139999999999997</v>
      </c>
      <c r="L101" s="101"/>
      <c r="M101" s="483"/>
      <c r="N101" s="483"/>
    </row>
    <row r="102" spans="1:14" x14ac:dyDescent="0.35">
      <c r="A102" s="1" t="s">
        <v>1207</v>
      </c>
      <c r="B102" s="1" t="s">
        <v>70</v>
      </c>
      <c r="C102" t="s">
        <v>1215</v>
      </c>
      <c r="D102" s="1" t="s">
        <v>383</v>
      </c>
      <c r="E102" s="107">
        <v>7666</v>
      </c>
      <c r="F102" s="480">
        <v>4.4139999999999997</v>
      </c>
      <c r="L102" s="101"/>
      <c r="M102" s="483"/>
      <c r="N102" s="483"/>
    </row>
    <row r="103" spans="1:14" x14ac:dyDescent="0.35">
      <c r="A103" s="1" t="s">
        <v>99</v>
      </c>
      <c r="B103" s="1" t="s">
        <v>99</v>
      </c>
      <c r="C103" t="s">
        <v>100</v>
      </c>
      <c r="D103" s="1" t="s">
        <v>383</v>
      </c>
      <c r="E103" s="107">
        <v>8796</v>
      </c>
      <c r="F103" s="480">
        <v>5</v>
      </c>
      <c r="L103" s="101"/>
      <c r="M103" s="483"/>
      <c r="N103" s="483"/>
    </row>
    <row r="104" spans="1:14" x14ac:dyDescent="0.35">
      <c r="A104" s="1" t="s">
        <v>101</v>
      </c>
      <c r="B104" s="1" t="s">
        <v>101</v>
      </c>
      <c r="C104" t="s">
        <v>102</v>
      </c>
      <c r="D104" s="1" t="s">
        <v>383</v>
      </c>
      <c r="E104" s="107">
        <v>5970</v>
      </c>
      <c r="F104" s="480">
        <v>5</v>
      </c>
      <c r="L104" s="101"/>
      <c r="M104" s="483"/>
      <c r="N104" s="483"/>
    </row>
    <row r="105" spans="1:14" x14ac:dyDescent="0.35">
      <c r="A105" s="1" t="s">
        <v>103</v>
      </c>
      <c r="B105" s="1" t="s">
        <v>103</v>
      </c>
      <c r="C105" t="s">
        <v>104</v>
      </c>
      <c r="D105" s="1" t="s">
        <v>383</v>
      </c>
      <c r="E105" s="107">
        <v>8608</v>
      </c>
      <c r="F105" s="480">
        <v>5</v>
      </c>
      <c r="L105" s="101"/>
      <c r="M105" s="483"/>
      <c r="N105" s="483"/>
    </row>
    <row r="106" spans="1:14" x14ac:dyDescent="0.35">
      <c r="A106" s="1" t="s">
        <v>105</v>
      </c>
      <c r="B106" s="1" t="s">
        <v>105</v>
      </c>
      <c r="C106" t="s">
        <v>106</v>
      </c>
      <c r="D106" s="1" t="s">
        <v>383</v>
      </c>
      <c r="E106" s="107">
        <v>5955</v>
      </c>
      <c r="F106" s="480">
        <v>5</v>
      </c>
      <c r="L106" s="101"/>
      <c r="M106" s="483"/>
      <c r="N106" s="483"/>
    </row>
    <row r="107" spans="1:14" x14ac:dyDescent="0.35">
      <c r="A107" s="1" t="s">
        <v>107</v>
      </c>
      <c r="B107" s="1" t="s">
        <v>107</v>
      </c>
      <c r="C107" t="s">
        <v>109</v>
      </c>
      <c r="D107" s="1" t="s">
        <v>383</v>
      </c>
      <c r="E107" s="107">
        <v>5672</v>
      </c>
      <c r="F107" s="480">
        <v>11.68</v>
      </c>
      <c r="L107" s="101"/>
      <c r="M107" s="483"/>
      <c r="N107" s="483"/>
    </row>
    <row r="108" spans="1:14" x14ac:dyDescent="0.35">
      <c r="A108" s="1" t="s">
        <v>110</v>
      </c>
      <c r="B108" s="1" t="s">
        <v>110</v>
      </c>
      <c r="C108" t="s">
        <v>111</v>
      </c>
      <c r="D108" s="1" t="s">
        <v>383</v>
      </c>
      <c r="E108" s="107">
        <v>887</v>
      </c>
      <c r="F108" s="480">
        <v>11.68</v>
      </c>
      <c r="L108" s="101"/>
      <c r="M108" s="483"/>
      <c r="N108" s="483"/>
    </row>
    <row r="109" spans="1:14" x14ac:dyDescent="0.35">
      <c r="A109" s="1" t="s">
        <v>112</v>
      </c>
      <c r="B109" s="1" t="s">
        <v>112</v>
      </c>
      <c r="C109" t="s">
        <v>113</v>
      </c>
      <c r="D109" s="1" t="s">
        <v>383</v>
      </c>
      <c r="E109" s="107">
        <v>0</v>
      </c>
      <c r="F109" s="480">
        <v>11.68</v>
      </c>
      <c r="L109" s="101"/>
      <c r="M109" s="483"/>
      <c r="N109" s="483"/>
    </row>
    <row r="110" spans="1:14" x14ac:dyDescent="0.35">
      <c r="A110" s="1" t="s">
        <v>1216</v>
      </c>
      <c r="B110" s="1" t="s">
        <v>112</v>
      </c>
      <c r="C110" t="s">
        <v>648</v>
      </c>
      <c r="D110" s="1" t="s">
        <v>383</v>
      </c>
      <c r="E110" s="107">
        <v>3538</v>
      </c>
      <c r="F110" s="480">
        <v>11.68</v>
      </c>
      <c r="L110" s="101"/>
      <c r="M110" s="483"/>
      <c r="N110" s="483"/>
    </row>
    <row r="111" spans="1:14" x14ac:dyDescent="0.35">
      <c r="A111" s="1" t="s">
        <v>114</v>
      </c>
      <c r="B111" s="1" t="s">
        <v>114</v>
      </c>
      <c r="C111" t="s">
        <v>115</v>
      </c>
      <c r="D111" s="1" t="s">
        <v>383</v>
      </c>
      <c r="E111" s="107">
        <v>2114</v>
      </c>
      <c r="F111" s="480">
        <v>11.68</v>
      </c>
      <c r="L111" s="101"/>
      <c r="M111" s="483"/>
      <c r="N111" s="483"/>
    </row>
    <row r="112" spans="1:14" x14ac:dyDescent="0.35">
      <c r="A112" s="1" t="s">
        <v>116</v>
      </c>
      <c r="B112" s="1" t="s">
        <v>116</v>
      </c>
      <c r="C112" t="s">
        <v>117</v>
      </c>
      <c r="D112" s="1" t="s">
        <v>383</v>
      </c>
      <c r="E112" s="107">
        <v>115</v>
      </c>
      <c r="F112" s="480">
        <v>11.68</v>
      </c>
      <c r="L112" s="101"/>
      <c r="M112" s="483"/>
      <c r="N112" s="483"/>
    </row>
    <row r="113" spans="1:14" x14ac:dyDescent="0.35">
      <c r="A113" s="1" t="s">
        <v>1217</v>
      </c>
      <c r="B113" s="1" t="s">
        <v>116</v>
      </c>
      <c r="C113" t="s">
        <v>1196</v>
      </c>
      <c r="D113" s="1" t="s">
        <v>383</v>
      </c>
      <c r="E113" s="107">
        <v>0</v>
      </c>
      <c r="F113" s="480">
        <v>11.68</v>
      </c>
      <c r="L113" s="101"/>
      <c r="M113" s="483"/>
      <c r="N113" s="483"/>
    </row>
    <row r="114" spans="1:14" x14ac:dyDescent="0.35">
      <c r="A114" s="1" t="s">
        <v>118</v>
      </c>
      <c r="B114" s="1" t="s">
        <v>118</v>
      </c>
      <c r="C114" t="s">
        <v>119</v>
      </c>
      <c r="D114" s="1" t="s">
        <v>383</v>
      </c>
      <c r="E114" s="107">
        <v>4469</v>
      </c>
      <c r="F114" s="480">
        <v>11.68</v>
      </c>
      <c r="L114" s="101"/>
      <c r="M114" s="483"/>
      <c r="N114" s="483"/>
    </row>
    <row r="115" spans="1:14" x14ac:dyDescent="0.35">
      <c r="A115" s="1" t="s">
        <v>120</v>
      </c>
      <c r="B115" s="1" t="s">
        <v>120</v>
      </c>
      <c r="C115" t="s">
        <v>121</v>
      </c>
      <c r="D115" s="1" t="s">
        <v>383</v>
      </c>
      <c r="E115" s="107">
        <v>1253</v>
      </c>
      <c r="F115" s="480">
        <v>11.68</v>
      </c>
      <c r="L115" s="101"/>
      <c r="M115" s="483"/>
      <c r="N115" s="483"/>
    </row>
    <row r="116" spans="1:14" x14ac:dyDescent="0.35">
      <c r="A116" s="1" t="s">
        <v>1218</v>
      </c>
      <c r="B116" s="1" t="s">
        <v>120</v>
      </c>
      <c r="C116" t="s">
        <v>1197</v>
      </c>
      <c r="D116" s="1" t="s">
        <v>383</v>
      </c>
      <c r="E116" s="107">
        <v>2290</v>
      </c>
      <c r="F116" s="480">
        <v>11.68</v>
      </c>
      <c r="L116" s="101"/>
      <c r="M116" s="483"/>
      <c r="N116" s="483"/>
    </row>
    <row r="117" spans="1:14" x14ac:dyDescent="0.35">
      <c r="A117" s="1" t="s">
        <v>122</v>
      </c>
      <c r="B117" s="1" t="s">
        <v>122</v>
      </c>
      <c r="C117" t="s">
        <v>123</v>
      </c>
      <c r="D117" s="1" t="s">
        <v>383</v>
      </c>
      <c r="E117" s="107">
        <v>4191</v>
      </c>
      <c r="F117" s="480">
        <v>11.68</v>
      </c>
      <c r="L117" s="101"/>
      <c r="M117" s="483"/>
      <c r="N117" s="483"/>
    </row>
    <row r="118" spans="1:14" x14ac:dyDescent="0.35">
      <c r="A118" s="1" t="s">
        <v>672</v>
      </c>
      <c r="B118" s="1" t="s">
        <v>672</v>
      </c>
      <c r="C118" t="s">
        <v>673</v>
      </c>
      <c r="D118" s="1" t="s">
        <v>383</v>
      </c>
      <c r="E118" s="107">
        <v>2496</v>
      </c>
      <c r="F118" s="480">
        <v>4.21</v>
      </c>
      <c r="L118" s="101"/>
      <c r="M118" s="483"/>
      <c r="N118" s="483"/>
    </row>
    <row r="119" spans="1:14" x14ac:dyDescent="0.35">
      <c r="A119" s="1" t="s">
        <v>674</v>
      </c>
      <c r="B119" s="1" t="s">
        <v>674</v>
      </c>
      <c r="C119" t="s">
        <v>675</v>
      </c>
      <c r="D119" s="1" t="s">
        <v>383</v>
      </c>
      <c r="E119" s="107">
        <v>2496</v>
      </c>
      <c r="F119" s="480">
        <v>4.21</v>
      </c>
      <c r="L119" s="101"/>
      <c r="M119" s="483"/>
      <c r="N119" s="483"/>
    </row>
    <row r="120" spans="1:14" x14ac:dyDescent="0.35">
      <c r="A120" s="1" t="s">
        <v>676</v>
      </c>
      <c r="B120" s="1" t="s">
        <v>676</v>
      </c>
      <c r="C120" t="s">
        <v>677</v>
      </c>
      <c r="D120" s="1" t="s">
        <v>383</v>
      </c>
      <c r="E120" s="107">
        <v>2496</v>
      </c>
      <c r="F120" s="480">
        <v>4.21</v>
      </c>
      <c r="L120" s="101"/>
      <c r="M120" s="483"/>
      <c r="N120" s="483"/>
    </row>
    <row r="121" spans="1:14" x14ac:dyDescent="0.35">
      <c r="A121" s="1" t="s">
        <v>678</v>
      </c>
      <c r="B121" s="1" t="s">
        <v>678</v>
      </c>
      <c r="C121" t="s">
        <v>679</v>
      </c>
      <c r="D121" s="1" t="s">
        <v>383</v>
      </c>
      <c r="E121" s="107">
        <v>2496</v>
      </c>
      <c r="F121" s="480">
        <v>4.21</v>
      </c>
      <c r="L121" s="101"/>
      <c r="M121" s="483"/>
      <c r="N121" s="483"/>
    </row>
    <row r="122" spans="1:14" x14ac:dyDescent="0.35">
      <c r="A122" s="1" t="s">
        <v>680</v>
      </c>
      <c r="B122" s="1" t="s">
        <v>680</v>
      </c>
      <c r="C122" t="s">
        <v>681</v>
      </c>
      <c r="D122" s="1" t="s">
        <v>383</v>
      </c>
      <c r="E122" s="107">
        <v>2016</v>
      </c>
      <c r="F122" s="480">
        <v>4.21</v>
      </c>
      <c r="L122" s="101"/>
      <c r="M122" s="483"/>
      <c r="N122" s="483"/>
    </row>
    <row r="123" spans="1:14" x14ac:dyDescent="0.35">
      <c r="A123" s="1" t="s">
        <v>682</v>
      </c>
      <c r="B123" s="1" t="s">
        <v>682</v>
      </c>
      <c r="C123" t="s">
        <v>683</v>
      </c>
      <c r="D123" s="1" t="s">
        <v>383</v>
      </c>
      <c r="E123" s="107">
        <v>5016</v>
      </c>
      <c r="F123" s="480">
        <v>4.21</v>
      </c>
      <c r="L123" s="101"/>
      <c r="M123" s="483"/>
      <c r="N123" s="483"/>
    </row>
    <row r="124" spans="1:14" x14ac:dyDescent="0.35">
      <c r="A124" s="1" t="s">
        <v>684</v>
      </c>
      <c r="B124" s="1" t="s">
        <v>684</v>
      </c>
      <c r="C124" t="s">
        <v>685</v>
      </c>
      <c r="D124" s="1" t="s">
        <v>383</v>
      </c>
      <c r="E124" s="107">
        <v>5016</v>
      </c>
      <c r="F124" s="480">
        <v>4.21</v>
      </c>
      <c r="L124" s="101"/>
      <c r="M124" s="483"/>
      <c r="N124" s="483"/>
    </row>
    <row r="125" spans="1:14" x14ac:dyDescent="0.35">
      <c r="A125" s="1" t="s">
        <v>686</v>
      </c>
      <c r="B125" s="1" t="s">
        <v>686</v>
      </c>
      <c r="C125" t="s">
        <v>687</v>
      </c>
      <c r="D125" s="1" t="s">
        <v>383</v>
      </c>
      <c r="E125" s="107">
        <v>5016</v>
      </c>
      <c r="F125" s="480">
        <v>4.21</v>
      </c>
      <c r="L125" s="101"/>
      <c r="M125" s="483"/>
      <c r="N125" s="483"/>
    </row>
    <row r="126" spans="1:14" x14ac:dyDescent="0.35">
      <c r="A126" s="1" t="s">
        <v>141</v>
      </c>
      <c r="B126" s="1" t="s">
        <v>141</v>
      </c>
      <c r="C126" t="s">
        <v>142</v>
      </c>
      <c r="D126" s="1" t="s">
        <v>383</v>
      </c>
      <c r="E126" s="107">
        <v>1506</v>
      </c>
      <c r="F126" s="480">
        <v>11.68</v>
      </c>
      <c r="L126" s="101"/>
      <c r="M126" s="483"/>
      <c r="N126" s="483"/>
    </row>
    <row r="127" spans="1:14" x14ac:dyDescent="0.35">
      <c r="A127" s="1" t="s">
        <v>143</v>
      </c>
      <c r="B127" s="1" t="s">
        <v>143</v>
      </c>
      <c r="C127" t="s">
        <v>144</v>
      </c>
      <c r="D127" s="1" t="s">
        <v>383</v>
      </c>
      <c r="E127" s="107">
        <v>1438</v>
      </c>
      <c r="F127" s="480">
        <v>11.68</v>
      </c>
      <c r="L127" s="101"/>
      <c r="M127" s="483"/>
      <c r="N127" s="483"/>
    </row>
    <row r="128" spans="1:14" x14ac:dyDescent="0.35">
      <c r="A128" s="1" t="s">
        <v>179</v>
      </c>
      <c r="B128" s="1" t="s">
        <v>179</v>
      </c>
      <c r="C128" t="s">
        <v>181</v>
      </c>
      <c r="D128" s="1" t="s">
        <v>383</v>
      </c>
      <c r="E128" s="107">
        <v>0</v>
      </c>
      <c r="F128" s="480">
        <v>0.93</v>
      </c>
      <c r="L128" s="101"/>
      <c r="M128" s="483"/>
      <c r="N128" s="483"/>
    </row>
    <row r="129" spans="1:14" x14ac:dyDescent="0.35">
      <c r="A129" s="1" t="s">
        <v>182</v>
      </c>
      <c r="B129" s="1" t="s">
        <v>182</v>
      </c>
      <c r="C129" t="s">
        <v>183</v>
      </c>
      <c r="D129" s="1" t="s">
        <v>383</v>
      </c>
      <c r="E129" s="107">
        <v>0</v>
      </c>
      <c r="F129" s="480">
        <v>0.93</v>
      </c>
      <c r="L129" s="101"/>
      <c r="M129" s="483"/>
      <c r="N129" s="483"/>
    </row>
    <row r="130" spans="1:14" x14ac:dyDescent="0.35">
      <c r="A130" s="1" t="s">
        <v>184</v>
      </c>
      <c r="B130" s="1" t="s">
        <v>184</v>
      </c>
      <c r="C130" t="s">
        <v>185</v>
      </c>
      <c r="D130" s="1" t="s">
        <v>383</v>
      </c>
      <c r="E130" s="107">
        <v>0</v>
      </c>
      <c r="F130" s="480">
        <v>0.93</v>
      </c>
      <c r="L130" s="101"/>
      <c r="M130" s="483"/>
      <c r="N130" s="483"/>
    </row>
    <row r="131" spans="1:14" x14ac:dyDescent="0.35">
      <c r="A131" s="1" t="s">
        <v>186</v>
      </c>
      <c r="B131" s="1" t="s">
        <v>186</v>
      </c>
      <c r="C131" t="s">
        <v>187</v>
      </c>
      <c r="D131" s="1" t="s">
        <v>383</v>
      </c>
      <c r="E131" s="107">
        <v>6</v>
      </c>
      <c r="F131" s="480">
        <v>0.93</v>
      </c>
      <c r="L131" s="101"/>
      <c r="M131" s="483"/>
      <c r="N131" s="483"/>
    </row>
    <row r="132" spans="1:14" x14ac:dyDescent="0.35">
      <c r="A132" s="1" t="s">
        <v>419</v>
      </c>
      <c r="B132" s="1" t="s">
        <v>419</v>
      </c>
      <c r="C132" t="s">
        <v>420</v>
      </c>
      <c r="D132" s="1" t="s">
        <v>383</v>
      </c>
      <c r="E132" s="107">
        <v>0</v>
      </c>
      <c r="F132" s="480">
        <v>0.93</v>
      </c>
      <c r="L132" s="101"/>
      <c r="M132" s="483"/>
      <c r="N132" s="483"/>
    </row>
    <row r="133" spans="1:14" x14ac:dyDescent="0.35">
      <c r="A133" s="1" t="s">
        <v>421</v>
      </c>
      <c r="B133" s="1" t="s">
        <v>421</v>
      </c>
      <c r="C133" t="s">
        <v>422</v>
      </c>
      <c r="D133" s="1" t="s">
        <v>383</v>
      </c>
      <c r="E133" s="107">
        <v>8</v>
      </c>
      <c r="F133" s="480">
        <v>0.93</v>
      </c>
      <c r="L133" s="101"/>
      <c r="M133" s="483"/>
      <c r="N133" s="483"/>
    </row>
    <row r="134" spans="1:14" x14ac:dyDescent="0.35">
      <c r="A134" s="1" t="s">
        <v>423</v>
      </c>
      <c r="B134" s="1" t="s">
        <v>423</v>
      </c>
      <c r="C134" t="s">
        <v>424</v>
      </c>
      <c r="D134" s="1" t="s">
        <v>383</v>
      </c>
      <c r="E134" s="107">
        <v>0</v>
      </c>
      <c r="F134" s="480">
        <v>0.93</v>
      </c>
      <c r="L134" s="101"/>
      <c r="M134" s="483"/>
      <c r="N134" s="483"/>
    </row>
    <row r="135" spans="1:14" x14ac:dyDescent="0.35">
      <c r="A135" s="1" t="s">
        <v>425</v>
      </c>
      <c r="B135" s="1" t="s">
        <v>425</v>
      </c>
      <c r="C135" t="s">
        <v>426</v>
      </c>
      <c r="D135" s="1" t="s">
        <v>383</v>
      </c>
      <c r="E135" s="107">
        <v>0</v>
      </c>
      <c r="F135" s="480">
        <v>0.93</v>
      </c>
      <c r="L135" s="101"/>
      <c r="M135" s="483"/>
      <c r="N135" s="483"/>
    </row>
    <row r="136" spans="1:14" x14ac:dyDescent="0.35">
      <c r="A136" s="1" t="s">
        <v>168</v>
      </c>
      <c r="B136" s="1" t="s">
        <v>168</v>
      </c>
      <c r="C136" t="s">
        <v>171</v>
      </c>
      <c r="D136" s="1" t="s">
        <v>383</v>
      </c>
      <c r="E136" s="107">
        <v>9507</v>
      </c>
      <c r="F136" s="480">
        <v>2.0499999999999998</v>
      </c>
      <c r="L136" s="101"/>
      <c r="M136" s="483"/>
      <c r="N136" s="483"/>
    </row>
    <row r="137" spans="1:14" x14ac:dyDescent="0.35">
      <c r="A137" s="1" t="s">
        <v>173</v>
      </c>
      <c r="B137" s="1" t="s">
        <v>173</v>
      </c>
      <c r="C137" t="s">
        <v>174</v>
      </c>
      <c r="D137" s="1" t="s">
        <v>383</v>
      </c>
      <c r="E137" s="107">
        <v>6982</v>
      </c>
      <c r="F137" s="480">
        <v>2.0499999999999998</v>
      </c>
      <c r="L137" s="101"/>
      <c r="M137" s="483"/>
      <c r="N137" s="483"/>
    </row>
    <row r="138" spans="1:14" x14ac:dyDescent="0.35">
      <c r="A138" s="1" t="s">
        <v>175</v>
      </c>
      <c r="B138" s="1" t="s">
        <v>175</v>
      </c>
      <c r="C138" t="s">
        <v>176</v>
      </c>
      <c r="D138" s="1" t="s">
        <v>383</v>
      </c>
      <c r="E138" s="107">
        <v>7223</v>
      </c>
      <c r="F138" s="480">
        <v>2.0499999999999998</v>
      </c>
      <c r="L138" s="101"/>
      <c r="M138" s="483"/>
      <c r="N138" s="483"/>
    </row>
    <row r="139" spans="1:14" x14ac:dyDescent="0.35">
      <c r="A139" s="1" t="s">
        <v>177</v>
      </c>
      <c r="B139" s="1" t="s">
        <v>177</v>
      </c>
      <c r="C139" t="s">
        <v>178</v>
      </c>
      <c r="D139" s="1" t="s">
        <v>383</v>
      </c>
      <c r="E139" s="107">
        <v>7196</v>
      </c>
      <c r="F139" s="480">
        <v>2.0499999999999998</v>
      </c>
      <c r="L139" s="101"/>
      <c r="M139" s="483"/>
      <c r="N139" s="483"/>
    </row>
    <row r="140" spans="1:14" x14ac:dyDescent="0.35">
      <c r="A140" s="1" t="s">
        <v>124</v>
      </c>
      <c r="B140" s="1" t="s">
        <v>124</v>
      </c>
      <c r="C140" t="s">
        <v>126</v>
      </c>
      <c r="D140" s="1" t="s">
        <v>383</v>
      </c>
      <c r="E140" s="107">
        <v>0</v>
      </c>
      <c r="F140" s="480">
        <v>0</v>
      </c>
      <c r="L140" s="101"/>
      <c r="M140" s="483"/>
      <c r="N140" s="483"/>
    </row>
    <row r="141" spans="1:14" x14ac:dyDescent="0.35">
      <c r="A141" s="1" t="s">
        <v>127</v>
      </c>
      <c r="B141" s="1" t="s">
        <v>127</v>
      </c>
      <c r="C141" t="s">
        <v>128</v>
      </c>
      <c r="D141" s="1" t="s">
        <v>383</v>
      </c>
      <c r="E141" s="107">
        <v>0</v>
      </c>
      <c r="F141" s="480">
        <v>0</v>
      </c>
      <c r="L141" s="101"/>
      <c r="M141" s="483"/>
      <c r="N141" s="483"/>
    </row>
    <row r="142" spans="1:14" x14ac:dyDescent="0.35">
      <c r="A142" s="1" t="s">
        <v>129</v>
      </c>
      <c r="B142" s="1" t="s">
        <v>129</v>
      </c>
      <c r="C142" t="s">
        <v>130</v>
      </c>
      <c r="D142" s="1" t="s">
        <v>383</v>
      </c>
      <c r="E142" s="107">
        <v>0</v>
      </c>
      <c r="F142" s="480">
        <v>0</v>
      </c>
      <c r="L142" s="101"/>
      <c r="M142" s="483"/>
      <c r="N142" s="483"/>
    </row>
    <row r="143" spans="1:14" x14ac:dyDescent="0.35">
      <c r="A143" s="1" t="s">
        <v>131</v>
      </c>
      <c r="B143" s="1" t="s">
        <v>131</v>
      </c>
      <c r="C143" t="s">
        <v>132</v>
      </c>
      <c r="D143" s="1" t="s">
        <v>383</v>
      </c>
      <c r="E143" s="107">
        <v>0</v>
      </c>
      <c r="F143" s="480">
        <v>0</v>
      </c>
      <c r="L143" s="101"/>
      <c r="M143" s="483"/>
      <c r="N143" s="483"/>
    </row>
    <row r="144" spans="1:14" x14ac:dyDescent="0.35">
      <c r="A144" s="1" t="s">
        <v>133</v>
      </c>
      <c r="B144" s="1" t="s">
        <v>133</v>
      </c>
      <c r="C144" t="s">
        <v>134</v>
      </c>
      <c r="D144" s="1" t="s">
        <v>383</v>
      </c>
      <c r="E144" s="107">
        <v>0</v>
      </c>
      <c r="F144" s="480">
        <v>0</v>
      </c>
      <c r="L144" s="101"/>
      <c r="M144" s="483"/>
      <c r="N144" s="483"/>
    </row>
    <row r="145" spans="1:14" x14ac:dyDescent="0.35">
      <c r="A145" s="1" t="s">
        <v>135</v>
      </c>
      <c r="B145" s="1" t="s">
        <v>135</v>
      </c>
      <c r="C145" t="s">
        <v>136</v>
      </c>
      <c r="D145" s="1" t="s">
        <v>383</v>
      </c>
      <c r="E145" s="107">
        <v>0</v>
      </c>
      <c r="F145" s="480">
        <v>0</v>
      </c>
      <c r="L145" s="101"/>
      <c r="M145" s="483"/>
      <c r="N145" s="483"/>
    </row>
    <row r="146" spans="1:14" x14ac:dyDescent="0.35">
      <c r="A146" s="1" t="s">
        <v>137</v>
      </c>
      <c r="B146" s="1" t="s">
        <v>137</v>
      </c>
      <c r="C146" t="s">
        <v>138</v>
      </c>
      <c r="D146" s="1" t="s">
        <v>383</v>
      </c>
      <c r="E146" s="107">
        <v>0</v>
      </c>
      <c r="F146" s="480">
        <v>0</v>
      </c>
      <c r="L146" s="101"/>
      <c r="M146" s="483"/>
      <c r="N146" s="483"/>
    </row>
    <row r="147" spans="1:14" x14ac:dyDescent="0.35">
      <c r="A147" s="1" t="s">
        <v>139</v>
      </c>
      <c r="B147" s="1" t="s">
        <v>139</v>
      </c>
      <c r="C147" t="s">
        <v>140</v>
      </c>
      <c r="D147" s="1" t="s">
        <v>383</v>
      </c>
      <c r="E147" s="107">
        <v>0</v>
      </c>
      <c r="F147" s="480">
        <v>0</v>
      </c>
      <c r="L147" s="101"/>
      <c r="M147" s="483"/>
      <c r="N147" s="483"/>
    </row>
    <row r="148" spans="1:14" x14ac:dyDescent="0.35">
      <c r="A148" s="1" t="s">
        <v>145</v>
      </c>
      <c r="B148" s="1" t="s">
        <v>145</v>
      </c>
      <c r="C148" t="s">
        <v>146</v>
      </c>
      <c r="D148" s="1" t="s">
        <v>383</v>
      </c>
      <c r="E148" s="107">
        <v>0</v>
      </c>
      <c r="F148" s="480">
        <v>0</v>
      </c>
      <c r="L148" s="101"/>
      <c r="M148" s="483"/>
      <c r="N148" s="483"/>
    </row>
    <row r="149" spans="1:14" x14ac:dyDescent="0.35">
      <c r="A149" s="1" t="s">
        <v>147</v>
      </c>
      <c r="B149" s="1" t="s">
        <v>147</v>
      </c>
      <c r="C149" t="s">
        <v>688</v>
      </c>
      <c r="D149" s="1" t="s">
        <v>383</v>
      </c>
      <c r="E149" s="107">
        <v>0</v>
      </c>
      <c r="F149" s="480">
        <v>0</v>
      </c>
      <c r="L149" s="101"/>
      <c r="M149" s="483"/>
      <c r="N149" s="483"/>
    </row>
    <row r="150" spans="1:14" x14ac:dyDescent="0.35">
      <c r="A150" s="564" t="s">
        <v>1448</v>
      </c>
      <c r="C150" t="s">
        <v>1468</v>
      </c>
      <c r="D150" s="1" t="s">
        <v>383</v>
      </c>
      <c r="E150" s="107">
        <v>38</v>
      </c>
      <c r="L150" s="101"/>
      <c r="M150" s="483"/>
      <c r="N150" s="483"/>
    </row>
    <row r="151" spans="1:14" x14ac:dyDescent="0.35">
      <c r="A151" s="564" t="s">
        <v>1447</v>
      </c>
      <c r="C151" t="s">
        <v>1467</v>
      </c>
      <c r="D151" s="1" t="s">
        <v>383</v>
      </c>
      <c r="E151" s="107">
        <v>33</v>
      </c>
      <c r="L151" s="101"/>
      <c r="M151" s="483"/>
      <c r="N151" s="483"/>
    </row>
    <row r="152" spans="1:14" x14ac:dyDescent="0.35">
      <c r="A152" s="564" t="s">
        <v>1446</v>
      </c>
      <c r="C152" t="s">
        <v>1466</v>
      </c>
      <c r="D152" s="1" t="s">
        <v>383</v>
      </c>
      <c r="E152" s="107">
        <v>11</v>
      </c>
      <c r="L152" s="101"/>
      <c r="M152" s="483"/>
      <c r="N152" s="483"/>
    </row>
    <row r="153" spans="1:14" x14ac:dyDescent="0.35">
      <c r="A153" s="564" t="s">
        <v>1449</v>
      </c>
      <c r="C153" t="s">
        <v>1469</v>
      </c>
      <c r="D153" s="1" t="s">
        <v>383</v>
      </c>
      <c r="E153" s="107">
        <v>17</v>
      </c>
      <c r="L153" s="101"/>
      <c r="M153" s="483"/>
      <c r="N153" s="483"/>
    </row>
    <row r="154" spans="1:14" x14ac:dyDescent="0.35">
      <c r="A154" s="564" t="s">
        <v>1444</v>
      </c>
      <c r="C154" t="s">
        <v>1464</v>
      </c>
      <c r="D154" s="1" t="s">
        <v>383</v>
      </c>
      <c r="E154" s="107">
        <v>33</v>
      </c>
      <c r="L154" s="101"/>
      <c r="M154" s="483"/>
      <c r="N154" s="483"/>
    </row>
    <row r="155" spans="1:14" x14ac:dyDescent="0.35">
      <c r="A155" s="564" t="s">
        <v>1443</v>
      </c>
      <c r="C155" t="s">
        <v>1463</v>
      </c>
      <c r="D155" s="1" t="s">
        <v>383</v>
      </c>
      <c r="E155" s="107">
        <v>29</v>
      </c>
      <c r="L155" s="101"/>
      <c r="M155" s="483"/>
      <c r="N155" s="483"/>
    </row>
    <row r="156" spans="1:14" x14ac:dyDescent="0.35">
      <c r="A156" s="564" t="s">
        <v>1442</v>
      </c>
      <c r="C156" t="s">
        <v>1462</v>
      </c>
      <c r="D156" s="1" t="s">
        <v>383</v>
      </c>
      <c r="E156" s="107">
        <v>9</v>
      </c>
      <c r="L156" s="101"/>
      <c r="M156" s="483"/>
      <c r="N156" s="483"/>
    </row>
    <row r="157" spans="1:14" x14ac:dyDescent="0.35">
      <c r="A157" s="564" t="s">
        <v>1445</v>
      </c>
      <c r="C157" t="s">
        <v>1465</v>
      </c>
      <c r="D157" s="1" t="s">
        <v>383</v>
      </c>
      <c r="E157" s="107">
        <v>14</v>
      </c>
      <c r="L157" s="101"/>
      <c r="M157" s="483"/>
      <c r="N157" s="483"/>
    </row>
    <row r="158" spans="1:14" x14ac:dyDescent="0.35">
      <c r="A158" s="564" t="s">
        <v>1452</v>
      </c>
      <c r="C158" t="s">
        <v>1472</v>
      </c>
      <c r="D158" s="1" t="s">
        <v>383</v>
      </c>
      <c r="E158" s="107">
        <v>15</v>
      </c>
      <c r="L158" s="101"/>
      <c r="M158" s="483"/>
      <c r="N158" s="483"/>
    </row>
    <row r="159" spans="1:14" x14ac:dyDescent="0.35">
      <c r="A159" s="564" t="s">
        <v>1451</v>
      </c>
      <c r="C159" t="s">
        <v>1471</v>
      </c>
      <c r="D159" s="1" t="s">
        <v>383</v>
      </c>
      <c r="E159" s="107">
        <v>14</v>
      </c>
      <c r="L159" s="101"/>
      <c r="M159" s="483"/>
      <c r="N159" s="483"/>
    </row>
    <row r="160" spans="1:14" x14ac:dyDescent="0.35">
      <c r="A160" s="564" t="s">
        <v>1450</v>
      </c>
      <c r="C160" t="s">
        <v>1470</v>
      </c>
      <c r="D160" s="1" t="s">
        <v>383</v>
      </c>
      <c r="E160" s="107">
        <v>6</v>
      </c>
      <c r="L160" s="101"/>
      <c r="M160" s="483"/>
      <c r="N160" s="483"/>
    </row>
    <row r="161" spans="1:14" x14ac:dyDescent="0.35">
      <c r="A161" s="564" t="s">
        <v>1453</v>
      </c>
      <c r="C161" t="s">
        <v>1473</v>
      </c>
      <c r="D161" s="1" t="s">
        <v>383</v>
      </c>
      <c r="E161" s="107">
        <v>0</v>
      </c>
      <c r="F161" s="482"/>
      <c r="L161" s="101"/>
      <c r="M161" s="483"/>
      <c r="N161" s="483"/>
    </row>
    <row r="162" spans="1:14" x14ac:dyDescent="0.35">
      <c r="A162" s="564" t="s">
        <v>1436</v>
      </c>
      <c r="C162" t="s">
        <v>1456</v>
      </c>
      <c r="D162" s="1" t="s">
        <v>383</v>
      </c>
      <c r="E162" s="107">
        <v>35</v>
      </c>
      <c r="L162" s="101"/>
      <c r="M162" s="483"/>
      <c r="N162" s="483"/>
    </row>
    <row r="163" spans="1:14" x14ac:dyDescent="0.35">
      <c r="A163" s="564" t="s">
        <v>1435</v>
      </c>
      <c r="C163" t="s">
        <v>1455</v>
      </c>
      <c r="D163" s="1" t="s">
        <v>383</v>
      </c>
      <c r="E163" s="107">
        <v>35</v>
      </c>
      <c r="L163" s="101"/>
      <c r="M163" s="483"/>
      <c r="N163" s="483"/>
    </row>
    <row r="164" spans="1:14" x14ac:dyDescent="0.35">
      <c r="A164" s="564" t="s">
        <v>1434</v>
      </c>
      <c r="C164" t="s">
        <v>1454</v>
      </c>
      <c r="D164" s="1" t="s">
        <v>383</v>
      </c>
      <c r="E164" s="107">
        <v>19</v>
      </c>
      <c r="L164" s="101"/>
      <c r="M164" s="483"/>
      <c r="N164" s="483"/>
    </row>
    <row r="165" spans="1:14" x14ac:dyDescent="0.35">
      <c r="A165" s="564" t="s">
        <v>1437</v>
      </c>
      <c r="C165" t="s">
        <v>1457</v>
      </c>
      <c r="D165" s="1" t="s">
        <v>383</v>
      </c>
      <c r="E165" s="107">
        <v>15</v>
      </c>
      <c r="L165" s="101"/>
      <c r="M165" s="483"/>
      <c r="N165" s="483"/>
    </row>
    <row r="166" spans="1:14" x14ac:dyDescent="0.35">
      <c r="A166" s="564" t="s">
        <v>1440</v>
      </c>
      <c r="C166" t="s">
        <v>1460</v>
      </c>
      <c r="D166" s="1" t="s">
        <v>383</v>
      </c>
      <c r="E166" s="107">
        <v>28</v>
      </c>
      <c r="L166" s="101"/>
      <c r="M166" s="483"/>
      <c r="N166" s="483"/>
    </row>
    <row r="167" spans="1:14" x14ac:dyDescent="0.35">
      <c r="A167" s="564" t="s">
        <v>1439</v>
      </c>
      <c r="C167" t="s">
        <v>1459</v>
      </c>
      <c r="D167" s="1" t="s">
        <v>383</v>
      </c>
      <c r="E167" s="107">
        <v>27</v>
      </c>
      <c r="L167" s="101"/>
      <c r="M167" s="483"/>
      <c r="N167" s="483"/>
    </row>
    <row r="168" spans="1:14" x14ac:dyDescent="0.35">
      <c r="A168" s="564" t="s">
        <v>1438</v>
      </c>
      <c r="C168" t="s">
        <v>1458</v>
      </c>
      <c r="D168" s="1" t="s">
        <v>383</v>
      </c>
      <c r="E168" s="107">
        <v>8</v>
      </c>
      <c r="L168" s="101"/>
      <c r="M168" s="483"/>
      <c r="N168" s="483"/>
    </row>
    <row r="169" spans="1:14" x14ac:dyDescent="0.35">
      <c r="A169" s="564" t="s">
        <v>1441</v>
      </c>
      <c r="C169" t="s">
        <v>1461</v>
      </c>
      <c r="D169" s="1" t="s">
        <v>383</v>
      </c>
      <c r="E169" s="107">
        <v>12</v>
      </c>
      <c r="L169" s="101"/>
      <c r="M169" s="483"/>
      <c r="N169" s="483"/>
    </row>
    <row r="170" spans="1:14" x14ac:dyDescent="0.35">
      <c r="A170" s="1" t="s">
        <v>1064</v>
      </c>
      <c r="C170" t="s">
        <v>1066</v>
      </c>
      <c r="D170" s="1" t="s">
        <v>383</v>
      </c>
      <c r="E170" s="107">
        <v>100</v>
      </c>
      <c r="F170" s="482"/>
      <c r="L170" s="101"/>
      <c r="M170" s="483"/>
      <c r="N170" s="483"/>
    </row>
    <row r="171" spans="1:14" x14ac:dyDescent="0.35">
      <c r="A171" s="1" t="s">
        <v>1065</v>
      </c>
      <c r="C171" t="s">
        <v>1067</v>
      </c>
      <c r="D171" s="1" t="s">
        <v>383</v>
      </c>
      <c r="E171" s="107">
        <v>500</v>
      </c>
      <c r="F171" s="482"/>
      <c r="L171" s="101"/>
      <c r="M171" s="483"/>
      <c r="N171" s="483"/>
    </row>
    <row r="172" spans="1:14" x14ac:dyDescent="0.35">
      <c r="A172" s="1" t="s">
        <v>427</v>
      </c>
      <c r="B172" s="1" t="s">
        <v>427</v>
      </c>
      <c r="C172" t="s">
        <v>428</v>
      </c>
      <c r="D172" s="1" t="s">
        <v>383</v>
      </c>
      <c r="E172" s="107">
        <v>0</v>
      </c>
      <c r="F172" s="480">
        <v>0</v>
      </c>
      <c r="L172" s="101"/>
      <c r="M172" s="483"/>
      <c r="N172" s="483"/>
    </row>
    <row r="173" spans="1:14" x14ac:dyDescent="0.35">
      <c r="A173" s="1" t="s">
        <v>429</v>
      </c>
      <c r="B173" s="1" t="s">
        <v>429</v>
      </c>
      <c r="C173" t="s">
        <v>430</v>
      </c>
      <c r="D173" s="1" t="s">
        <v>383</v>
      </c>
      <c r="E173" s="107">
        <v>0</v>
      </c>
      <c r="F173" s="480">
        <v>0</v>
      </c>
      <c r="L173" s="101"/>
      <c r="M173" s="483"/>
      <c r="N173" s="483"/>
    </row>
    <row r="174" spans="1:14" x14ac:dyDescent="0.35">
      <c r="A174" s="1" t="s">
        <v>713</v>
      </c>
      <c r="B174" s="1" t="s">
        <v>713</v>
      </c>
      <c r="C174" t="s">
        <v>721</v>
      </c>
      <c r="D174" s="1" t="s">
        <v>383</v>
      </c>
      <c r="E174" s="107">
        <v>50</v>
      </c>
      <c r="F174" s="480" t="s">
        <v>861</v>
      </c>
      <c r="L174" s="101"/>
      <c r="M174" s="483"/>
      <c r="N174" s="483"/>
    </row>
    <row r="175" spans="1:14" x14ac:dyDescent="0.35">
      <c r="A175" s="1" t="s">
        <v>714</v>
      </c>
      <c r="B175" s="1" t="s">
        <v>714</v>
      </c>
      <c r="C175" t="s">
        <v>722</v>
      </c>
      <c r="D175" s="1" t="s">
        <v>383</v>
      </c>
      <c r="E175" s="107">
        <v>50</v>
      </c>
      <c r="F175" s="480" t="s">
        <v>861</v>
      </c>
      <c r="L175" s="101"/>
      <c r="M175" s="483"/>
      <c r="N175" s="483"/>
    </row>
    <row r="176" spans="1:14" x14ac:dyDescent="0.35">
      <c r="A176" s="1" t="s">
        <v>715</v>
      </c>
      <c r="B176" s="1" t="s">
        <v>715</v>
      </c>
      <c r="C176" t="s">
        <v>723</v>
      </c>
      <c r="D176" s="1" t="s">
        <v>383</v>
      </c>
      <c r="E176" s="107">
        <v>50</v>
      </c>
      <c r="F176" s="480" t="s">
        <v>861</v>
      </c>
      <c r="L176" s="101"/>
      <c r="M176" s="483"/>
      <c r="N176" s="483"/>
    </row>
    <row r="177" spans="1:14" x14ac:dyDescent="0.35">
      <c r="A177" s="1" t="s">
        <v>716</v>
      </c>
      <c r="B177" s="1" t="s">
        <v>716</v>
      </c>
      <c r="C177" t="s">
        <v>724</v>
      </c>
      <c r="D177" s="1" t="s">
        <v>383</v>
      </c>
      <c r="E177" s="107">
        <v>50</v>
      </c>
      <c r="F177" s="480" t="s">
        <v>861</v>
      </c>
      <c r="L177" s="101"/>
      <c r="M177" s="483"/>
      <c r="N177" s="483"/>
    </row>
    <row r="178" spans="1:14" x14ac:dyDescent="0.35">
      <c r="A178" s="1" t="s">
        <v>725</v>
      </c>
      <c r="B178" s="1" t="s">
        <v>725</v>
      </c>
      <c r="C178" t="s">
        <v>726</v>
      </c>
      <c r="D178" s="1" t="s">
        <v>383</v>
      </c>
      <c r="E178" s="107">
        <v>1330</v>
      </c>
      <c r="F178" s="480" t="s">
        <v>861</v>
      </c>
      <c r="L178" s="101"/>
      <c r="M178" s="483"/>
      <c r="N178" s="483"/>
    </row>
    <row r="179" spans="1:14" x14ac:dyDescent="0.35">
      <c r="A179" s="1" t="s">
        <v>727</v>
      </c>
      <c r="B179" s="1" t="s">
        <v>727</v>
      </c>
      <c r="C179" t="s">
        <v>728</v>
      </c>
      <c r="D179" s="1" t="s">
        <v>383</v>
      </c>
      <c r="E179" s="107">
        <v>2400</v>
      </c>
      <c r="F179" s="480" t="s">
        <v>861</v>
      </c>
      <c r="L179" s="101"/>
      <c r="M179" s="483"/>
      <c r="N179" s="483"/>
    </row>
    <row r="180" spans="1:14" x14ac:dyDescent="0.35">
      <c r="A180" s="1" t="s">
        <v>729</v>
      </c>
      <c r="B180" s="1" t="s">
        <v>729</v>
      </c>
      <c r="C180" t="s">
        <v>730</v>
      </c>
      <c r="D180" s="1" t="s">
        <v>383</v>
      </c>
      <c r="E180" s="107">
        <v>1000</v>
      </c>
      <c r="F180" s="480" t="s">
        <v>861</v>
      </c>
      <c r="L180" s="101"/>
      <c r="M180" s="483"/>
      <c r="N180" s="483"/>
    </row>
    <row r="181" spans="1:14" x14ac:dyDescent="0.35">
      <c r="A181" s="1" t="s">
        <v>731</v>
      </c>
      <c r="B181" s="1" t="s">
        <v>731</v>
      </c>
      <c r="C181" t="s">
        <v>732</v>
      </c>
      <c r="D181" s="1" t="s">
        <v>383</v>
      </c>
      <c r="E181" s="107">
        <v>2400</v>
      </c>
      <c r="F181" s="480" t="s">
        <v>861</v>
      </c>
      <c r="L181" s="101"/>
      <c r="M181" s="483"/>
      <c r="N181" s="483"/>
    </row>
    <row r="182" spans="1:14" x14ac:dyDescent="0.35">
      <c r="A182" s="1" t="s">
        <v>733</v>
      </c>
      <c r="B182" s="1" t="s">
        <v>733</v>
      </c>
      <c r="C182" t="s">
        <v>734</v>
      </c>
      <c r="D182" s="1" t="s">
        <v>383</v>
      </c>
      <c r="E182" s="107">
        <v>2600</v>
      </c>
      <c r="F182" s="480" t="s">
        <v>861</v>
      </c>
      <c r="L182" s="101"/>
      <c r="M182" s="483"/>
      <c r="N182" s="483"/>
    </row>
    <row r="183" spans="1:14" x14ac:dyDescent="0.35">
      <c r="A183" s="1" t="s">
        <v>735</v>
      </c>
      <c r="B183" s="1" t="s">
        <v>735</v>
      </c>
      <c r="C183" t="s">
        <v>736</v>
      </c>
      <c r="D183" s="1" t="s">
        <v>383</v>
      </c>
      <c r="E183" s="107">
        <v>2700</v>
      </c>
      <c r="F183" s="480" t="s">
        <v>861</v>
      </c>
      <c r="L183" s="101"/>
      <c r="M183" s="483"/>
      <c r="N183" s="483"/>
    </row>
    <row r="184" spans="1:14" x14ac:dyDescent="0.35">
      <c r="A184" s="1" t="s">
        <v>737</v>
      </c>
      <c r="B184" s="1" t="s">
        <v>737</v>
      </c>
      <c r="C184" t="s">
        <v>738</v>
      </c>
      <c r="D184" s="1" t="s">
        <v>383</v>
      </c>
      <c r="E184" s="107">
        <v>2400</v>
      </c>
      <c r="F184" s="480" t="s">
        <v>861</v>
      </c>
      <c r="L184" s="101"/>
      <c r="M184" s="483"/>
      <c r="N184" s="483"/>
    </row>
    <row r="185" spans="1:14" x14ac:dyDescent="0.35">
      <c r="A185" s="1" t="s">
        <v>739</v>
      </c>
      <c r="B185" s="1" t="s">
        <v>739</v>
      </c>
      <c r="C185" t="s">
        <v>740</v>
      </c>
      <c r="D185" s="1" t="s">
        <v>383</v>
      </c>
      <c r="E185" s="107">
        <v>2500</v>
      </c>
      <c r="F185" s="480" t="s">
        <v>861</v>
      </c>
      <c r="L185" s="101"/>
      <c r="M185" s="483"/>
      <c r="N185" s="483"/>
    </row>
    <row r="186" spans="1:14" x14ac:dyDescent="0.35">
      <c r="A186" s="1" t="s">
        <v>717</v>
      </c>
      <c r="B186" s="1" t="s">
        <v>717</v>
      </c>
      <c r="C186" t="s">
        <v>741</v>
      </c>
      <c r="D186" s="1" t="s">
        <v>383</v>
      </c>
      <c r="E186" s="107">
        <v>0</v>
      </c>
      <c r="F186" s="480" t="s">
        <v>861</v>
      </c>
      <c r="L186" s="101"/>
      <c r="M186" s="483"/>
      <c r="N186" s="483"/>
    </row>
    <row r="187" spans="1:14" x14ac:dyDescent="0.35">
      <c r="A187" s="1" t="s">
        <v>718</v>
      </c>
      <c r="B187" s="1" t="s">
        <v>718</v>
      </c>
      <c r="C187" t="s">
        <v>742</v>
      </c>
      <c r="D187" s="1" t="s">
        <v>383</v>
      </c>
      <c r="E187" s="107">
        <v>0</v>
      </c>
      <c r="F187" s="480" t="s">
        <v>861</v>
      </c>
      <c r="L187" s="101"/>
      <c r="M187" s="483"/>
      <c r="N187" s="483"/>
    </row>
    <row r="188" spans="1:14" x14ac:dyDescent="0.35">
      <c r="A188" s="1" t="s">
        <v>719</v>
      </c>
      <c r="B188" s="1" t="s">
        <v>719</v>
      </c>
      <c r="C188" t="s">
        <v>743</v>
      </c>
      <c r="D188" s="1" t="s">
        <v>383</v>
      </c>
      <c r="E188" s="107">
        <v>0</v>
      </c>
      <c r="F188" s="480" t="s">
        <v>861</v>
      </c>
      <c r="L188" s="101"/>
      <c r="M188" s="483"/>
      <c r="N188" s="483"/>
    </row>
    <row r="189" spans="1:14" x14ac:dyDescent="0.35">
      <c r="A189" s="1" t="s">
        <v>720</v>
      </c>
      <c r="B189" s="1" t="s">
        <v>720</v>
      </c>
      <c r="C189" t="s">
        <v>744</v>
      </c>
      <c r="D189" s="1" t="s">
        <v>383</v>
      </c>
      <c r="E189" s="107">
        <v>0</v>
      </c>
      <c r="F189" s="480" t="s">
        <v>861</v>
      </c>
      <c r="L189" s="101"/>
      <c r="M189" s="483"/>
      <c r="N189" s="483"/>
    </row>
    <row r="190" spans="1:14" x14ac:dyDescent="0.35">
      <c r="A190" s="1" t="s">
        <v>745</v>
      </c>
      <c r="B190" s="1" t="s">
        <v>745</v>
      </c>
      <c r="C190" t="s">
        <v>746</v>
      </c>
      <c r="D190" s="1" t="s">
        <v>383</v>
      </c>
      <c r="E190" s="107">
        <v>0</v>
      </c>
      <c r="F190" s="480" t="s">
        <v>861</v>
      </c>
      <c r="L190" s="101"/>
      <c r="M190" s="483"/>
      <c r="N190" s="483"/>
    </row>
    <row r="191" spans="1:14" x14ac:dyDescent="0.35">
      <c r="A191" s="1" t="s">
        <v>747</v>
      </c>
      <c r="B191" s="1" t="s">
        <v>747</v>
      </c>
      <c r="C191" t="s">
        <v>748</v>
      </c>
      <c r="D191" s="1" t="s">
        <v>383</v>
      </c>
      <c r="E191" s="107">
        <v>0</v>
      </c>
      <c r="F191" s="480" t="s">
        <v>861</v>
      </c>
      <c r="L191" s="101"/>
      <c r="M191" s="483"/>
      <c r="N191" s="483"/>
    </row>
    <row r="192" spans="1:14" x14ac:dyDescent="0.35">
      <c r="A192" s="1" t="s">
        <v>749</v>
      </c>
      <c r="B192" s="1" t="s">
        <v>749</v>
      </c>
      <c r="C192" t="s">
        <v>750</v>
      </c>
      <c r="D192" s="1" t="s">
        <v>383</v>
      </c>
      <c r="E192" s="107">
        <v>2000</v>
      </c>
      <c r="F192" s="480" t="s">
        <v>861</v>
      </c>
      <c r="L192" s="101"/>
      <c r="M192" s="483"/>
      <c r="N192" s="483"/>
    </row>
    <row r="193" spans="1:14" x14ac:dyDescent="0.35">
      <c r="A193" s="1" t="s">
        <v>1039</v>
      </c>
      <c r="C193" t="s">
        <v>1047</v>
      </c>
      <c r="D193" s="1" t="s">
        <v>383</v>
      </c>
      <c r="E193" s="107"/>
      <c r="F193" s="480" t="s">
        <v>861</v>
      </c>
      <c r="L193" s="101"/>
      <c r="M193" s="483"/>
      <c r="N193" s="483"/>
    </row>
    <row r="194" spans="1:14" x14ac:dyDescent="0.35">
      <c r="A194" s="1" t="s">
        <v>1040</v>
      </c>
      <c r="C194" t="s">
        <v>1048</v>
      </c>
      <c r="D194" s="1" t="s">
        <v>383</v>
      </c>
      <c r="E194" s="107"/>
      <c r="F194" s="480" t="s">
        <v>861</v>
      </c>
      <c r="L194" s="101"/>
      <c r="M194" s="483"/>
      <c r="N194" s="483"/>
    </row>
    <row r="195" spans="1:14" x14ac:dyDescent="0.35">
      <c r="A195" s="1" t="s">
        <v>1041</v>
      </c>
      <c r="C195" t="s">
        <v>1049</v>
      </c>
      <c r="D195" s="1" t="s">
        <v>383</v>
      </c>
      <c r="E195" s="107"/>
      <c r="F195" s="480" t="s">
        <v>861</v>
      </c>
      <c r="L195" s="101"/>
      <c r="M195" s="483"/>
      <c r="N195" s="483"/>
    </row>
    <row r="196" spans="1:14" x14ac:dyDescent="0.35">
      <c r="A196" s="1" t="s">
        <v>1042</v>
      </c>
      <c r="C196" t="s">
        <v>1050</v>
      </c>
      <c r="D196" s="1" t="s">
        <v>383</v>
      </c>
      <c r="E196" s="107"/>
      <c r="F196" s="480" t="s">
        <v>861</v>
      </c>
      <c r="L196" s="101"/>
      <c r="M196" s="483"/>
      <c r="N196" s="483"/>
    </row>
    <row r="197" spans="1:14" x14ac:dyDescent="0.35">
      <c r="A197" s="1" t="s">
        <v>1043</v>
      </c>
      <c r="C197" t="s">
        <v>1051</v>
      </c>
      <c r="D197" s="1" t="s">
        <v>383</v>
      </c>
      <c r="E197" s="107"/>
      <c r="F197" s="480" t="s">
        <v>861</v>
      </c>
      <c r="L197" s="101"/>
      <c r="M197" s="483"/>
      <c r="N197" s="483"/>
    </row>
    <row r="198" spans="1:14" x14ac:dyDescent="0.35">
      <c r="A198" s="1" t="s">
        <v>1044</v>
      </c>
      <c r="C198" t="s">
        <v>1052</v>
      </c>
      <c r="D198" s="1" t="s">
        <v>383</v>
      </c>
      <c r="E198" s="107"/>
      <c r="F198" s="480" t="s">
        <v>861</v>
      </c>
      <c r="L198" s="101"/>
      <c r="M198" s="483"/>
      <c r="N198" s="483"/>
    </row>
    <row r="199" spans="1:14" x14ac:dyDescent="0.35">
      <c r="A199" s="1" t="s">
        <v>1045</v>
      </c>
      <c r="C199" t="s">
        <v>1053</v>
      </c>
      <c r="D199" s="1" t="s">
        <v>383</v>
      </c>
      <c r="E199" s="107"/>
      <c r="F199" s="480" t="s">
        <v>861</v>
      </c>
      <c r="L199" s="101"/>
      <c r="M199" s="483"/>
      <c r="N199" s="483"/>
    </row>
    <row r="200" spans="1:14" x14ac:dyDescent="0.35">
      <c r="A200" s="1" t="s">
        <v>1046</v>
      </c>
      <c r="C200" t="s">
        <v>1054</v>
      </c>
      <c r="D200" s="1" t="s">
        <v>383</v>
      </c>
      <c r="E200" s="107"/>
      <c r="F200" s="482" t="s">
        <v>861</v>
      </c>
      <c r="L200" s="101"/>
      <c r="M200" s="483"/>
      <c r="N200" s="483"/>
    </row>
    <row r="201" spans="1:14" x14ac:dyDescent="0.35">
      <c r="A201" s="1" t="s">
        <v>431</v>
      </c>
      <c r="B201" s="1" t="s">
        <v>431</v>
      </c>
      <c r="C201" t="s">
        <v>432</v>
      </c>
      <c r="D201" s="1" t="s">
        <v>383</v>
      </c>
      <c r="E201" s="107">
        <v>0</v>
      </c>
      <c r="F201" s="480">
        <v>0</v>
      </c>
      <c r="L201" s="101"/>
      <c r="M201" s="483"/>
      <c r="N201" s="483"/>
    </row>
    <row r="202" spans="1:14" x14ac:dyDescent="0.35">
      <c r="A202" s="1" t="s">
        <v>433</v>
      </c>
      <c r="B202" s="1" t="s">
        <v>433</v>
      </c>
      <c r="C202" t="s">
        <v>434</v>
      </c>
      <c r="D202" s="1" t="s">
        <v>383</v>
      </c>
      <c r="E202" s="107">
        <v>0</v>
      </c>
      <c r="F202" s="480">
        <v>0</v>
      </c>
      <c r="L202" s="101"/>
      <c r="M202" s="483"/>
      <c r="N202" s="483"/>
    </row>
    <row r="203" spans="1:14" x14ac:dyDescent="0.35">
      <c r="A203" s="1" t="s">
        <v>751</v>
      </c>
      <c r="B203" s="1" t="s">
        <v>751</v>
      </c>
      <c r="C203" t="s">
        <v>752</v>
      </c>
      <c r="D203" s="1" t="s">
        <v>383</v>
      </c>
      <c r="E203" s="107">
        <v>7120</v>
      </c>
      <c r="F203" s="480" t="s">
        <v>861</v>
      </c>
      <c r="L203" s="101"/>
      <c r="M203" s="483"/>
      <c r="N203" s="483"/>
    </row>
    <row r="204" spans="1:14" x14ac:dyDescent="0.35">
      <c r="A204" s="1" t="s">
        <v>753</v>
      </c>
      <c r="B204" s="1" t="s">
        <v>753</v>
      </c>
      <c r="C204" t="s">
        <v>754</v>
      </c>
      <c r="D204" s="1" t="s">
        <v>383</v>
      </c>
      <c r="E204" s="107">
        <v>10490</v>
      </c>
      <c r="F204" s="480" t="s">
        <v>861</v>
      </c>
      <c r="L204" s="101"/>
      <c r="M204" s="483"/>
      <c r="N204" s="483"/>
    </row>
    <row r="205" spans="1:14" x14ac:dyDescent="0.35">
      <c r="A205" s="1" t="s">
        <v>755</v>
      </c>
      <c r="B205" s="1" t="s">
        <v>755</v>
      </c>
      <c r="C205" t="s">
        <v>756</v>
      </c>
      <c r="D205" s="1" t="s">
        <v>383</v>
      </c>
      <c r="E205" s="107">
        <v>200</v>
      </c>
      <c r="F205" s="480" t="s">
        <v>861</v>
      </c>
      <c r="L205" s="101"/>
      <c r="M205" s="483"/>
      <c r="N205" s="483"/>
    </row>
    <row r="206" spans="1:14" x14ac:dyDescent="0.35">
      <c r="A206" s="1" t="s">
        <v>757</v>
      </c>
      <c r="B206" s="1" t="s">
        <v>757</v>
      </c>
      <c r="C206" t="s">
        <v>758</v>
      </c>
      <c r="D206" s="1" t="s">
        <v>383</v>
      </c>
      <c r="E206" s="107">
        <v>0</v>
      </c>
      <c r="F206" s="480" t="s">
        <v>861</v>
      </c>
      <c r="L206" s="101"/>
      <c r="M206" s="483"/>
      <c r="N206" s="483"/>
    </row>
    <row r="207" spans="1:14" x14ac:dyDescent="0.35">
      <c r="A207" s="1" t="s">
        <v>1666</v>
      </c>
      <c r="B207" s="1" t="s">
        <v>1037</v>
      </c>
      <c r="C207" t="s">
        <v>1668</v>
      </c>
      <c r="D207" s="1" t="s">
        <v>383</v>
      </c>
      <c r="E207" s="107">
        <v>511</v>
      </c>
      <c r="F207" s="480" t="s">
        <v>861</v>
      </c>
      <c r="L207" s="101"/>
      <c r="M207" s="483"/>
      <c r="N207" s="483"/>
    </row>
    <row r="208" spans="1:14" x14ac:dyDescent="0.35">
      <c r="A208" s="1" t="s">
        <v>1667</v>
      </c>
      <c r="B208" s="1" t="s">
        <v>1037</v>
      </c>
      <c r="C208" t="s">
        <v>1669</v>
      </c>
      <c r="D208" s="1" t="s">
        <v>383</v>
      </c>
      <c r="E208" s="107">
        <v>3100</v>
      </c>
      <c r="F208" s="480" t="s">
        <v>861</v>
      </c>
      <c r="L208" s="101"/>
      <c r="M208" s="483"/>
      <c r="N208" s="483"/>
    </row>
    <row r="209" spans="1:14" x14ac:dyDescent="0.35">
      <c r="A209" s="1" t="s">
        <v>1031</v>
      </c>
      <c r="C209" t="s">
        <v>1030</v>
      </c>
      <c r="D209" s="1" t="s">
        <v>383</v>
      </c>
      <c r="E209" s="107"/>
      <c r="F209" s="480" t="s">
        <v>861</v>
      </c>
      <c r="L209" s="101"/>
      <c r="M209" s="483"/>
      <c r="N209" s="483"/>
    </row>
    <row r="210" spans="1:14" x14ac:dyDescent="0.35">
      <c r="A210" s="1" t="s">
        <v>1032</v>
      </c>
      <c r="C210" t="s">
        <v>1033</v>
      </c>
      <c r="D210" s="1" t="s">
        <v>383</v>
      </c>
      <c r="E210" s="107"/>
      <c r="F210" s="480" t="s">
        <v>861</v>
      </c>
      <c r="L210" s="101"/>
      <c r="M210" s="483"/>
      <c r="N210" s="483"/>
    </row>
    <row r="211" spans="1:14" x14ac:dyDescent="0.35">
      <c r="A211" s="1" t="s">
        <v>1036</v>
      </c>
      <c r="B211" s="1" t="s">
        <v>1036</v>
      </c>
      <c r="C211" t="s">
        <v>1034</v>
      </c>
      <c r="D211" s="1" t="s">
        <v>383</v>
      </c>
      <c r="E211" s="107">
        <v>0</v>
      </c>
      <c r="F211" s="480" t="s">
        <v>861</v>
      </c>
      <c r="L211" s="101"/>
      <c r="M211" s="483"/>
      <c r="N211" s="483"/>
    </row>
    <row r="212" spans="1:14" x14ac:dyDescent="0.35">
      <c r="A212" s="1" t="s">
        <v>1018</v>
      </c>
      <c r="B212" s="1" t="s">
        <v>1018</v>
      </c>
      <c r="C212" t="s">
        <v>1404</v>
      </c>
      <c r="D212" s="1" t="s">
        <v>383</v>
      </c>
      <c r="E212" s="107">
        <v>2000</v>
      </c>
      <c r="F212" s="482"/>
      <c r="L212" s="101"/>
      <c r="M212" s="483"/>
      <c r="N212" s="483"/>
    </row>
    <row r="213" spans="1:14" x14ac:dyDescent="0.35">
      <c r="A213" s="1" t="s">
        <v>1398</v>
      </c>
      <c r="C213" t="s">
        <v>1403</v>
      </c>
      <c r="D213" s="1" t="s">
        <v>383</v>
      </c>
      <c r="E213" s="107">
        <v>0</v>
      </c>
      <c r="L213" s="101"/>
      <c r="M213" s="483"/>
      <c r="N213" s="483"/>
    </row>
    <row r="214" spans="1:14" x14ac:dyDescent="0.35">
      <c r="A214" s="1" t="s">
        <v>1399</v>
      </c>
      <c r="C214" t="s">
        <v>1405</v>
      </c>
      <c r="D214" s="1" t="s">
        <v>383</v>
      </c>
      <c r="E214" s="107">
        <v>0</v>
      </c>
      <c r="L214" s="101"/>
      <c r="M214" s="483"/>
      <c r="N214" s="483"/>
    </row>
    <row r="215" spans="1:14" x14ac:dyDescent="0.35">
      <c r="A215" s="1" t="s">
        <v>1400</v>
      </c>
      <c r="C215" t="s">
        <v>1406</v>
      </c>
      <c r="D215" s="1" t="s">
        <v>383</v>
      </c>
      <c r="E215" s="107">
        <v>0</v>
      </c>
      <c r="L215" s="101"/>
      <c r="M215" s="483"/>
      <c r="N215" s="483"/>
    </row>
    <row r="216" spans="1:14" x14ac:dyDescent="0.35">
      <c r="A216" s="1" t="s">
        <v>1401</v>
      </c>
      <c r="C216" t="s">
        <v>1407</v>
      </c>
      <c r="D216" s="1" t="s">
        <v>383</v>
      </c>
      <c r="E216" s="107">
        <v>0</v>
      </c>
      <c r="L216" s="101"/>
      <c r="M216" s="483"/>
      <c r="N216" s="483"/>
    </row>
    <row r="217" spans="1:14" x14ac:dyDescent="0.35">
      <c r="A217" s="1" t="s">
        <v>1402</v>
      </c>
      <c r="C217" t="s">
        <v>1408</v>
      </c>
      <c r="D217" s="1" t="s">
        <v>383</v>
      </c>
      <c r="E217" s="107">
        <v>0</v>
      </c>
      <c r="F217" s="482"/>
      <c r="L217" s="101"/>
      <c r="M217" s="483"/>
      <c r="N217" s="483"/>
    </row>
    <row r="218" spans="1:14" x14ac:dyDescent="0.35">
      <c r="A218" s="1" t="s">
        <v>1156</v>
      </c>
      <c r="C218" t="s">
        <v>1158</v>
      </c>
      <c r="D218" s="1" t="s">
        <v>383</v>
      </c>
      <c r="E218" s="107"/>
      <c r="L218" s="101"/>
      <c r="M218" s="483"/>
      <c r="N218" s="483"/>
    </row>
    <row r="219" spans="1:14" x14ac:dyDescent="0.35">
      <c r="A219" s="1" t="s">
        <v>1157</v>
      </c>
      <c r="C219" t="s">
        <v>1159</v>
      </c>
      <c r="D219" s="1" t="s">
        <v>383</v>
      </c>
      <c r="E219" s="107"/>
      <c r="F219" s="482"/>
      <c r="L219" s="101"/>
      <c r="M219" s="483"/>
      <c r="N219" s="483"/>
    </row>
    <row r="220" spans="1:14" x14ac:dyDescent="0.35">
      <c r="A220" s="1" t="s">
        <v>766</v>
      </c>
      <c r="B220" s="1" t="s">
        <v>766</v>
      </c>
      <c r="C220" t="s">
        <v>804</v>
      </c>
      <c r="D220" s="1" t="s">
        <v>383</v>
      </c>
      <c r="E220" s="560">
        <v>267</v>
      </c>
      <c r="F220" s="480" t="s">
        <v>861</v>
      </c>
      <c r="L220" s="101"/>
      <c r="M220" s="483"/>
      <c r="N220" s="483"/>
    </row>
    <row r="221" spans="1:14" x14ac:dyDescent="0.35">
      <c r="A221" s="1" t="s">
        <v>767</v>
      </c>
      <c r="B221" s="1" t="s">
        <v>767</v>
      </c>
      <c r="C221" t="s">
        <v>805</v>
      </c>
      <c r="D221" s="1" t="s">
        <v>383</v>
      </c>
      <c r="E221" s="560">
        <v>268</v>
      </c>
      <c r="F221" s="480" t="s">
        <v>861</v>
      </c>
      <c r="L221" s="101"/>
      <c r="M221" s="483"/>
      <c r="N221" s="483"/>
    </row>
    <row r="222" spans="1:14" x14ac:dyDescent="0.35">
      <c r="A222" s="1" t="s">
        <v>768</v>
      </c>
      <c r="B222" s="1" t="s">
        <v>768</v>
      </c>
      <c r="C222" t="s">
        <v>806</v>
      </c>
      <c r="D222" s="1" t="s">
        <v>383</v>
      </c>
      <c r="E222" s="560">
        <v>247</v>
      </c>
      <c r="F222" s="480" t="s">
        <v>861</v>
      </c>
      <c r="L222" s="101"/>
      <c r="M222" s="483"/>
      <c r="N222" s="483"/>
    </row>
    <row r="223" spans="1:14" x14ac:dyDescent="0.35">
      <c r="A223" s="1" t="s">
        <v>769</v>
      </c>
      <c r="B223" s="1" t="s">
        <v>769</v>
      </c>
      <c r="C223" t="s">
        <v>807</v>
      </c>
      <c r="D223" s="1" t="s">
        <v>383</v>
      </c>
      <c r="E223" s="560">
        <v>0</v>
      </c>
      <c r="F223" s="480" t="s">
        <v>861</v>
      </c>
      <c r="L223" s="101"/>
      <c r="M223" s="483"/>
      <c r="N223" s="483"/>
    </row>
    <row r="224" spans="1:14" x14ac:dyDescent="0.35">
      <c r="A224" s="1" t="s">
        <v>770</v>
      </c>
      <c r="B224" s="1" t="s">
        <v>770</v>
      </c>
      <c r="C224" t="s">
        <v>808</v>
      </c>
      <c r="D224" s="1" t="s">
        <v>383</v>
      </c>
      <c r="E224" s="560">
        <v>119</v>
      </c>
      <c r="F224" s="480" t="s">
        <v>861</v>
      </c>
      <c r="L224" s="101"/>
      <c r="M224" s="483"/>
      <c r="N224" s="483"/>
    </row>
    <row r="225" spans="1:14" x14ac:dyDescent="0.35">
      <c r="A225" s="1" t="s">
        <v>771</v>
      </c>
      <c r="B225" s="1" t="s">
        <v>771</v>
      </c>
      <c r="C225" t="s">
        <v>809</v>
      </c>
      <c r="D225" s="1" t="s">
        <v>383</v>
      </c>
      <c r="E225" s="560">
        <v>0</v>
      </c>
      <c r="F225" s="480" t="s">
        <v>861</v>
      </c>
      <c r="L225" s="101"/>
      <c r="M225" s="483"/>
      <c r="N225" s="483"/>
    </row>
    <row r="226" spans="1:14" x14ac:dyDescent="0.35">
      <c r="A226" s="1" t="s">
        <v>772</v>
      </c>
      <c r="B226" s="1" t="s">
        <v>772</v>
      </c>
      <c r="C226" t="s">
        <v>810</v>
      </c>
      <c r="D226" s="1" t="s">
        <v>383</v>
      </c>
      <c r="E226" s="560">
        <v>169</v>
      </c>
      <c r="F226" s="480" t="s">
        <v>861</v>
      </c>
      <c r="L226" s="101"/>
      <c r="M226" s="483"/>
      <c r="N226" s="483"/>
    </row>
    <row r="227" spans="1:14" x14ac:dyDescent="0.35">
      <c r="A227" s="1" t="s">
        <v>773</v>
      </c>
      <c r="B227" s="1" t="s">
        <v>773</v>
      </c>
      <c r="C227" t="s">
        <v>811</v>
      </c>
      <c r="D227" s="1" t="s">
        <v>383</v>
      </c>
      <c r="E227" s="560">
        <v>269</v>
      </c>
      <c r="F227" s="480" t="s">
        <v>861</v>
      </c>
      <c r="L227" s="101"/>
      <c r="M227" s="483"/>
      <c r="N227" s="483"/>
    </row>
    <row r="228" spans="1:14" x14ac:dyDescent="0.35">
      <c r="A228" s="1" t="s">
        <v>774</v>
      </c>
      <c r="B228" s="1" t="s">
        <v>774</v>
      </c>
      <c r="C228" t="s">
        <v>812</v>
      </c>
      <c r="D228" s="1" t="s">
        <v>383</v>
      </c>
      <c r="E228" s="560">
        <v>169</v>
      </c>
      <c r="F228" s="480" t="s">
        <v>861</v>
      </c>
      <c r="L228" s="101"/>
      <c r="M228" s="483"/>
      <c r="N228" s="483"/>
    </row>
    <row r="229" spans="1:14" x14ac:dyDescent="0.35">
      <c r="A229" s="1" t="s">
        <v>775</v>
      </c>
      <c r="B229" s="1" t="s">
        <v>775</v>
      </c>
      <c r="C229" t="s">
        <v>813</v>
      </c>
      <c r="D229" s="1" t="s">
        <v>383</v>
      </c>
      <c r="E229" s="560">
        <v>0</v>
      </c>
      <c r="F229" s="480" t="s">
        <v>861</v>
      </c>
      <c r="L229" s="101"/>
      <c r="M229" s="483"/>
      <c r="N229" s="483"/>
    </row>
    <row r="230" spans="1:14" x14ac:dyDescent="0.35">
      <c r="A230" s="1" t="s">
        <v>776</v>
      </c>
      <c r="B230" s="1" t="s">
        <v>776</v>
      </c>
      <c r="C230" t="s">
        <v>814</v>
      </c>
      <c r="D230" s="1" t="s">
        <v>383</v>
      </c>
      <c r="E230" s="560">
        <v>0</v>
      </c>
      <c r="F230" s="480" t="s">
        <v>861</v>
      </c>
      <c r="L230" s="101"/>
      <c r="M230" s="483"/>
      <c r="N230" s="483"/>
    </row>
    <row r="231" spans="1:14" x14ac:dyDescent="0.35">
      <c r="A231" s="1" t="s">
        <v>777</v>
      </c>
      <c r="B231" s="1" t="s">
        <v>777</v>
      </c>
      <c r="C231" t="s">
        <v>815</v>
      </c>
      <c r="D231" s="1" t="s">
        <v>383</v>
      </c>
      <c r="E231" s="560">
        <v>69</v>
      </c>
      <c r="F231" s="480" t="s">
        <v>861</v>
      </c>
      <c r="L231" s="101"/>
      <c r="M231" s="483"/>
      <c r="N231" s="483"/>
    </row>
    <row r="232" spans="1:14" x14ac:dyDescent="0.35">
      <c r="A232" s="1" t="s">
        <v>778</v>
      </c>
      <c r="B232" s="1" t="s">
        <v>778</v>
      </c>
      <c r="C232" t="s">
        <v>816</v>
      </c>
      <c r="D232" s="1" t="s">
        <v>383</v>
      </c>
      <c r="E232" s="560">
        <v>69</v>
      </c>
      <c r="F232" s="480" t="s">
        <v>861</v>
      </c>
      <c r="L232" s="101"/>
      <c r="M232" s="483"/>
      <c r="N232" s="483"/>
    </row>
    <row r="233" spans="1:14" x14ac:dyDescent="0.35">
      <c r="A233" s="1" t="s">
        <v>779</v>
      </c>
      <c r="B233" s="1" t="s">
        <v>779</v>
      </c>
      <c r="C233" t="s">
        <v>817</v>
      </c>
      <c r="D233" s="1" t="s">
        <v>383</v>
      </c>
      <c r="E233" s="560">
        <v>69</v>
      </c>
      <c r="F233" s="480" t="s">
        <v>861</v>
      </c>
      <c r="L233" s="101"/>
      <c r="M233" s="483"/>
      <c r="N233" s="483"/>
    </row>
    <row r="234" spans="1:14" x14ac:dyDescent="0.35">
      <c r="A234" s="1" t="s">
        <v>780</v>
      </c>
      <c r="B234" s="1" t="s">
        <v>780</v>
      </c>
      <c r="C234" t="s">
        <v>818</v>
      </c>
      <c r="D234" s="1" t="s">
        <v>383</v>
      </c>
      <c r="E234" s="560">
        <v>69</v>
      </c>
      <c r="F234" s="480" t="s">
        <v>861</v>
      </c>
      <c r="L234" s="101"/>
      <c r="M234" s="483"/>
      <c r="N234" s="483"/>
    </row>
    <row r="235" spans="1:14" x14ac:dyDescent="0.35">
      <c r="A235" s="1" t="s">
        <v>781</v>
      </c>
      <c r="B235" s="1" t="s">
        <v>781</v>
      </c>
      <c r="C235" t="s">
        <v>819</v>
      </c>
      <c r="D235" s="1" t="s">
        <v>383</v>
      </c>
      <c r="E235" s="560">
        <v>0</v>
      </c>
      <c r="F235" s="480" t="s">
        <v>861</v>
      </c>
      <c r="L235" s="101"/>
      <c r="M235" s="483"/>
      <c r="N235" s="483"/>
    </row>
    <row r="236" spans="1:14" x14ac:dyDescent="0.35">
      <c r="A236" s="1" t="s">
        <v>782</v>
      </c>
      <c r="B236" s="1" t="s">
        <v>782</v>
      </c>
      <c r="C236" t="s">
        <v>820</v>
      </c>
      <c r="D236" s="1" t="s">
        <v>383</v>
      </c>
      <c r="E236" s="560">
        <v>0</v>
      </c>
      <c r="F236" s="480" t="s">
        <v>861</v>
      </c>
      <c r="L236" s="101"/>
      <c r="M236" s="483"/>
      <c r="N236" s="483"/>
    </row>
    <row r="237" spans="1:14" x14ac:dyDescent="0.35">
      <c r="A237" s="1" t="s">
        <v>783</v>
      </c>
      <c r="B237" s="1" t="s">
        <v>783</v>
      </c>
      <c r="C237" t="s">
        <v>821</v>
      </c>
      <c r="D237" s="1" t="s">
        <v>383</v>
      </c>
      <c r="E237" s="560">
        <v>0</v>
      </c>
      <c r="F237" s="480" t="s">
        <v>861</v>
      </c>
      <c r="L237" s="101"/>
      <c r="M237" s="483"/>
      <c r="N237" s="483"/>
    </row>
    <row r="238" spans="1:14" x14ac:dyDescent="0.35">
      <c r="A238" s="1" t="s">
        <v>784</v>
      </c>
      <c r="B238" s="1" t="s">
        <v>784</v>
      </c>
      <c r="C238" t="s">
        <v>822</v>
      </c>
      <c r="D238" s="1" t="s">
        <v>383</v>
      </c>
      <c r="E238" s="560">
        <v>0</v>
      </c>
      <c r="F238" s="480" t="s">
        <v>861</v>
      </c>
      <c r="L238" s="101"/>
      <c r="M238" s="483"/>
      <c r="N238" s="483"/>
    </row>
    <row r="239" spans="1:14" x14ac:dyDescent="0.35">
      <c r="A239" s="1" t="s">
        <v>785</v>
      </c>
      <c r="B239" s="1" t="s">
        <v>785</v>
      </c>
      <c r="C239" t="s">
        <v>823</v>
      </c>
      <c r="D239" s="1" t="s">
        <v>383</v>
      </c>
      <c r="E239" s="560">
        <v>0</v>
      </c>
      <c r="F239" s="480" t="s">
        <v>861</v>
      </c>
      <c r="L239" s="101"/>
      <c r="M239" s="483"/>
      <c r="N239" s="483"/>
    </row>
    <row r="240" spans="1:14" x14ac:dyDescent="0.35">
      <c r="A240" s="1" t="s">
        <v>786</v>
      </c>
      <c r="B240" s="1" t="s">
        <v>786</v>
      </c>
      <c r="C240" t="s">
        <v>824</v>
      </c>
      <c r="D240" s="1" t="s">
        <v>383</v>
      </c>
      <c r="E240" s="560">
        <v>0</v>
      </c>
      <c r="F240" s="480" t="s">
        <v>861</v>
      </c>
      <c r="L240" s="101"/>
      <c r="M240" s="483"/>
      <c r="N240" s="483"/>
    </row>
    <row r="241" spans="1:14" x14ac:dyDescent="0.35">
      <c r="A241" s="1" t="s">
        <v>787</v>
      </c>
      <c r="B241" s="1" t="s">
        <v>787</v>
      </c>
      <c r="C241" t="s">
        <v>825</v>
      </c>
      <c r="D241" s="1" t="s">
        <v>383</v>
      </c>
      <c r="E241" s="560">
        <v>49</v>
      </c>
      <c r="F241" s="480" t="s">
        <v>861</v>
      </c>
      <c r="L241" s="101"/>
      <c r="M241" s="483"/>
      <c r="N241" s="483"/>
    </row>
    <row r="242" spans="1:14" x14ac:dyDescent="0.35">
      <c r="A242" s="1" t="s">
        <v>788</v>
      </c>
      <c r="B242" s="1" t="s">
        <v>788</v>
      </c>
      <c r="C242" t="s">
        <v>826</v>
      </c>
      <c r="D242" s="1" t="s">
        <v>383</v>
      </c>
      <c r="E242" s="560">
        <v>169</v>
      </c>
      <c r="F242" s="480" t="s">
        <v>861</v>
      </c>
      <c r="L242" s="101"/>
      <c r="M242" s="483"/>
      <c r="N242" s="483"/>
    </row>
    <row r="243" spans="1:14" x14ac:dyDescent="0.35">
      <c r="A243" s="1" t="s">
        <v>789</v>
      </c>
      <c r="B243" s="1" t="s">
        <v>789</v>
      </c>
      <c r="C243" t="s">
        <v>827</v>
      </c>
      <c r="D243" s="1" t="s">
        <v>383</v>
      </c>
      <c r="E243" s="560">
        <v>269</v>
      </c>
      <c r="F243" s="480" t="s">
        <v>861</v>
      </c>
      <c r="L243" s="101"/>
      <c r="M243" s="483"/>
      <c r="N243" s="483"/>
    </row>
    <row r="244" spans="1:14" x14ac:dyDescent="0.35">
      <c r="A244" s="1" t="s">
        <v>790</v>
      </c>
      <c r="B244" s="1" t="s">
        <v>790</v>
      </c>
      <c r="C244" t="s">
        <v>828</v>
      </c>
      <c r="D244" s="1" t="s">
        <v>383</v>
      </c>
      <c r="E244" s="560">
        <v>49</v>
      </c>
      <c r="F244" s="480" t="s">
        <v>861</v>
      </c>
      <c r="L244" s="101"/>
      <c r="M244" s="483"/>
      <c r="N244" s="483"/>
    </row>
    <row r="245" spans="1:14" x14ac:dyDescent="0.35">
      <c r="A245" s="1" t="s">
        <v>791</v>
      </c>
      <c r="B245" s="1" t="s">
        <v>791</v>
      </c>
      <c r="C245" t="s">
        <v>829</v>
      </c>
      <c r="D245" s="1" t="s">
        <v>383</v>
      </c>
      <c r="E245" s="560">
        <v>269</v>
      </c>
      <c r="F245" s="480" t="s">
        <v>861</v>
      </c>
      <c r="L245" s="101"/>
      <c r="M245" s="483"/>
      <c r="N245" s="483"/>
    </row>
    <row r="246" spans="1:14" x14ac:dyDescent="0.35">
      <c r="A246" s="1" t="s">
        <v>792</v>
      </c>
      <c r="B246" s="1" t="s">
        <v>792</v>
      </c>
      <c r="C246" t="s">
        <v>830</v>
      </c>
      <c r="D246" s="1" t="s">
        <v>383</v>
      </c>
      <c r="E246" s="560">
        <v>49</v>
      </c>
      <c r="F246" s="480" t="s">
        <v>861</v>
      </c>
      <c r="L246" s="101"/>
      <c r="M246" s="483"/>
      <c r="N246" s="483"/>
    </row>
    <row r="247" spans="1:14" x14ac:dyDescent="0.35">
      <c r="A247" s="1" t="s">
        <v>793</v>
      </c>
      <c r="B247" s="1" t="s">
        <v>793</v>
      </c>
      <c r="C247" t="s">
        <v>831</v>
      </c>
      <c r="D247" s="1" t="s">
        <v>383</v>
      </c>
      <c r="E247" s="560">
        <v>49</v>
      </c>
      <c r="F247" s="480" t="s">
        <v>861</v>
      </c>
      <c r="L247" s="101"/>
      <c r="M247" s="483"/>
      <c r="N247" s="483"/>
    </row>
    <row r="248" spans="1:14" x14ac:dyDescent="0.35">
      <c r="A248" s="1" t="s">
        <v>794</v>
      </c>
      <c r="B248" s="1" t="s">
        <v>794</v>
      </c>
      <c r="C248" t="s">
        <v>832</v>
      </c>
      <c r="D248" s="1" t="s">
        <v>383</v>
      </c>
      <c r="E248" s="560">
        <v>49</v>
      </c>
      <c r="F248" s="480" t="s">
        <v>861</v>
      </c>
      <c r="L248" s="101"/>
      <c r="M248" s="483"/>
      <c r="N248" s="483"/>
    </row>
    <row r="249" spans="1:14" x14ac:dyDescent="0.35">
      <c r="A249" s="1" t="s">
        <v>795</v>
      </c>
      <c r="B249" s="1" t="s">
        <v>795</v>
      </c>
      <c r="C249" t="s">
        <v>833</v>
      </c>
      <c r="D249" s="1" t="s">
        <v>383</v>
      </c>
      <c r="E249" s="560">
        <v>169</v>
      </c>
      <c r="F249" s="480" t="s">
        <v>861</v>
      </c>
      <c r="L249" s="101"/>
      <c r="M249" s="483"/>
      <c r="N249" s="483"/>
    </row>
    <row r="250" spans="1:14" x14ac:dyDescent="0.35">
      <c r="A250" s="1" t="s">
        <v>796</v>
      </c>
      <c r="B250" s="1" t="s">
        <v>796</v>
      </c>
      <c r="C250" t="s">
        <v>834</v>
      </c>
      <c r="D250" s="1" t="s">
        <v>383</v>
      </c>
      <c r="E250" s="560">
        <v>31</v>
      </c>
      <c r="F250" s="480" t="s">
        <v>861</v>
      </c>
      <c r="L250" s="101"/>
      <c r="M250" s="483"/>
      <c r="N250" s="483"/>
    </row>
    <row r="251" spans="1:14" x14ac:dyDescent="0.35">
      <c r="A251" s="1" t="s">
        <v>797</v>
      </c>
      <c r="B251" s="1" t="s">
        <v>797</v>
      </c>
      <c r="C251" t="s">
        <v>835</v>
      </c>
      <c r="D251" s="1" t="s">
        <v>383</v>
      </c>
      <c r="E251" s="560">
        <v>149</v>
      </c>
      <c r="F251" s="480" t="s">
        <v>861</v>
      </c>
      <c r="L251" s="101"/>
      <c r="M251" s="483"/>
      <c r="N251" s="483"/>
    </row>
    <row r="252" spans="1:14" x14ac:dyDescent="0.35">
      <c r="A252" s="1" t="s">
        <v>798</v>
      </c>
      <c r="B252" s="1" t="s">
        <v>798</v>
      </c>
      <c r="C252" t="s">
        <v>836</v>
      </c>
      <c r="D252" s="1" t="s">
        <v>383</v>
      </c>
      <c r="E252" s="560">
        <v>256</v>
      </c>
      <c r="F252" s="480" t="s">
        <v>861</v>
      </c>
      <c r="L252" s="101"/>
      <c r="M252" s="483"/>
      <c r="N252" s="483"/>
    </row>
    <row r="253" spans="1:14" x14ac:dyDescent="0.35">
      <c r="A253" s="1" t="s">
        <v>799</v>
      </c>
      <c r="B253" s="1" t="s">
        <v>799</v>
      </c>
      <c r="C253" t="s">
        <v>837</v>
      </c>
      <c r="D253" s="1" t="s">
        <v>383</v>
      </c>
      <c r="E253" s="560">
        <v>49</v>
      </c>
      <c r="F253" s="480" t="s">
        <v>861</v>
      </c>
      <c r="L253" s="101"/>
      <c r="M253" s="483"/>
      <c r="N253" s="483"/>
    </row>
    <row r="254" spans="1:14" x14ac:dyDescent="0.35">
      <c r="A254" s="1" t="s">
        <v>800</v>
      </c>
      <c r="B254" s="1" t="s">
        <v>800</v>
      </c>
      <c r="C254" t="s">
        <v>838</v>
      </c>
      <c r="D254" s="1" t="s">
        <v>383</v>
      </c>
      <c r="E254" s="560">
        <v>150</v>
      </c>
      <c r="F254" s="480" t="s">
        <v>861</v>
      </c>
      <c r="L254" s="101"/>
      <c r="M254" s="483"/>
      <c r="N254" s="483"/>
    </row>
    <row r="255" spans="1:14" x14ac:dyDescent="0.35">
      <c r="A255" s="1" t="s">
        <v>801</v>
      </c>
      <c r="B255" s="1" t="s">
        <v>801</v>
      </c>
      <c r="C255" t="s">
        <v>839</v>
      </c>
      <c r="D255" s="1" t="s">
        <v>383</v>
      </c>
      <c r="E255" s="560">
        <v>268</v>
      </c>
      <c r="F255" s="480" t="s">
        <v>861</v>
      </c>
      <c r="L255" s="101"/>
      <c r="M255" s="483"/>
      <c r="N255" s="483"/>
    </row>
    <row r="256" spans="1:14" x14ac:dyDescent="0.35">
      <c r="A256" s="1" t="s">
        <v>802</v>
      </c>
      <c r="B256" s="1" t="s">
        <v>802</v>
      </c>
      <c r="C256" t="s">
        <v>840</v>
      </c>
      <c r="D256" s="1" t="s">
        <v>383</v>
      </c>
      <c r="E256" s="535">
        <v>2148</v>
      </c>
      <c r="F256" s="480">
        <v>1.1845000000000001</v>
      </c>
      <c r="L256" s="101"/>
      <c r="M256" s="483"/>
      <c r="N256" s="483"/>
    </row>
    <row r="257" spans="1:14" x14ac:dyDescent="0.35">
      <c r="A257" s="1" t="s">
        <v>803</v>
      </c>
      <c r="B257" s="1" t="s">
        <v>803</v>
      </c>
      <c r="C257" t="s">
        <v>841</v>
      </c>
      <c r="D257" s="1" t="s">
        <v>383</v>
      </c>
      <c r="E257" s="535">
        <v>3895</v>
      </c>
      <c r="F257" s="482">
        <v>1.1845000000000001</v>
      </c>
      <c r="L257" s="101"/>
      <c r="M257" s="483"/>
      <c r="N257" s="483"/>
    </row>
    <row r="258" spans="1:14" x14ac:dyDescent="0.35">
      <c r="A258"/>
      <c r="B258"/>
      <c r="D258"/>
      <c r="E258"/>
      <c r="L258" s="101"/>
      <c r="M258" s="483"/>
      <c r="N258" s="483"/>
    </row>
    <row r="259" spans="1:14" x14ac:dyDescent="0.35">
      <c r="A259"/>
      <c r="B259"/>
      <c r="D259"/>
      <c r="E259"/>
      <c r="L259" s="101"/>
      <c r="M259" s="483"/>
      <c r="N259" s="483"/>
    </row>
    <row r="260" spans="1:14" x14ac:dyDescent="0.35">
      <c r="A260"/>
      <c r="B260"/>
      <c r="D260"/>
      <c r="E260"/>
      <c r="L260" s="101"/>
      <c r="M260" s="483"/>
      <c r="N260" s="483"/>
    </row>
    <row r="261" spans="1:14" x14ac:dyDescent="0.35">
      <c r="A261"/>
      <c r="B261"/>
      <c r="D261"/>
      <c r="E261"/>
      <c r="L261" s="101"/>
      <c r="M261" s="483"/>
      <c r="N261" s="483"/>
    </row>
    <row r="262" spans="1:14" x14ac:dyDescent="0.35">
      <c r="A262"/>
      <c r="B262"/>
      <c r="D262"/>
      <c r="E262"/>
      <c r="L262" s="101"/>
      <c r="M262" s="483"/>
      <c r="N262" s="483"/>
    </row>
    <row r="263" spans="1:14" x14ac:dyDescent="0.35">
      <c r="A263"/>
      <c r="B263"/>
      <c r="D263"/>
      <c r="E263"/>
      <c r="L263" s="101"/>
      <c r="M263" s="483"/>
      <c r="N263" s="483"/>
    </row>
    <row r="264" spans="1:14" x14ac:dyDescent="0.35">
      <c r="A264"/>
      <c r="B264"/>
      <c r="D264"/>
      <c r="E264"/>
      <c r="L264" s="101"/>
      <c r="M264" s="483"/>
      <c r="N264" s="483"/>
    </row>
    <row r="265" spans="1:14" x14ac:dyDescent="0.35">
      <c r="A265"/>
      <c r="B265"/>
      <c r="D265"/>
      <c r="E265"/>
      <c r="L265" s="101"/>
      <c r="M265" s="483"/>
      <c r="N265" s="483"/>
    </row>
    <row r="266" spans="1:14" x14ac:dyDescent="0.35">
      <c r="A266"/>
      <c r="B266"/>
      <c r="D266"/>
      <c r="E266"/>
      <c r="L266" s="101"/>
      <c r="M266" s="483"/>
      <c r="N266" s="483"/>
    </row>
    <row r="267" spans="1:14" x14ac:dyDescent="0.35">
      <c r="A267"/>
      <c r="B267"/>
      <c r="D267"/>
      <c r="E267"/>
      <c r="L267" s="101"/>
      <c r="M267" s="483"/>
      <c r="N267" s="483"/>
    </row>
    <row r="268" spans="1:14" x14ac:dyDescent="0.35">
      <c r="A268"/>
      <c r="B268"/>
      <c r="D268"/>
      <c r="E268"/>
      <c r="L268" s="101"/>
      <c r="M268" s="483"/>
      <c r="N268" s="483"/>
    </row>
    <row r="269" spans="1:14" x14ac:dyDescent="0.35">
      <c r="A269"/>
      <c r="B269"/>
      <c r="D269"/>
      <c r="E269"/>
      <c r="L269" s="101"/>
      <c r="M269" s="483"/>
      <c r="N269" s="483"/>
    </row>
    <row r="270" spans="1:14" x14ac:dyDescent="0.35">
      <c r="A270"/>
      <c r="B270"/>
      <c r="D270"/>
      <c r="E270"/>
      <c r="L270" s="101"/>
      <c r="M270" s="483"/>
      <c r="N270" s="483"/>
    </row>
    <row r="271" spans="1:14" x14ac:dyDescent="0.35">
      <c r="A271"/>
      <c r="B271"/>
      <c r="D271"/>
      <c r="E271"/>
      <c r="L271" s="101"/>
      <c r="M271" s="483"/>
      <c r="N271" s="483"/>
    </row>
    <row r="272" spans="1:14" x14ac:dyDescent="0.35">
      <c r="A272"/>
      <c r="B272"/>
      <c r="D272"/>
      <c r="E272"/>
      <c r="L272" s="101"/>
      <c r="M272" s="483"/>
      <c r="N272" s="483"/>
    </row>
    <row r="273" spans="1:14" x14ac:dyDescent="0.35">
      <c r="A273"/>
      <c r="B273"/>
      <c r="D273"/>
      <c r="E273"/>
      <c r="L273" s="101"/>
      <c r="M273" s="483"/>
      <c r="N273" s="483"/>
    </row>
    <row r="274" spans="1:14" x14ac:dyDescent="0.35">
      <c r="A274"/>
      <c r="B274"/>
      <c r="D274"/>
      <c r="E274"/>
      <c r="L274" s="101"/>
      <c r="M274" s="483"/>
      <c r="N274" s="483"/>
    </row>
    <row r="275" spans="1:14" x14ac:dyDescent="0.35">
      <c r="A275"/>
      <c r="B275"/>
      <c r="D275"/>
      <c r="E275"/>
      <c r="L275" s="101"/>
      <c r="M275" s="483"/>
      <c r="N275" s="483"/>
    </row>
    <row r="276" spans="1:14" x14ac:dyDescent="0.35">
      <c r="A276"/>
      <c r="B276"/>
      <c r="D276"/>
      <c r="E276"/>
      <c r="L276" s="101"/>
      <c r="M276" s="483"/>
      <c r="N276" s="483"/>
    </row>
    <row r="277" spans="1:14" x14ac:dyDescent="0.35">
      <c r="A277"/>
      <c r="B277"/>
      <c r="D277"/>
      <c r="E277"/>
      <c r="L277" s="101"/>
      <c r="M277" s="483"/>
      <c r="N277" s="483"/>
    </row>
    <row r="278" spans="1:14" x14ac:dyDescent="0.35">
      <c r="A278"/>
      <c r="B278"/>
      <c r="D278"/>
      <c r="E278"/>
      <c r="L278" s="101"/>
      <c r="M278" s="483"/>
      <c r="N278" s="483"/>
    </row>
    <row r="279" spans="1:14" x14ac:dyDescent="0.35">
      <c r="A279"/>
      <c r="B279"/>
      <c r="D279"/>
      <c r="E279"/>
      <c r="L279" s="101"/>
      <c r="M279" s="483"/>
      <c r="N279" s="483"/>
    </row>
    <row r="280" spans="1:14" x14ac:dyDescent="0.35">
      <c r="A280"/>
      <c r="B280"/>
      <c r="D280"/>
      <c r="E280"/>
      <c r="L280" s="101"/>
      <c r="M280" s="483"/>
      <c r="N280" s="483"/>
    </row>
    <row r="281" spans="1:14" x14ac:dyDescent="0.35">
      <c r="A281"/>
      <c r="B281"/>
      <c r="D281"/>
      <c r="E281"/>
      <c r="L281" s="101"/>
      <c r="M281" s="483"/>
      <c r="N281" s="483"/>
    </row>
    <row r="282" spans="1:14" x14ac:dyDescent="0.35">
      <c r="A282"/>
      <c r="B282"/>
      <c r="D282"/>
      <c r="E282"/>
      <c r="L282" s="101"/>
      <c r="M282" s="483"/>
      <c r="N282" s="483"/>
    </row>
    <row r="283" spans="1:14" x14ac:dyDescent="0.35">
      <c r="A283"/>
      <c r="B283"/>
      <c r="D283"/>
      <c r="E283"/>
      <c r="L283" s="101"/>
      <c r="M283" s="483"/>
      <c r="N283" s="483"/>
    </row>
    <row r="284" spans="1:14" x14ac:dyDescent="0.35">
      <c r="L284" s="101"/>
      <c r="M284" s="483"/>
      <c r="N284" s="483"/>
    </row>
    <row r="285" spans="1:14" x14ac:dyDescent="0.35">
      <c r="L285" s="101"/>
      <c r="M285" s="483"/>
      <c r="N285" s="483"/>
    </row>
    <row r="286" spans="1:14" x14ac:dyDescent="0.35">
      <c r="L286" s="101"/>
      <c r="M286" s="483"/>
      <c r="N286" s="483"/>
    </row>
    <row r="287" spans="1:14" x14ac:dyDescent="0.35">
      <c r="L287" s="101"/>
      <c r="M287" s="483"/>
      <c r="N287" s="483"/>
    </row>
    <row r="288" spans="1:14" x14ac:dyDescent="0.35">
      <c r="L288" s="101"/>
      <c r="M288" s="483"/>
      <c r="N288" s="483"/>
    </row>
    <row r="289" spans="12:14" x14ac:dyDescent="0.35">
      <c r="L289" s="101"/>
      <c r="M289" s="483"/>
      <c r="N289" s="483"/>
    </row>
    <row r="290" spans="12:14" x14ac:dyDescent="0.35">
      <c r="L290" s="101"/>
      <c r="M290" s="483"/>
      <c r="N290" s="483"/>
    </row>
    <row r="291" spans="12:14" x14ac:dyDescent="0.35">
      <c r="L291" s="101"/>
      <c r="M291" s="483"/>
      <c r="N291" s="483"/>
    </row>
    <row r="292" spans="12:14" x14ac:dyDescent="0.35">
      <c r="L292" s="101"/>
      <c r="M292" s="483"/>
      <c r="N292" s="483"/>
    </row>
    <row r="293" spans="12:14" x14ac:dyDescent="0.35">
      <c r="L293" s="101"/>
      <c r="M293" s="483"/>
      <c r="N293" s="483"/>
    </row>
    <row r="294" spans="12:14" x14ac:dyDescent="0.35">
      <c r="L294" s="101"/>
      <c r="M294" s="483"/>
      <c r="N294" s="483"/>
    </row>
    <row r="295" spans="12:14" x14ac:dyDescent="0.35">
      <c r="L295" s="101"/>
      <c r="M295" s="483"/>
      <c r="N295" s="483"/>
    </row>
    <row r="296" spans="12:14" x14ac:dyDescent="0.35">
      <c r="L296" s="101"/>
      <c r="M296" s="483"/>
      <c r="N296" s="483"/>
    </row>
    <row r="297" spans="12:14" x14ac:dyDescent="0.35">
      <c r="L297" s="101"/>
      <c r="M297" s="483"/>
      <c r="N297" s="483"/>
    </row>
    <row r="298" spans="12:14" x14ac:dyDescent="0.35">
      <c r="L298" s="101"/>
      <c r="M298" s="483"/>
      <c r="N298" s="483"/>
    </row>
    <row r="299" spans="12:14" x14ac:dyDescent="0.35">
      <c r="L299" s="101"/>
      <c r="M299" s="483"/>
      <c r="N299" s="483"/>
    </row>
    <row r="300" spans="12:14" x14ac:dyDescent="0.35">
      <c r="L300" s="101"/>
      <c r="M300" s="483"/>
      <c r="N300" s="483"/>
    </row>
    <row r="301" spans="12:14" x14ac:dyDescent="0.35">
      <c r="L301" s="101"/>
      <c r="M301" s="483"/>
      <c r="N301" s="483"/>
    </row>
    <row r="302" spans="12:14" x14ac:dyDescent="0.35">
      <c r="L302" s="101"/>
      <c r="M302" s="483"/>
      <c r="N302" s="483"/>
    </row>
    <row r="303" spans="12:14" x14ac:dyDescent="0.35">
      <c r="L303" s="101"/>
      <c r="M303" s="483"/>
      <c r="N303" s="483"/>
    </row>
    <row r="304" spans="12:14" x14ac:dyDescent="0.35">
      <c r="L304" s="101"/>
      <c r="M304" s="483"/>
      <c r="N304" s="483"/>
    </row>
    <row r="305" spans="12:14" x14ac:dyDescent="0.35">
      <c r="L305" s="101"/>
      <c r="M305" s="483"/>
      <c r="N305" s="483"/>
    </row>
    <row r="306" spans="12:14" x14ac:dyDescent="0.35">
      <c r="L306" s="101"/>
      <c r="M306" s="483"/>
      <c r="N306" s="483"/>
    </row>
    <row r="307" spans="12:14" x14ac:dyDescent="0.35">
      <c r="L307" s="101"/>
      <c r="M307" s="483"/>
      <c r="N307" s="483"/>
    </row>
    <row r="308" spans="12:14" x14ac:dyDescent="0.35">
      <c r="L308" s="101"/>
      <c r="M308" s="483"/>
      <c r="N308" s="483"/>
    </row>
    <row r="309" spans="12:14" x14ac:dyDescent="0.35">
      <c r="L309" s="101"/>
      <c r="M309" s="483"/>
      <c r="N309" s="483"/>
    </row>
    <row r="310" spans="12:14" x14ac:dyDescent="0.35">
      <c r="L310" s="101"/>
      <c r="M310" s="483"/>
      <c r="N310" s="483"/>
    </row>
    <row r="311" spans="12:14" x14ac:dyDescent="0.35">
      <c r="L311" s="101"/>
      <c r="M311" s="483"/>
      <c r="N311" s="483"/>
    </row>
    <row r="312" spans="12:14" x14ac:dyDescent="0.35">
      <c r="L312" s="101"/>
      <c r="M312" s="483"/>
      <c r="N312" s="483"/>
    </row>
    <row r="313" spans="12:14" x14ac:dyDescent="0.35">
      <c r="L313" s="101"/>
      <c r="M313" s="483"/>
      <c r="N313" s="483"/>
    </row>
  </sheetData>
  <conditionalFormatting sqref="B49 A1:A1048576">
    <cfRule type="duplicateValues" dxfId="135" priority="2"/>
  </conditionalFormatting>
  <conditionalFormatting sqref="B163">
    <cfRule type="duplicateValues" dxfId="134" priority="1"/>
  </conditionalFormatting>
  <printOptions horizontalCentered="1"/>
  <pageMargins left="0.19685039370078741" right="0.19685039370078741" top="0.74803149606299213" bottom="0.74803149606299213" header="0.31496062992125984" footer="0.31496062992125984"/>
  <pageSetup paperSize="9" scale="90" orientation="portrait" blackAndWhite="1" draft="1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3"/>
  <dimension ref="A1:D6"/>
  <sheetViews>
    <sheetView workbookViewId="0">
      <selection activeCell="A2" sqref="A2:D4"/>
    </sheetView>
  </sheetViews>
  <sheetFormatPr defaultRowHeight="14.5" x14ac:dyDescent="0.35"/>
  <cols>
    <col min="1" max="1" width="28.54296875" style="573" customWidth="1"/>
    <col min="2" max="2" width="59.1796875" customWidth="1"/>
    <col min="3" max="3" width="43.1796875" customWidth="1"/>
    <col min="4" max="4" width="31.453125" customWidth="1"/>
  </cols>
  <sheetData>
    <row r="1" spans="1:4" s="1" customFormat="1" x14ac:dyDescent="0.35">
      <c r="A1" s="573" t="s">
        <v>1593</v>
      </c>
      <c r="B1" s="573" t="s">
        <v>1594</v>
      </c>
      <c r="C1" s="573" t="s">
        <v>1595</v>
      </c>
      <c r="D1" s="573" t="s">
        <v>1596</v>
      </c>
    </row>
    <row r="2" spans="1:4" x14ac:dyDescent="0.35">
      <c r="A2" s="573" t="s">
        <v>169</v>
      </c>
      <c r="B2" s="573" t="s">
        <v>1582</v>
      </c>
      <c r="C2" s="573" t="s">
        <v>1583</v>
      </c>
      <c r="D2" s="573" t="s">
        <v>1592</v>
      </c>
    </row>
    <row r="3" spans="1:4" x14ac:dyDescent="0.35">
      <c r="A3" s="573" t="s">
        <v>150</v>
      </c>
      <c r="B3" s="573" t="s">
        <v>1584</v>
      </c>
      <c r="C3" s="573" t="s">
        <v>1583</v>
      </c>
      <c r="D3" s="573" t="s">
        <v>1585</v>
      </c>
    </row>
    <row r="4" spans="1:4" x14ac:dyDescent="0.35">
      <c r="A4" s="573" t="s">
        <v>1600</v>
      </c>
      <c r="B4" s="573" t="s">
        <v>1433</v>
      </c>
      <c r="C4" s="573" t="s">
        <v>1586</v>
      </c>
      <c r="D4" s="573" t="s">
        <v>1591</v>
      </c>
    </row>
    <row r="6" spans="1:4" x14ac:dyDescent="0.35">
      <c r="B6" s="573"/>
      <c r="C6" s="573"/>
      <c r="D6" s="573"/>
    </row>
  </sheetData>
  <phoneticPr fontId="56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/>
  <dimension ref="A1:Y83"/>
  <sheetViews>
    <sheetView workbookViewId="0">
      <pane ySplit="1" topLeftCell="A11" activePane="bottomLeft" state="frozen"/>
      <selection activeCell="F30" sqref="F30"/>
      <selection pane="bottomLeft" activeCell="B39" sqref="B39"/>
    </sheetView>
  </sheetViews>
  <sheetFormatPr defaultRowHeight="14.5" x14ac:dyDescent="0.35"/>
  <cols>
    <col min="1" max="1" width="17.54296875" style="1" bestFit="1" customWidth="1"/>
    <col min="2" max="2" width="56.7265625" bestFit="1" customWidth="1"/>
    <col min="3" max="4" width="9" style="1" customWidth="1"/>
    <col min="5" max="5" width="10.1796875" style="1" customWidth="1"/>
    <col min="6" max="7" width="9" style="1" customWidth="1"/>
    <col min="9" max="10" width="17.54296875" style="570" customWidth="1"/>
    <col min="11" max="24" width="9" customWidth="1"/>
    <col min="25" max="25" width="9.453125" customWidth="1"/>
  </cols>
  <sheetData>
    <row r="1" spans="1:10" s="59" customFormat="1" ht="32.25" customHeight="1" x14ac:dyDescent="0.35">
      <c r="A1" s="59" t="s">
        <v>846</v>
      </c>
      <c r="B1" s="59" t="s">
        <v>978</v>
      </c>
      <c r="C1" s="59" t="s">
        <v>979</v>
      </c>
      <c r="D1" s="59" t="s">
        <v>980</v>
      </c>
      <c r="E1" s="59" t="s">
        <v>1588</v>
      </c>
      <c r="F1" s="59" t="s">
        <v>976</v>
      </c>
      <c r="G1" s="59" t="s">
        <v>977</v>
      </c>
      <c r="H1" s="59" t="s">
        <v>1587</v>
      </c>
    </row>
    <row r="2" spans="1:10" x14ac:dyDescent="0.35">
      <c r="A2" s="1" t="s">
        <v>72</v>
      </c>
      <c r="B2" t="s">
        <v>73</v>
      </c>
      <c r="C2" s="1" t="s">
        <v>91</v>
      </c>
      <c r="D2" s="1" t="s">
        <v>160</v>
      </c>
      <c r="F2" s="1" t="s">
        <v>713</v>
      </c>
      <c r="G2" s="1" t="s">
        <v>755</v>
      </c>
      <c r="H2" s="1" t="s">
        <v>1666</v>
      </c>
      <c r="I2"/>
      <c r="J2"/>
    </row>
    <row r="3" spans="1:10" x14ac:dyDescent="0.35">
      <c r="A3" s="1" t="s">
        <v>74</v>
      </c>
      <c r="B3" t="s">
        <v>75</v>
      </c>
      <c r="C3" s="1" t="s">
        <v>93</v>
      </c>
      <c r="D3" s="1" t="s">
        <v>162</v>
      </c>
      <c r="F3" s="1" t="s">
        <v>714</v>
      </c>
      <c r="G3" s="1" t="s">
        <v>755</v>
      </c>
      <c r="H3" s="1" t="s">
        <v>1666</v>
      </c>
      <c r="I3"/>
      <c r="J3"/>
    </row>
    <row r="4" spans="1:10" x14ac:dyDescent="0.35">
      <c r="A4" s="1" t="s">
        <v>76</v>
      </c>
      <c r="B4" t="s">
        <v>77</v>
      </c>
      <c r="C4" s="1" t="s">
        <v>95</v>
      </c>
      <c r="D4" s="1" t="s">
        <v>164</v>
      </c>
      <c r="F4" s="1" t="s">
        <v>715</v>
      </c>
      <c r="G4" s="1" t="s">
        <v>755</v>
      </c>
      <c r="H4" s="1" t="s">
        <v>1666</v>
      </c>
      <c r="I4"/>
      <c r="J4"/>
    </row>
    <row r="5" spans="1:10" x14ac:dyDescent="0.35">
      <c r="A5" s="1" t="s">
        <v>78</v>
      </c>
      <c r="B5" t="s">
        <v>79</v>
      </c>
      <c r="C5" s="1" t="s">
        <v>97</v>
      </c>
      <c r="D5" s="1" t="s">
        <v>166</v>
      </c>
      <c r="F5" s="1" t="s">
        <v>716</v>
      </c>
      <c r="G5" s="1" t="s">
        <v>755</v>
      </c>
      <c r="H5" s="1" t="s">
        <v>1666</v>
      </c>
      <c r="I5"/>
      <c r="J5"/>
    </row>
    <row r="6" spans="1:10" x14ac:dyDescent="0.35">
      <c r="A6" s="1" t="s">
        <v>17</v>
      </c>
      <c r="B6" t="s">
        <v>20</v>
      </c>
      <c r="C6" s="1" t="s">
        <v>1061</v>
      </c>
      <c r="D6" s="1" t="s">
        <v>160</v>
      </c>
      <c r="F6" s="1" t="s">
        <v>725</v>
      </c>
      <c r="G6" s="1" t="s">
        <v>751</v>
      </c>
      <c r="H6" s="1" t="s">
        <v>1667</v>
      </c>
      <c r="I6"/>
      <c r="J6"/>
    </row>
    <row r="7" spans="1:10" x14ac:dyDescent="0.35">
      <c r="A7" s="1" t="s">
        <v>23</v>
      </c>
      <c r="B7" t="s">
        <v>24</v>
      </c>
      <c r="C7" s="1" t="s">
        <v>1201</v>
      </c>
      <c r="D7" s="1" t="s">
        <v>162</v>
      </c>
      <c r="F7" s="1" t="s">
        <v>727</v>
      </c>
      <c r="G7" s="1" t="s">
        <v>751</v>
      </c>
      <c r="H7" s="1" t="s">
        <v>1667</v>
      </c>
      <c r="I7"/>
      <c r="J7"/>
    </row>
    <row r="8" spans="1:10" x14ac:dyDescent="0.35">
      <c r="A8" s="1" t="s">
        <v>25</v>
      </c>
      <c r="B8" t="s">
        <v>26</v>
      </c>
      <c r="C8" s="1" t="s">
        <v>1202</v>
      </c>
      <c r="D8" s="1" t="s">
        <v>164</v>
      </c>
      <c r="F8" s="1" t="s">
        <v>729</v>
      </c>
      <c r="G8" s="1" t="s">
        <v>751</v>
      </c>
      <c r="H8" s="1" t="s">
        <v>1667</v>
      </c>
      <c r="I8"/>
      <c r="J8"/>
    </row>
    <row r="9" spans="1:10" x14ac:dyDescent="0.35">
      <c r="A9" s="1" t="s">
        <v>27</v>
      </c>
      <c r="B9" t="s">
        <v>28</v>
      </c>
      <c r="C9" s="1" t="s">
        <v>1203</v>
      </c>
      <c r="D9" s="1" t="s">
        <v>166</v>
      </c>
      <c r="F9" s="1" t="s">
        <v>731</v>
      </c>
      <c r="G9" s="1" t="s">
        <v>751</v>
      </c>
      <c r="H9" s="1" t="s">
        <v>1667</v>
      </c>
      <c r="I9"/>
      <c r="J9"/>
    </row>
    <row r="10" spans="1:10" x14ac:dyDescent="0.35">
      <c r="A10" s="1" t="s">
        <v>29</v>
      </c>
      <c r="B10" t="s">
        <v>31</v>
      </c>
      <c r="C10" s="1" t="s">
        <v>1204</v>
      </c>
      <c r="D10" s="1" t="s">
        <v>149</v>
      </c>
      <c r="F10" s="1" t="s">
        <v>733</v>
      </c>
      <c r="G10" s="1" t="s">
        <v>753</v>
      </c>
      <c r="H10" s="1" t="s">
        <v>1667</v>
      </c>
      <c r="I10"/>
      <c r="J10"/>
    </row>
    <row r="11" spans="1:10" x14ac:dyDescent="0.35">
      <c r="A11" s="1" t="s">
        <v>32</v>
      </c>
      <c r="B11" t="s">
        <v>33</v>
      </c>
      <c r="C11" s="1" t="s">
        <v>1205</v>
      </c>
      <c r="D11" s="1" t="s">
        <v>154</v>
      </c>
      <c r="F11" s="1" t="s">
        <v>735</v>
      </c>
      <c r="G11" s="1" t="s">
        <v>753</v>
      </c>
      <c r="H11" s="1" t="s">
        <v>1667</v>
      </c>
      <c r="I11"/>
      <c r="J11"/>
    </row>
    <row r="12" spans="1:10" x14ac:dyDescent="0.35">
      <c r="A12" s="1" t="s">
        <v>34</v>
      </c>
      <c r="B12" t="s">
        <v>35</v>
      </c>
      <c r="C12" s="1" t="s">
        <v>1206</v>
      </c>
      <c r="D12" s="1" t="s">
        <v>156</v>
      </c>
      <c r="F12" s="1" t="s">
        <v>737</v>
      </c>
      <c r="G12" s="1" t="s">
        <v>753</v>
      </c>
      <c r="H12" s="1" t="s">
        <v>1667</v>
      </c>
      <c r="I12"/>
      <c r="J12"/>
    </row>
    <row r="13" spans="1:10" x14ac:dyDescent="0.35">
      <c r="A13" s="1" t="s">
        <v>36</v>
      </c>
      <c r="B13" t="s">
        <v>37</v>
      </c>
      <c r="C13" s="1" t="s">
        <v>1207</v>
      </c>
      <c r="D13" s="1" t="s">
        <v>158</v>
      </c>
      <c r="F13" s="1" t="s">
        <v>739</v>
      </c>
      <c r="G13" s="1" t="s">
        <v>753</v>
      </c>
      <c r="H13" s="1" t="s">
        <v>1667</v>
      </c>
      <c r="I13"/>
      <c r="J13"/>
    </row>
    <row r="14" spans="1:10" x14ac:dyDescent="0.35">
      <c r="A14" s="1" t="s">
        <v>80</v>
      </c>
      <c r="B14" t="s">
        <v>81</v>
      </c>
      <c r="C14" s="1" t="s">
        <v>99</v>
      </c>
      <c r="D14" s="1" t="s">
        <v>149</v>
      </c>
      <c r="F14" s="1" t="s">
        <v>717</v>
      </c>
      <c r="G14" s="1" t="s">
        <v>757</v>
      </c>
      <c r="H14" s="1" t="s">
        <v>1666</v>
      </c>
      <c r="I14"/>
      <c r="J14"/>
    </row>
    <row r="15" spans="1:10" x14ac:dyDescent="0.35">
      <c r="A15" s="1" t="s">
        <v>82</v>
      </c>
      <c r="B15" t="s">
        <v>83</v>
      </c>
      <c r="C15" s="1" t="s">
        <v>101</v>
      </c>
      <c r="D15" s="1" t="s">
        <v>154</v>
      </c>
      <c r="F15" s="1" t="s">
        <v>718</v>
      </c>
      <c r="G15" s="1" t="s">
        <v>757</v>
      </c>
      <c r="H15" s="1" t="s">
        <v>1666</v>
      </c>
      <c r="I15"/>
      <c r="J15"/>
    </row>
    <row r="16" spans="1:10" x14ac:dyDescent="0.35">
      <c r="A16" s="1" t="s">
        <v>84</v>
      </c>
      <c r="B16" t="s">
        <v>85</v>
      </c>
      <c r="C16" s="1" t="s">
        <v>103</v>
      </c>
      <c r="D16" s="1" t="s">
        <v>156</v>
      </c>
      <c r="F16" s="1" t="s">
        <v>719</v>
      </c>
      <c r="G16" s="1" t="s">
        <v>757</v>
      </c>
      <c r="H16" s="1" t="s">
        <v>1666</v>
      </c>
      <c r="I16"/>
      <c r="J16"/>
    </row>
    <row r="17" spans="1:25" x14ac:dyDescent="0.35">
      <c r="A17" s="1" t="s">
        <v>86</v>
      </c>
      <c r="B17" t="s">
        <v>87</v>
      </c>
      <c r="C17" s="1" t="s">
        <v>105</v>
      </c>
      <c r="D17" s="1" t="s">
        <v>158</v>
      </c>
      <c r="F17" s="1" t="s">
        <v>720</v>
      </c>
      <c r="G17" s="1" t="s">
        <v>757</v>
      </c>
      <c r="H17" s="1" t="s">
        <v>1666</v>
      </c>
      <c r="I17"/>
      <c r="J17"/>
    </row>
    <row r="18" spans="1:25" x14ac:dyDescent="0.35">
      <c r="A18" s="1" t="s">
        <v>38</v>
      </c>
      <c r="B18" t="s">
        <v>39</v>
      </c>
      <c r="C18" s="1" t="s">
        <v>1060</v>
      </c>
      <c r="D18" s="1" t="s">
        <v>160</v>
      </c>
      <c r="E18" s="1" t="s">
        <v>179</v>
      </c>
      <c r="F18" s="1" t="s">
        <v>1039</v>
      </c>
      <c r="G18" s="1" t="s">
        <v>1031</v>
      </c>
      <c r="H18" s="1" t="s">
        <v>1036</v>
      </c>
      <c r="I18"/>
      <c r="J18"/>
    </row>
    <row r="19" spans="1:25" x14ac:dyDescent="0.35">
      <c r="A19" s="1" t="s">
        <v>40</v>
      </c>
      <c r="B19" t="s">
        <v>41</v>
      </c>
      <c r="C19" s="1" t="s">
        <v>1201</v>
      </c>
      <c r="D19" s="1" t="s">
        <v>162</v>
      </c>
      <c r="E19" s="1" t="s">
        <v>182</v>
      </c>
      <c r="F19" s="1" t="s">
        <v>1040</v>
      </c>
      <c r="G19" s="1" t="s">
        <v>1031</v>
      </c>
      <c r="H19" s="1" t="s">
        <v>1036</v>
      </c>
      <c r="I19"/>
      <c r="J19"/>
    </row>
    <row r="20" spans="1:25" x14ac:dyDescent="0.35">
      <c r="A20" s="1" t="s">
        <v>42</v>
      </c>
      <c r="B20" t="s">
        <v>43</v>
      </c>
      <c r="C20" s="1" t="s">
        <v>1202</v>
      </c>
      <c r="D20" s="1" t="s">
        <v>164</v>
      </c>
      <c r="E20" s="1" t="s">
        <v>184</v>
      </c>
      <c r="F20" s="1" t="s">
        <v>1041</v>
      </c>
      <c r="G20" s="1" t="s">
        <v>1031</v>
      </c>
      <c r="H20" s="1" t="s">
        <v>1036</v>
      </c>
      <c r="I20"/>
      <c r="J20"/>
    </row>
    <row r="21" spans="1:25" x14ac:dyDescent="0.35">
      <c r="A21" s="1" t="s">
        <v>44</v>
      </c>
      <c r="B21" t="s">
        <v>45</v>
      </c>
      <c r="C21" s="1" t="s">
        <v>1203</v>
      </c>
      <c r="D21" s="1" t="s">
        <v>166</v>
      </c>
      <c r="E21" s="1" t="s">
        <v>186</v>
      </c>
      <c r="F21" s="1" t="s">
        <v>1042</v>
      </c>
      <c r="G21" s="1" t="s">
        <v>1031</v>
      </c>
      <c r="H21" s="1" t="s">
        <v>1036</v>
      </c>
      <c r="I21"/>
      <c r="J21"/>
    </row>
    <row r="22" spans="1:25" x14ac:dyDescent="0.35">
      <c r="A22" s="1" t="s">
        <v>46</v>
      </c>
      <c r="B22" t="s">
        <v>47</v>
      </c>
      <c r="C22" s="1" t="s">
        <v>1204</v>
      </c>
      <c r="D22" s="1" t="s">
        <v>149</v>
      </c>
      <c r="E22" s="1" t="s">
        <v>419</v>
      </c>
      <c r="F22" s="1" t="s">
        <v>1043</v>
      </c>
      <c r="G22" s="1" t="s">
        <v>1032</v>
      </c>
      <c r="H22" s="1" t="s">
        <v>1036</v>
      </c>
      <c r="I22"/>
      <c r="J22"/>
    </row>
    <row r="23" spans="1:25" x14ac:dyDescent="0.35">
      <c r="A23" s="1" t="s">
        <v>48</v>
      </c>
      <c r="B23" t="s">
        <v>49</v>
      </c>
      <c r="C23" s="1" t="s">
        <v>1205</v>
      </c>
      <c r="D23" s="1" t="s">
        <v>154</v>
      </c>
      <c r="E23" s="1" t="s">
        <v>421</v>
      </c>
      <c r="F23" s="1" t="s">
        <v>1044</v>
      </c>
      <c r="G23" s="1" t="s">
        <v>1032</v>
      </c>
      <c r="H23" s="1" t="s">
        <v>1036</v>
      </c>
      <c r="I23"/>
      <c r="J23"/>
    </row>
    <row r="24" spans="1:25" x14ac:dyDescent="0.35">
      <c r="A24" s="1" t="s">
        <v>50</v>
      </c>
      <c r="B24" t="s">
        <v>51</v>
      </c>
      <c r="C24" s="1" t="s">
        <v>1206</v>
      </c>
      <c r="D24" s="1" t="s">
        <v>156</v>
      </c>
      <c r="E24" s="1" t="s">
        <v>423</v>
      </c>
      <c r="F24" s="1" t="s">
        <v>1045</v>
      </c>
      <c r="G24" s="1" t="s">
        <v>1032</v>
      </c>
      <c r="H24" s="1" t="s">
        <v>1036</v>
      </c>
      <c r="I24"/>
      <c r="J24"/>
    </row>
    <row r="25" spans="1:25" x14ac:dyDescent="0.35">
      <c r="A25" s="1" t="s">
        <v>52</v>
      </c>
      <c r="B25" t="s">
        <v>53</v>
      </c>
      <c r="C25" s="1" t="s">
        <v>1207</v>
      </c>
      <c r="D25" s="1" t="s">
        <v>158</v>
      </c>
      <c r="E25" s="1" t="s">
        <v>425</v>
      </c>
      <c r="F25" s="1" t="s">
        <v>1046</v>
      </c>
      <c r="G25" s="1" t="s">
        <v>1032</v>
      </c>
      <c r="H25" s="1" t="s">
        <v>1036</v>
      </c>
      <c r="I25"/>
      <c r="J25"/>
    </row>
    <row r="26" spans="1:25" x14ac:dyDescent="0.35">
      <c r="A26" s="1" t="s">
        <v>88</v>
      </c>
      <c r="B26" t="s">
        <v>89</v>
      </c>
      <c r="C26" s="1" t="s">
        <v>107</v>
      </c>
      <c r="D26" s="1" t="s">
        <v>680</v>
      </c>
      <c r="F26" s="1" t="s">
        <v>749</v>
      </c>
      <c r="G26" s="1" t="s">
        <v>1018</v>
      </c>
      <c r="H26" s="1" t="s">
        <v>1036</v>
      </c>
      <c r="I26"/>
      <c r="J26"/>
    </row>
    <row r="27" spans="1:25" x14ac:dyDescent="0.35">
      <c r="A27" s="1" t="s">
        <v>1219</v>
      </c>
      <c r="B27" t="s">
        <v>90</v>
      </c>
      <c r="H27" s="1"/>
      <c r="J27" s="569"/>
    </row>
    <row r="28" spans="1:25" x14ac:dyDescent="0.35">
      <c r="A28" s="1" t="s">
        <v>395</v>
      </c>
      <c r="B28" t="s">
        <v>1362</v>
      </c>
      <c r="H28" s="1"/>
      <c r="I28" s="569"/>
      <c r="J28" s="56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35">
      <c r="A29" s="1" t="s">
        <v>188</v>
      </c>
      <c r="B29" t="s">
        <v>189</v>
      </c>
      <c r="H29" s="1"/>
      <c r="I29" s="569"/>
      <c r="J29" s="569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35">
      <c r="A30" s="1" t="s">
        <v>190</v>
      </c>
      <c r="B30" t="s">
        <v>191</v>
      </c>
      <c r="H30" s="1"/>
      <c r="I30" s="569"/>
      <c r="J30" s="569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35">
      <c r="A31" s="1" t="s">
        <v>192</v>
      </c>
      <c r="B31" t="s">
        <v>193</v>
      </c>
      <c r="H31" s="1"/>
      <c r="I31" s="569"/>
      <c r="J31" s="569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35">
      <c r="A32" s="1" t="s">
        <v>194</v>
      </c>
      <c r="B32" t="s">
        <v>195</v>
      </c>
      <c r="H32" s="1"/>
      <c r="I32" s="569"/>
      <c r="J32" s="569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35">
      <c r="A33" s="1" t="s">
        <v>196</v>
      </c>
      <c r="B33" t="s">
        <v>197</v>
      </c>
      <c r="H33" s="1"/>
      <c r="I33" s="569"/>
      <c r="J33" s="569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35">
      <c r="A34" s="1" t="s">
        <v>198</v>
      </c>
      <c r="B34" t="s">
        <v>199</v>
      </c>
      <c r="H34" s="1"/>
      <c r="I34" s="569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35">
      <c r="A35" s="1" t="s">
        <v>200</v>
      </c>
      <c r="B35" t="s">
        <v>201</v>
      </c>
      <c r="H35" s="1"/>
      <c r="I35" s="569"/>
      <c r="J35" s="569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35">
      <c r="A36" s="1" t="s">
        <v>202</v>
      </c>
      <c r="B36" t="s">
        <v>203</v>
      </c>
      <c r="H36" s="1"/>
      <c r="I36" s="569"/>
      <c r="J36" s="569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35">
      <c r="A37" s="1" t="s">
        <v>204</v>
      </c>
      <c r="B37" t="s">
        <v>205</v>
      </c>
      <c r="H37" s="1"/>
      <c r="I37" s="569"/>
      <c r="J37" s="569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35">
      <c r="A38" s="1" t="s">
        <v>1226</v>
      </c>
      <c r="B38" t="s">
        <v>1221</v>
      </c>
      <c r="H38" s="1"/>
      <c r="I38" s="569"/>
      <c r="J38" s="569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35">
      <c r="A39" s="1" t="s">
        <v>1225</v>
      </c>
      <c r="B39" t="s">
        <v>1220</v>
      </c>
      <c r="H39" s="1"/>
      <c r="I39" s="569"/>
      <c r="J39" s="569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35">
      <c r="A40" s="1" t="s">
        <v>1227</v>
      </c>
      <c r="B40" t="s">
        <v>1222</v>
      </c>
      <c r="H40" s="1"/>
      <c r="I40" s="569"/>
      <c r="J40" s="569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35">
      <c r="A41" s="1" t="s">
        <v>1228</v>
      </c>
      <c r="B41" t="s">
        <v>1223</v>
      </c>
      <c r="H41" s="1"/>
      <c r="I41" s="569"/>
      <c r="J41" s="569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35">
      <c r="A42" s="1" t="s">
        <v>1229</v>
      </c>
      <c r="B42" t="s">
        <v>1224</v>
      </c>
      <c r="H42" s="1"/>
      <c r="I42" s="569"/>
      <c r="J42" s="569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35">
      <c r="B43" s="1"/>
      <c r="I43" s="569"/>
      <c r="J43" s="569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35">
      <c r="B44" s="1"/>
      <c r="I44" s="569"/>
      <c r="J44" s="569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35">
      <c r="B45" s="1"/>
      <c r="I45" s="569"/>
      <c r="J45" s="569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35">
      <c r="B46" s="1"/>
      <c r="I46" s="569"/>
      <c r="J46" s="569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35">
      <c r="B47" s="1"/>
      <c r="I47" s="569"/>
      <c r="J47" s="569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35">
      <c r="B48" s="1"/>
      <c r="I48" s="569"/>
      <c r="J48" s="569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2:25" x14ac:dyDescent="0.35">
      <c r="B49" s="1"/>
      <c r="I49" s="569"/>
      <c r="J49" s="569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2:25" x14ac:dyDescent="0.35">
      <c r="B50" s="1"/>
      <c r="I50" s="569"/>
      <c r="J50" s="569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2:25" x14ac:dyDescent="0.35">
      <c r="B51" s="1"/>
      <c r="I51" s="569"/>
      <c r="J51" s="569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2:25" x14ac:dyDescent="0.35">
      <c r="B52" s="1"/>
      <c r="I52" s="569"/>
      <c r="J52" s="569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2:25" x14ac:dyDescent="0.35">
      <c r="B53" s="1"/>
      <c r="I53" s="569"/>
      <c r="J53" s="569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2:25" x14ac:dyDescent="0.35">
      <c r="B54" s="1"/>
      <c r="I54" s="569"/>
      <c r="J54" s="569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2:25" x14ac:dyDescent="0.35">
      <c r="B55" s="1"/>
      <c r="I55" s="569"/>
      <c r="J55" s="569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2:25" x14ac:dyDescent="0.35">
      <c r="B56" s="1"/>
      <c r="I56" s="569"/>
      <c r="J56" s="569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2:25" x14ac:dyDescent="0.35">
      <c r="B57" s="1"/>
      <c r="I57" s="569"/>
      <c r="J57" s="569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2:25" x14ac:dyDescent="0.35">
      <c r="B58" s="1"/>
      <c r="I58" s="569"/>
      <c r="J58" s="569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2:25" x14ac:dyDescent="0.35">
      <c r="B59" s="1"/>
      <c r="I59" s="569"/>
      <c r="J59" s="569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2:25" x14ac:dyDescent="0.35">
      <c r="B60" s="1"/>
      <c r="I60" s="569"/>
      <c r="J60" s="569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2:25" x14ac:dyDescent="0.35">
      <c r="B61" s="1"/>
      <c r="I61" s="569"/>
      <c r="J61" s="569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2:25" x14ac:dyDescent="0.35">
      <c r="B62" s="1"/>
      <c r="I62" s="569"/>
      <c r="J62" s="569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2:25" x14ac:dyDescent="0.35">
      <c r="B63" s="1"/>
      <c r="I63" s="569"/>
      <c r="J63" s="569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2:25" x14ac:dyDescent="0.35">
      <c r="B64" s="1"/>
      <c r="I64" s="569"/>
      <c r="J64" s="569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2:25" x14ac:dyDescent="0.35">
      <c r="B65" s="1"/>
      <c r="I65" s="569"/>
      <c r="J65" s="569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2:25" x14ac:dyDescent="0.35">
      <c r="B66" s="1"/>
      <c r="I66" s="569"/>
      <c r="J66" s="569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2:25" x14ac:dyDescent="0.35">
      <c r="B67" s="1"/>
      <c r="I67" s="569"/>
      <c r="J67" s="569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2:25" x14ac:dyDescent="0.35">
      <c r="B68" s="1"/>
      <c r="I68" s="569"/>
      <c r="J68" s="569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2:25" x14ac:dyDescent="0.35">
      <c r="B69" s="1"/>
      <c r="I69" s="569"/>
      <c r="J69" s="569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2:25" x14ac:dyDescent="0.35">
      <c r="B70" s="1"/>
      <c r="I70" s="569"/>
      <c r="J70" s="569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2:25" x14ac:dyDescent="0.35">
      <c r="B71" s="1"/>
      <c r="I71" s="569"/>
      <c r="J71" s="569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2:25" x14ac:dyDescent="0.35">
      <c r="B72" s="1"/>
      <c r="I72" s="569"/>
      <c r="J72" s="569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2:25" x14ac:dyDescent="0.35">
      <c r="B73" s="1"/>
      <c r="I73" s="569"/>
      <c r="J73" s="569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2:25" x14ac:dyDescent="0.35">
      <c r="B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2:25" x14ac:dyDescent="0.35">
      <c r="B75" s="1"/>
      <c r="I75" s="569"/>
      <c r="J75" s="569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2:25" x14ac:dyDescent="0.35">
      <c r="B76" s="1"/>
      <c r="I76" s="569"/>
      <c r="J76" s="569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2:25" x14ac:dyDescent="0.35">
      <c r="B77" s="1"/>
      <c r="I77" s="569"/>
      <c r="J77" s="569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2:25" x14ac:dyDescent="0.35">
      <c r="B78" s="1"/>
      <c r="I78" s="569"/>
      <c r="J78" s="569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2:25" x14ac:dyDescent="0.35">
      <c r="B79" s="1"/>
    </row>
    <row r="80" spans="2:25" x14ac:dyDescent="0.35">
      <c r="B80" s="1"/>
    </row>
    <row r="81" spans="2:2" x14ac:dyDescent="0.35">
      <c r="B81" s="1"/>
    </row>
    <row r="82" spans="2:2" x14ac:dyDescent="0.35">
      <c r="B82" s="1"/>
    </row>
    <row r="83" spans="2:2" x14ac:dyDescent="0.35">
      <c r="B83" s="1"/>
    </row>
  </sheetData>
  <sortState xmlns:xlrd2="http://schemas.microsoft.com/office/spreadsheetml/2017/richdata2" ref="J2:J41">
    <sortCondition ref="J2:J41"/>
  </sortState>
  <phoneticPr fontId="56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1"/>
  <dimension ref="A1:AV128"/>
  <sheetViews>
    <sheetView topLeftCell="X1" workbookViewId="0">
      <pane ySplit="1" topLeftCell="A2" activePane="bottomLeft" state="frozen"/>
      <selection activeCell="B1258" sqref="B1258:V1305"/>
      <selection pane="bottomLeft" activeCell="A2" sqref="A2:AU128"/>
    </sheetView>
  </sheetViews>
  <sheetFormatPr defaultColWidth="9.1796875" defaultRowHeight="14.5" x14ac:dyDescent="0.35"/>
  <cols>
    <col min="1" max="1" width="14.26953125" style="3" customWidth="1"/>
    <col min="2" max="2" width="14.26953125" style="537" customWidth="1"/>
    <col min="3" max="3" width="32.26953125" style="3" customWidth="1"/>
    <col min="4" max="4" width="14.26953125" style="3" customWidth="1"/>
    <col min="5" max="5" width="15.81640625" style="149" customWidth="1"/>
    <col min="6" max="6" width="14" style="3" bestFit="1" customWidth="1"/>
    <col min="7" max="7" width="63.453125" style="3" customWidth="1"/>
    <col min="8" max="8" width="14.26953125" style="7" customWidth="1"/>
    <col min="9" max="9" width="14.26953125" style="2" customWidth="1"/>
    <col min="10" max="10" width="14.26953125" style="106" customWidth="1"/>
    <col min="11" max="11" width="33.453125" style="106" customWidth="1"/>
    <col min="12" max="13" width="14.26953125" style="106" customWidth="1"/>
    <col min="14" max="14" width="11.54296875" style="152" customWidth="1"/>
    <col min="15" max="15" width="34.453125" style="1" customWidth="1"/>
    <col min="16" max="16" width="14.26953125" style="6" customWidth="1"/>
    <col min="17" max="17" width="16" style="6" customWidth="1"/>
    <col min="18" max="18" width="22" style="1" bestFit="1" customWidth="1"/>
    <col min="19" max="19" width="33.453125" style="1" customWidth="1"/>
    <col min="20" max="20" width="12.1796875" customWidth="1"/>
    <col min="21" max="21" width="14.26953125" style="71" customWidth="1"/>
    <col min="22" max="22" width="14.26953125" style="1" customWidth="1"/>
    <col min="23" max="23" width="54.81640625" style="1" bestFit="1" customWidth="1"/>
    <col min="24" max="27" width="15.81640625" style="1" customWidth="1"/>
    <col min="28" max="28" width="14.26953125" style="6" customWidth="1"/>
    <col min="29" max="29" width="21.453125" style="101" customWidth="1"/>
    <col min="30" max="30" width="20.81640625" style="6" customWidth="1"/>
    <col min="31" max="31" width="25.453125" style="101" customWidth="1"/>
    <col min="32" max="32" width="21.1796875" style="6" customWidth="1"/>
    <col min="33" max="33" width="21.1796875" style="1" customWidth="1"/>
    <col min="34" max="34" width="21.7265625" style="534" customWidth="1"/>
    <col min="35" max="35" width="58.26953125" style="459" customWidth="1"/>
    <col min="36" max="36" width="20.1796875" style="6" bestFit="1" customWidth="1"/>
    <col min="37" max="37" width="12.7265625" customWidth="1"/>
    <col min="38" max="38" width="18" style="6" customWidth="1"/>
    <col min="39" max="39" width="18" customWidth="1"/>
    <col min="40" max="41" width="18" style="1" customWidth="1"/>
    <col min="42" max="42" width="14.81640625" style="70" customWidth="1"/>
    <col min="43" max="43" width="20.81640625" style="512" customWidth="1"/>
    <col min="44" max="46" width="20.81640625" style="513" customWidth="1"/>
    <col min="47" max="47" width="27.453125" style="1" customWidth="1"/>
  </cols>
  <sheetData>
    <row r="1" spans="1:48" s="60" customFormat="1" ht="42" customHeight="1" x14ac:dyDescent="0.35">
      <c r="A1" s="60" t="s">
        <v>350</v>
      </c>
      <c r="B1" s="72" t="s">
        <v>356</v>
      </c>
      <c r="C1" s="60" t="s">
        <v>357</v>
      </c>
      <c r="D1" s="60" t="s">
        <v>221</v>
      </c>
      <c r="E1" s="147" t="s">
        <v>358</v>
      </c>
      <c r="F1" s="60" t="s">
        <v>359</v>
      </c>
      <c r="G1" s="60" t="s">
        <v>220</v>
      </c>
      <c r="H1" s="60" t="s">
        <v>360</v>
      </c>
      <c r="I1" s="104" t="s">
        <v>361</v>
      </c>
      <c r="J1" s="103" t="s">
        <v>941</v>
      </c>
      <c r="K1" s="103" t="s">
        <v>1382</v>
      </c>
      <c r="L1" s="103" t="s">
        <v>13</v>
      </c>
      <c r="M1" s="103" t="s">
        <v>14</v>
      </c>
      <c r="N1" s="60" t="s">
        <v>16</v>
      </c>
      <c r="O1" s="60" t="s">
        <v>362</v>
      </c>
      <c r="P1" s="62" t="s">
        <v>363</v>
      </c>
      <c r="Q1" s="62" t="s">
        <v>996</v>
      </c>
      <c r="R1" s="60" t="s">
        <v>364</v>
      </c>
      <c r="S1" s="60" t="s">
        <v>990</v>
      </c>
      <c r="T1" s="60" t="s">
        <v>365</v>
      </c>
      <c r="U1" s="72" t="s">
        <v>366</v>
      </c>
      <c r="V1" s="60" t="s">
        <v>667</v>
      </c>
      <c r="W1" s="60" t="s">
        <v>367</v>
      </c>
      <c r="X1" s="60" t="s">
        <v>368</v>
      </c>
      <c r="Y1" s="60" t="s">
        <v>369</v>
      </c>
      <c r="Z1" s="60" t="s">
        <v>370</v>
      </c>
      <c r="AA1" s="62" t="s">
        <v>875</v>
      </c>
      <c r="AB1" s="60" t="s">
        <v>371</v>
      </c>
      <c r="AC1" s="104" t="s">
        <v>942</v>
      </c>
      <c r="AD1" s="60" t="s">
        <v>943</v>
      </c>
      <c r="AE1" s="104" t="s">
        <v>1004</v>
      </c>
      <c r="AF1" s="60" t="s">
        <v>1003</v>
      </c>
      <c r="AG1" s="60" t="s">
        <v>1007</v>
      </c>
      <c r="AH1" s="4" t="s">
        <v>1375</v>
      </c>
      <c r="AI1" s="4" t="s">
        <v>372</v>
      </c>
      <c r="AJ1" s="60" t="s">
        <v>373</v>
      </c>
      <c r="AK1" s="60" t="s">
        <v>374</v>
      </c>
      <c r="AL1" s="150" t="s">
        <v>759</v>
      </c>
      <c r="AM1" s="151" t="s">
        <v>760</v>
      </c>
      <c r="AN1" s="151" t="s">
        <v>761</v>
      </c>
      <c r="AO1" s="151" t="s">
        <v>762</v>
      </c>
      <c r="AP1" s="72" t="s">
        <v>927</v>
      </c>
      <c r="AQ1" s="60" t="s">
        <v>998</v>
      </c>
      <c r="AR1" s="60" t="s">
        <v>999</v>
      </c>
      <c r="AS1" s="60" t="s">
        <v>1000</v>
      </c>
      <c r="AT1" s="60" t="s">
        <v>1001</v>
      </c>
      <c r="AU1" s="60" t="s">
        <v>1386</v>
      </c>
      <c r="AV1" s="60">
        <f>COUNTA(orderHistory[order_no])+2</f>
        <v>129</v>
      </c>
    </row>
    <row r="2" spans="1:48" ht="41.5" x14ac:dyDescent="0.35">
      <c r="A2" s="1">
        <v>140</v>
      </c>
      <c r="B2" s="595">
        <v>45595</v>
      </c>
      <c r="C2" s="1" t="s">
        <v>343</v>
      </c>
      <c r="D2" s="1" t="s">
        <v>607</v>
      </c>
      <c r="E2" s="148"/>
      <c r="F2" s="1">
        <v>169</v>
      </c>
      <c r="G2" s="1" t="s">
        <v>327</v>
      </c>
      <c r="H2" s="6" t="s">
        <v>1094</v>
      </c>
      <c r="I2" s="107" t="s">
        <v>1251</v>
      </c>
      <c r="J2" s="115"/>
      <c r="K2" s="115" t="s">
        <v>1380</v>
      </c>
      <c r="L2" s="115">
        <v>1231.6666666666665</v>
      </c>
      <c r="M2" s="115">
        <v>1349.3333333333333</v>
      </c>
      <c r="N2" s="630">
        <v>3.8313000000000001</v>
      </c>
      <c r="P2" s="6">
        <v>0</v>
      </c>
      <c r="Q2" s="6">
        <v>0</v>
      </c>
      <c r="R2" s="6" t="s">
        <v>882</v>
      </c>
      <c r="S2" s="6" t="s">
        <v>704</v>
      </c>
      <c r="T2" s="1" t="s">
        <v>1153</v>
      </c>
      <c r="U2" s="595"/>
      <c r="V2" s="595" t="s">
        <v>660</v>
      </c>
      <c r="W2" s="1" t="s">
        <v>919</v>
      </c>
      <c r="X2" s="595"/>
      <c r="Y2" s="1" t="b">
        <v>0</v>
      </c>
      <c r="Z2" s="6">
        <v>20000</v>
      </c>
      <c r="AA2" s="6">
        <v>18000</v>
      </c>
      <c r="AB2" s="6">
        <v>-2000</v>
      </c>
      <c r="AC2" s="107" t="s">
        <v>1105</v>
      </c>
      <c r="AD2" s="6" t="s">
        <v>1089</v>
      </c>
      <c r="AE2" s="107"/>
      <c r="AG2" s="1" t="b">
        <v>1</v>
      </c>
      <c r="AH2" s="631"/>
      <c r="AI2" s="633" t="s">
        <v>1721</v>
      </c>
      <c r="AJ2" s="6" t="s">
        <v>671</v>
      </c>
      <c r="AK2" s="6" t="b">
        <v>1</v>
      </c>
      <c r="AM2" s="6"/>
      <c r="AN2" s="6"/>
      <c r="AO2" s="6"/>
      <c r="AP2" s="595"/>
      <c r="AQ2" s="632" t="s">
        <v>639</v>
      </c>
      <c r="AR2" s="632" t="s">
        <v>1322</v>
      </c>
      <c r="AS2" s="632" t="s">
        <v>1321</v>
      </c>
      <c r="AT2" s="632" t="s">
        <v>1323</v>
      </c>
      <c r="AU2" s="631" t="s">
        <v>1385</v>
      </c>
    </row>
    <row r="3" spans="1:48" ht="33.5" x14ac:dyDescent="0.35">
      <c r="A3" s="1">
        <v>139</v>
      </c>
      <c r="B3" s="595">
        <v>45594</v>
      </c>
      <c r="C3" s="1" t="s">
        <v>855</v>
      </c>
      <c r="D3" s="1" t="s">
        <v>235</v>
      </c>
      <c r="E3" s="148"/>
      <c r="F3" s="1">
        <v>88</v>
      </c>
      <c r="G3" s="1" t="s">
        <v>327</v>
      </c>
      <c r="H3" s="6" t="s">
        <v>1092</v>
      </c>
      <c r="I3" s="107" t="s">
        <v>1119</v>
      </c>
      <c r="J3" s="115" t="s">
        <v>1725</v>
      </c>
      <c r="K3" s="115" t="s">
        <v>1380</v>
      </c>
      <c r="L3" s="115">
        <v>618.12833333333322</v>
      </c>
      <c r="M3" s="115">
        <v>679.66166666666686</v>
      </c>
      <c r="N3" s="618">
        <v>1.8251804999999999</v>
      </c>
      <c r="O3" s="1" t="s">
        <v>1730</v>
      </c>
      <c r="P3" s="6">
        <v>0</v>
      </c>
      <c r="Q3" s="6">
        <v>0</v>
      </c>
      <c r="R3" s="6" t="s">
        <v>1688</v>
      </c>
      <c r="S3" s="6" t="s">
        <v>1541</v>
      </c>
      <c r="T3" s="1" t="s">
        <v>1153</v>
      </c>
      <c r="U3" s="595"/>
      <c r="V3" s="595" t="s">
        <v>660</v>
      </c>
      <c r="W3" s="1" t="s">
        <v>954</v>
      </c>
      <c r="X3" s="595"/>
      <c r="Y3" s="1" t="b">
        <v>1</v>
      </c>
      <c r="Z3" s="6">
        <v>7248</v>
      </c>
      <c r="AA3" s="6">
        <v>10582.080000000002</v>
      </c>
      <c r="AB3" s="6">
        <v>3334.0800000000017</v>
      </c>
      <c r="AC3" s="107" t="s">
        <v>1105</v>
      </c>
      <c r="AD3" s="6" t="s">
        <v>1089</v>
      </c>
      <c r="AE3" s="107"/>
      <c r="AG3" s="1" t="b">
        <v>1</v>
      </c>
      <c r="AH3" s="619"/>
      <c r="AI3" s="621" t="s">
        <v>1731</v>
      </c>
      <c r="AJ3" s="6" t="s">
        <v>671</v>
      </c>
      <c r="AK3" s="6" t="b">
        <v>1</v>
      </c>
      <c r="AM3" s="6"/>
      <c r="AN3" s="6"/>
      <c r="AO3" s="6"/>
      <c r="AP3" s="595" t="s">
        <v>1727</v>
      </c>
      <c r="AQ3" s="620" t="s">
        <v>855</v>
      </c>
      <c r="AR3" s="620" t="s">
        <v>1537</v>
      </c>
      <c r="AS3" s="620" t="s">
        <v>1538</v>
      </c>
      <c r="AT3" s="620" t="s">
        <v>1539</v>
      </c>
      <c r="AU3" s="619" t="s">
        <v>1385</v>
      </c>
    </row>
    <row r="4" spans="1:48" ht="33.5" x14ac:dyDescent="0.35">
      <c r="A4" s="1">
        <v>138</v>
      </c>
      <c r="B4" s="595">
        <v>45593</v>
      </c>
      <c r="C4" s="1" t="s">
        <v>1658</v>
      </c>
      <c r="D4" s="1" t="s">
        <v>235</v>
      </c>
      <c r="E4" s="148"/>
      <c r="F4" s="1">
        <v>1168</v>
      </c>
      <c r="G4" s="1"/>
      <c r="H4" s="6" t="s">
        <v>1094</v>
      </c>
      <c r="I4" s="107"/>
      <c r="J4" s="115"/>
      <c r="K4" s="115" t="s">
        <v>1380</v>
      </c>
      <c r="L4" s="115">
        <v>8714.2000000000007</v>
      </c>
      <c r="M4" s="115">
        <v>8970.5</v>
      </c>
      <c r="N4" s="618">
        <v>39.664755</v>
      </c>
      <c r="P4" s="6">
        <v>0</v>
      </c>
      <c r="Q4" s="6">
        <v>0</v>
      </c>
      <c r="R4" s="6" t="s">
        <v>1531</v>
      </c>
      <c r="S4" s="6" t="s">
        <v>951</v>
      </c>
      <c r="T4" s="1" t="s">
        <v>1153</v>
      </c>
      <c r="U4" s="595"/>
      <c r="V4" s="595" t="s">
        <v>1084</v>
      </c>
      <c r="X4" s="595"/>
      <c r="Y4" s="1" t="b">
        <v>0</v>
      </c>
      <c r="Z4" s="6">
        <v>0</v>
      </c>
      <c r="AA4" s="6">
        <v>0</v>
      </c>
      <c r="AB4" s="6">
        <v>0</v>
      </c>
      <c r="AC4" s="107" t="s">
        <v>1105</v>
      </c>
      <c r="AD4" s="6" t="s">
        <v>1089</v>
      </c>
      <c r="AE4" s="107"/>
      <c r="AG4" s="1" t="b">
        <v>0</v>
      </c>
      <c r="AH4" s="619"/>
      <c r="AI4" s="621" t="s">
        <v>1411</v>
      </c>
      <c r="AJ4" s="6" t="s">
        <v>671</v>
      </c>
      <c r="AK4" s="6" t="b">
        <v>1</v>
      </c>
      <c r="AM4" s="6"/>
      <c r="AN4" s="6"/>
      <c r="AO4" s="6"/>
      <c r="AP4" s="595"/>
      <c r="AQ4" s="620" t="s">
        <v>1019</v>
      </c>
      <c r="AR4" s="620" t="s">
        <v>949</v>
      </c>
      <c r="AS4" s="620" t="s">
        <v>950</v>
      </c>
      <c r="AT4" s="620" t="s">
        <v>22</v>
      </c>
      <c r="AU4" s="619" t="s">
        <v>1384</v>
      </c>
    </row>
    <row r="5" spans="1:48" ht="33.5" x14ac:dyDescent="0.35">
      <c r="A5" s="1">
        <v>137</v>
      </c>
      <c r="B5" s="595">
        <v>45590</v>
      </c>
      <c r="C5" s="1" t="s">
        <v>1513</v>
      </c>
      <c r="D5" s="1" t="s">
        <v>235</v>
      </c>
      <c r="E5" s="148"/>
      <c r="F5" s="1">
        <v>48</v>
      </c>
      <c r="G5" s="1"/>
      <c r="H5" s="6" t="s">
        <v>1092</v>
      </c>
      <c r="I5" s="107" t="s">
        <v>1085</v>
      </c>
      <c r="J5" s="115"/>
      <c r="K5" s="115"/>
      <c r="L5" s="115">
        <v>89.705000000000041</v>
      </c>
      <c r="M5" s="115">
        <v>97.92500000000004</v>
      </c>
      <c r="N5" s="618">
        <v>0.37177102083333319</v>
      </c>
      <c r="O5" s="1" t="s">
        <v>1574</v>
      </c>
      <c r="P5" s="6">
        <v>0</v>
      </c>
      <c r="Q5" s="6">
        <v>0</v>
      </c>
      <c r="R5" s="6" t="s">
        <v>1083</v>
      </c>
      <c r="S5" s="6"/>
      <c r="T5" s="1" t="s">
        <v>1153</v>
      </c>
      <c r="U5" s="595">
        <v>45575</v>
      </c>
      <c r="V5" s="595" t="s">
        <v>1084</v>
      </c>
      <c r="X5" s="595"/>
      <c r="Y5" s="1" t="b">
        <v>0</v>
      </c>
      <c r="Z5" s="6">
        <v>0</v>
      </c>
      <c r="AA5" s="6">
        <v>0</v>
      </c>
      <c r="AB5" s="6">
        <v>0</v>
      </c>
      <c r="AC5" s="107" t="s">
        <v>1105</v>
      </c>
      <c r="AD5" s="6" t="s">
        <v>1089</v>
      </c>
      <c r="AE5" s="107"/>
      <c r="AG5" s="1" t="b">
        <v>0</v>
      </c>
      <c r="AH5" s="619"/>
      <c r="AI5" s="621" t="s">
        <v>1411</v>
      </c>
      <c r="AJ5" s="6" t="s">
        <v>671</v>
      </c>
      <c r="AK5" s="6" t="b">
        <v>1</v>
      </c>
      <c r="AM5" s="6"/>
      <c r="AN5" s="6"/>
      <c r="AO5" s="6"/>
      <c r="AP5" s="595"/>
      <c r="AQ5" s="620"/>
      <c r="AR5" s="620"/>
      <c r="AS5" s="620"/>
      <c r="AT5" s="620"/>
      <c r="AU5" s="619" t="s">
        <v>1384</v>
      </c>
    </row>
    <row r="6" spans="1:48" ht="65.5" x14ac:dyDescent="0.35">
      <c r="A6" s="1">
        <v>134</v>
      </c>
      <c r="B6" s="595">
        <v>45588</v>
      </c>
      <c r="C6" s="1" t="s">
        <v>314</v>
      </c>
      <c r="D6" s="1" t="s">
        <v>235</v>
      </c>
      <c r="E6" s="148"/>
      <c r="F6" s="1">
        <v>99</v>
      </c>
      <c r="G6" s="1" t="s">
        <v>615</v>
      </c>
      <c r="H6" s="6" t="s">
        <v>1092</v>
      </c>
      <c r="I6" s="107" t="s">
        <v>1121</v>
      </c>
      <c r="J6" s="115" t="s">
        <v>1690</v>
      </c>
      <c r="K6" s="115" t="s">
        <v>1380</v>
      </c>
      <c r="L6" s="115">
        <v>1435.1799999999998</v>
      </c>
      <c r="M6" s="115">
        <v>2015.1499999999999</v>
      </c>
      <c r="N6" s="618">
        <v>7.2348800000000004</v>
      </c>
      <c r="P6" s="6">
        <v>0</v>
      </c>
      <c r="Q6" s="6">
        <v>0</v>
      </c>
      <c r="R6" s="6" t="s">
        <v>1688</v>
      </c>
      <c r="S6" s="6" t="s">
        <v>842</v>
      </c>
      <c r="T6" s="1" t="s">
        <v>1153</v>
      </c>
      <c r="U6" s="595"/>
      <c r="V6" s="595" t="s">
        <v>660</v>
      </c>
      <c r="W6" s="1" t="s">
        <v>920</v>
      </c>
      <c r="X6" s="595"/>
      <c r="Y6" s="1" t="b">
        <v>0</v>
      </c>
      <c r="Z6" s="6">
        <v>31239.74</v>
      </c>
      <c r="AA6" s="6">
        <v>33422</v>
      </c>
      <c r="AB6" s="6">
        <v>2182.2599999999984</v>
      </c>
      <c r="AC6" s="107" t="s">
        <v>1692</v>
      </c>
      <c r="AD6" s="6" t="s">
        <v>1693</v>
      </c>
      <c r="AE6" s="107">
        <v>135</v>
      </c>
      <c r="AF6" s="6" t="b">
        <v>1</v>
      </c>
      <c r="AG6" s="1" t="b">
        <v>1</v>
      </c>
      <c r="AH6" s="619"/>
      <c r="AI6" s="621" t="s">
        <v>1691</v>
      </c>
      <c r="AJ6" s="6" t="s">
        <v>671</v>
      </c>
      <c r="AK6" s="6" t="b">
        <v>1</v>
      </c>
      <c r="AM6" s="6"/>
      <c r="AN6" s="6"/>
      <c r="AO6" s="6"/>
      <c r="AP6" s="595"/>
      <c r="AQ6" s="620" t="s">
        <v>316</v>
      </c>
      <c r="AR6" s="620" t="s">
        <v>669</v>
      </c>
      <c r="AS6" s="620" t="s">
        <v>670</v>
      </c>
      <c r="AT6" s="620" t="s">
        <v>319</v>
      </c>
      <c r="AU6" s="619" t="s">
        <v>1384</v>
      </c>
    </row>
    <row r="7" spans="1:48" ht="33.5" x14ac:dyDescent="0.35">
      <c r="A7" s="1">
        <v>132</v>
      </c>
      <c r="B7" s="595">
        <v>45587</v>
      </c>
      <c r="C7" s="1" t="s">
        <v>855</v>
      </c>
      <c r="D7" s="1" t="s">
        <v>235</v>
      </c>
      <c r="E7" s="148"/>
      <c r="F7" s="1" t="s">
        <v>1118</v>
      </c>
      <c r="G7" s="1" t="s">
        <v>327</v>
      </c>
      <c r="H7" s="6" t="s">
        <v>1698</v>
      </c>
      <c r="I7" s="107" t="s">
        <v>1085</v>
      </c>
      <c r="J7" s="115" t="s">
        <v>1699</v>
      </c>
      <c r="K7" s="115" t="s">
        <v>1380</v>
      </c>
      <c r="L7" s="115">
        <v>29.087499999999991</v>
      </c>
      <c r="M7" s="115">
        <v>32.337499999999991</v>
      </c>
      <c r="N7" s="152">
        <v>0.12419921799999999</v>
      </c>
      <c r="O7" s="1" t="s">
        <v>1726</v>
      </c>
      <c r="P7" s="6">
        <v>0</v>
      </c>
      <c r="Q7" s="6">
        <v>0</v>
      </c>
      <c r="R7" s="6" t="s">
        <v>1102</v>
      </c>
      <c r="S7" s="6" t="s">
        <v>1541</v>
      </c>
      <c r="T7" s="1" t="s">
        <v>1153</v>
      </c>
      <c r="U7" s="595">
        <v>45590</v>
      </c>
      <c r="V7" s="595" t="s">
        <v>1099</v>
      </c>
      <c r="W7" s="1" t="s">
        <v>954</v>
      </c>
      <c r="X7" s="595"/>
      <c r="Y7" s="1" t="b">
        <v>1</v>
      </c>
      <c r="Z7" s="6">
        <v>0</v>
      </c>
      <c r="AA7" s="6">
        <v>0</v>
      </c>
      <c r="AB7" s="6">
        <v>0</v>
      </c>
      <c r="AC7" s="107" t="s">
        <v>1085</v>
      </c>
      <c r="AD7" s="6" t="s">
        <v>1700</v>
      </c>
      <c r="AE7" s="107">
        <v>133</v>
      </c>
      <c r="AF7" s="6" t="b">
        <v>1</v>
      </c>
      <c r="AG7" s="1" t="s">
        <v>1082</v>
      </c>
      <c r="AI7" s="614" t="s">
        <v>1411</v>
      </c>
      <c r="AJ7" s="6" t="s">
        <v>671</v>
      </c>
      <c r="AK7" s="6" t="b">
        <v>1</v>
      </c>
      <c r="AM7" s="6"/>
      <c r="AN7" s="6"/>
      <c r="AO7" s="6"/>
      <c r="AP7" s="595" t="s">
        <v>1728</v>
      </c>
      <c r="AQ7" s="613" t="s">
        <v>855</v>
      </c>
      <c r="AR7" s="613" t="s">
        <v>1537</v>
      </c>
      <c r="AS7" s="613" t="s">
        <v>1538</v>
      </c>
      <c r="AT7" s="613" t="s">
        <v>1539</v>
      </c>
      <c r="AU7" s="534" t="s">
        <v>1384</v>
      </c>
    </row>
    <row r="8" spans="1:48" x14ac:dyDescent="0.35">
      <c r="A8" s="1">
        <v>128</v>
      </c>
      <c r="B8" s="595">
        <v>45581</v>
      </c>
      <c r="C8" s="1" t="s">
        <v>293</v>
      </c>
      <c r="D8" s="1" t="s">
        <v>235</v>
      </c>
      <c r="E8" s="148"/>
      <c r="F8" s="1" t="s">
        <v>1183</v>
      </c>
      <c r="G8" s="1" t="s">
        <v>327</v>
      </c>
      <c r="H8" s="6" t="s">
        <v>1094</v>
      </c>
      <c r="I8" s="107" t="s">
        <v>1119</v>
      </c>
      <c r="J8" s="115" t="s">
        <v>1105</v>
      </c>
      <c r="K8" s="115" t="s">
        <v>1380</v>
      </c>
      <c r="L8" s="115">
        <v>0</v>
      </c>
      <c r="M8" s="115">
        <v>0</v>
      </c>
      <c r="N8" s="596">
        <v>0</v>
      </c>
      <c r="O8" s="1" t="s">
        <v>1653</v>
      </c>
      <c r="P8" s="6">
        <v>0</v>
      </c>
      <c r="Q8" s="6">
        <v>0</v>
      </c>
      <c r="R8" s="6" t="s">
        <v>1083</v>
      </c>
      <c r="S8" s="6" t="s">
        <v>928</v>
      </c>
      <c r="T8" s="1" t="s">
        <v>1153</v>
      </c>
      <c r="U8" s="595">
        <v>45580</v>
      </c>
      <c r="V8" s="595" t="s">
        <v>1084</v>
      </c>
      <c r="W8" s="1" t="s">
        <v>923</v>
      </c>
      <c r="X8" s="595"/>
      <c r="Y8" s="1" t="b">
        <v>0</v>
      </c>
      <c r="Z8" s="6">
        <v>0</v>
      </c>
      <c r="AA8" s="6">
        <v>0</v>
      </c>
      <c r="AB8" s="6">
        <v>0</v>
      </c>
      <c r="AC8" s="107" t="s">
        <v>1105</v>
      </c>
      <c r="AD8" s="6" t="s">
        <v>1089</v>
      </c>
      <c r="AE8" s="107"/>
      <c r="AG8" s="1" t="b">
        <v>0</v>
      </c>
      <c r="AH8" s="597"/>
      <c r="AI8" s="605" t="s">
        <v>1657</v>
      </c>
      <c r="AJ8" s="6" t="s">
        <v>1091</v>
      </c>
      <c r="AK8" s="6" t="b">
        <v>1</v>
      </c>
      <c r="AM8" s="6"/>
      <c r="AN8" s="6"/>
      <c r="AO8" s="6"/>
      <c r="AP8" s="595" t="s">
        <v>1652</v>
      </c>
      <c r="AQ8" s="598" t="s">
        <v>294</v>
      </c>
      <c r="AR8" s="598" t="s">
        <v>295</v>
      </c>
      <c r="AS8" s="598" t="s">
        <v>296</v>
      </c>
      <c r="AT8" s="598" t="s">
        <v>297</v>
      </c>
      <c r="AU8" s="597" t="s">
        <v>1384</v>
      </c>
    </row>
    <row r="9" spans="1:48" x14ac:dyDescent="0.35">
      <c r="A9" s="1">
        <v>125</v>
      </c>
      <c r="B9" s="595">
        <v>45553</v>
      </c>
      <c r="C9" s="1" t="s">
        <v>1563</v>
      </c>
      <c r="D9" s="1" t="s">
        <v>235</v>
      </c>
      <c r="E9" s="148"/>
      <c r="F9" s="1">
        <v>406</v>
      </c>
      <c r="G9" s="1" t="s">
        <v>327</v>
      </c>
      <c r="H9" s="6" t="s">
        <v>1094</v>
      </c>
      <c r="I9" s="107"/>
      <c r="J9" s="115"/>
      <c r="K9" s="115" t="s">
        <v>1380</v>
      </c>
      <c r="L9" s="115">
        <v>3086.6</v>
      </c>
      <c r="M9" s="115">
        <v>3314.3</v>
      </c>
      <c r="N9" s="596">
        <v>8.9321825000000015</v>
      </c>
      <c r="R9" s="6" t="s">
        <v>882</v>
      </c>
      <c r="S9" s="6" t="s">
        <v>1559</v>
      </c>
      <c r="T9" s="1" t="s">
        <v>1153</v>
      </c>
      <c r="U9" s="595"/>
      <c r="V9" s="595" t="s">
        <v>660</v>
      </c>
      <c r="W9" s="1" t="s">
        <v>954</v>
      </c>
      <c r="X9" s="595"/>
      <c r="Y9" s="1" t="b">
        <v>0</v>
      </c>
      <c r="Z9" s="6">
        <v>70473.60000000002</v>
      </c>
      <c r="AA9" s="6">
        <v>64560</v>
      </c>
      <c r="AB9" s="6">
        <v>-5913.6000000000204</v>
      </c>
      <c r="AC9" s="107"/>
      <c r="AE9" s="107"/>
      <c r="AF9" s="6" t="b">
        <v>0</v>
      </c>
      <c r="AG9" s="1" t="b">
        <v>0</v>
      </c>
      <c r="AH9" s="597"/>
      <c r="AI9" s="605" t="s">
        <v>1411</v>
      </c>
      <c r="AJ9" s="6" t="s">
        <v>671</v>
      </c>
      <c r="AK9" s="6" t="b">
        <v>1</v>
      </c>
      <c r="AM9" s="6"/>
      <c r="AN9" s="6"/>
      <c r="AO9" s="6"/>
      <c r="AP9" s="595"/>
      <c r="AQ9" s="598"/>
      <c r="AR9" s="598"/>
      <c r="AS9" s="598"/>
      <c r="AT9" s="598" t="s">
        <v>1558</v>
      </c>
      <c r="AU9" s="597" t="s">
        <v>1385</v>
      </c>
    </row>
    <row r="10" spans="1:48" x14ac:dyDescent="0.35">
      <c r="A10" s="1">
        <v>122</v>
      </c>
      <c r="B10" s="595">
        <v>45551</v>
      </c>
      <c r="C10" s="1" t="s">
        <v>1546</v>
      </c>
      <c r="D10" s="1" t="s">
        <v>235</v>
      </c>
      <c r="E10" s="148"/>
      <c r="F10" s="1" t="s">
        <v>1119</v>
      </c>
      <c r="G10" s="1" t="s">
        <v>234</v>
      </c>
      <c r="H10" s="6" t="s">
        <v>765</v>
      </c>
      <c r="I10" s="107"/>
      <c r="J10" s="115"/>
      <c r="K10" s="115"/>
      <c r="L10" s="115">
        <v>9.0941666666666627</v>
      </c>
      <c r="M10" s="115">
        <v>10.065833333333329</v>
      </c>
      <c r="N10" s="596">
        <v>3.1271770833333337E-2</v>
      </c>
      <c r="O10" s="1" t="s">
        <v>764</v>
      </c>
      <c r="P10" s="6" t="s">
        <v>1554</v>
      </c>
      <c r="Q10" s="6">
        <v>0</v>
      </c>
      <c r="R10" s="6" t="s">
        <v>1102</v>
      </c>
      <c r="S10" s="6"/>
      <c r="T10" s="1" t="s">
        <v>1153</v>
      </c>
      <c r="U10" s="595">
        <v>45552</v>
      </c>
      <c r="V10" s="595" t="s">
        <v>1099</v>
      </c>
      <c r="W10" s="1" t="s">
        <v>919</v>
      </c>
      <c r="X10" s="595"/>
      <c r="Y10" s="1" t="b">
        <v>1</v>
      </c>
      <c r="Z10" s="6">
        <v>180.31000000000006</v>
      </c>
      <c r="AA10" s="6">
        <v>0</v>
      </c>
      <c r="AB10" s="6">
        <v>-180.31000000000006</v>
      </c>
      <c r="AC10" s="107" t="s">
        <v>1105</v>
      </c>
      <c r="AD10" s="6" t="s">
        <v>1089</v>
      </c>
      <c r="AE10" s="107">
        <v>123</v>
      </c>
      <c r="AF10" s="6" t="b">
        <v>0</v>
      </c>
      <c r="AG10" s="1" t="s">
        <v>1082</v>
      </c>
      <c r="AH10" s="597"/>
      <c r="AI10" s="605" t="s">
        <v>1411</v>
      </c>
      <c r="AJ10" s="6" t="s">
        <v>671</v>
      </c>
      <c r="AK10" s="6" t="b">
        <v>1</v>
      </c>
      <c r="AM10" s="6"/>
      <c r="AN10" s="6"/>
      <c r="AO10" s="6"/>
      <c r="AP10" s="595" t="s">
        <v>1548</v>
      </c>
      <c r="AQ10" s="598"/>
      <c r="AR10" s="598"/>
      <c r="AS10" s="598"/>
      <c r="AT10" s="598"/>
      <c r="AU10" s="597" t="s">
        <v>1384</v>
      </c>
    </row>
    <row r="11" spans="1:48" x14ac:dyDescent="0.35">
      <c r="A11" s="1">
        <v>121</v>
      </c>
      <c r="B11" s="595">
        <v>45551</v>
      </c>
      <c r="C11" s="1" t="s">
        <v>1545</v>
      </c>
      <c r="D11" s="1" t="s">
        <v>235</v>
      </c>
      <c r="E11" s="148"/>
      <c r="F11" s="1" t="s">
        <v>1119</v>
      </c>
      <c r="G11" s="1" t="s">
        <v>327</v>
      </c>
      <c r="H11" s="6" t="s">
        <v>765</v>
      </c>
      <c r="I11" s="107"/>
      <c r="J11" s="115"/>
      <c r="K11" s="115" t="s">
        <v>1380</v>
      </c>
      <c r="L11" s="115">
        <v>9.0941666666666627</v>
      </c>
      <c r="M11" s="115">
        <v>10.065833333333329</v>
      </c>
      <c r="N11" s="596">
        <v>3.1271770833333337E-2</v>
      </c>
      <c r="O11" s="1" t="s">
        <v>764</v>
      </c>
      <c r="P11" s="6" t="s">
        <v>1553</v>
      </c>
      <c r="Q11" s="6">
        <v>0</v>
      </c>
      <c r="R11" s="6" t="s">
        <v>1102</v>
      </c>
      <c r="S11" s="6" t="s">
        <v>928</v>
      </c>
      <c r="T11" s="1" t="s">
        <v>1153</v>
      </c>
      <c r="U11" s="595">
        <v>45552</v>
      </c>
      <c r="V11" s="595" t="s">
        <v>1099</v>
      </c>
      <c r="W11" s="1" t="s">
        <v>923</v>
      </c>
      <c r="X11" s="595"/>
      <c r="Y11" s="1" t="b">
        <v>1</v>
      </c>
      <c r="Z11" s="6">
        <v>180.31000000000006</v>
      </c>
      <c r="AA11" s="6">
        <v>0</v>
      </c>
      <c r="AB11" s="6">
        <v>-180.31000000000006</v>
      </c>
      <c r="AC11" s="107" t="s">
        <v>1105</v>
      </c>
      <c r="AD11" s="6" t="s">
        <v>1089</v>
      </c>
      <c r="AE11" s="107">
        <v>124</v>
      </c>
      <c r="AF11" s="6" t="b">
        <v>1</v>
      </c>
      <c r="AG11" s="1" t="s">
        <v>1082</v>
      </c>
      <c r="AH11" s="597"/>
      <c r="AI11" s="605" t="s">
        <v>1543</v>
      </c>
      <c r="AJ11" s="6" t="s">
        <v>671</v>
      </c>
      <c r="AK11" s="6" t="b">
        <v>1</v>
      </c>
      <c r="AM11" s="6"/>
      <c r="AN11" s="6"/>
      <c r="AO11" s="6"/>
      <c r="AP11" s="595"/>
      <c r="AQ11" s="598" t="s">
        <v>295</v>
      </c>
      <c r="AR11" s="598" t="s">
        <v>296</v>
      </c>
      <c r="AS11" s="598" t="s">
        <v>297</v>
      </c>
      <c r="AT11" s="598"/>
      <c r="AU11" s="597" t="s">
        <v>1384</v>
      </c>
    </row>
    <row r="12" spans="1:48" x14ac:dyDescent="0.35">
      <c r="A12" s="1">
        <v>119</v>
      </c>
      <c r="B12" s="595">
        <v>45546</v>
      </c>
      <c r="C12" s="1" t="s">
        <v>293</v>
      </c>
      <c r="D12" s="1" t="s">
        <v>235</v>
      </c>
      <c r="E12" s="148"/>
      <c r="F12" s="1">
        <v>384</v>
      </c>
      <c r="G12" s="1" t="s">
        <v>327</v>
      </c>
      <c r="H12" s="6"/>
      <c r="I12" s="107"/>
      <c r="J12" s="115"/>
      <c r="K12" s="115" t="s">
        <v>1380</v>
      </c>
      <c r="L12" s="115">
        <v>2369.2799999999997</v>
      </c>
      <c r="M12" s="115">
        <v>2599.6799999999998</v>
      </c>
      <c r="N12" s="596">
        <v>14.969087999999999</v>
      </c>
      <c r="R12" s="6" t="s">
        <v>1531</v>
      </c>
      <c r="S12" s="6" t="s">
        <v>928</v>
      </c>
      <c r="T12" s="1" t="s">
        <v>1153</v>
      </c>
      <c r="U12" s="595"/>
      <c r="V12" s="595" t="s">
        <v>1084</v>
      </c>
      <c r="W12" s="1" t="s">
        <v>923</v>
      </c>
      <c r="X12" s="595"/>
      <c r="Y12" s="1" t="b">
        <v>0</v>
      </c>
      <c r="Z12" s="6">
        <v>0</v>
      </c>
      <c r="AA12" s="6">
        <v>32117.759999999998</v>
      </c>
      <c r="AB12" s="6">
        <v>0</v>
      </c>
      <c r="AC12" s="107"/>
      <c r="AE12" s="107"/>
      <c r="AG12" s="1" t="b">
        <v>0</v>
      </c>
      <c r="AH12" s="597"/>
      <c r="AI12" s="605" t="s">
        <v>1536</v>
      </c>
      <c r="AJ12" s="6" t="s">
        <v>1108</v>
      </c>
      <c r="AK12" s="6" t="b">
        <v>1</v>
      </c>
      <c r="AM12" s="6"/>
      <c r="AN12" s="6"/>
      <c r="AO12" s="6"/>
      <c r="AP12" s="595"/>
      <c r="AQ12" s="598" t="s">
        <v>295</v>
      </c>
      <c r="AR12" s="598" t="s">
        <v>296</v>
      </c>
      <c r="AS12" s="598" t="s">
        <v>297</v>
      </c>
      <c r="AT12" s="598"/>
      <c r="AU12" s="597" t="s">
        <v>1385</v>
      </c>
    </row>
    <row r="13" spans="1:48" x14ac:dyDescent="0.35">
      <c r="A13" s="1">
        <v>116</v>
      </c>
      <c r="B13" s="595">
        <v>45540</v>
      </c>
      <c r="C13" s="1" t="s">
        <v>225</v>
      </c>
      <c r="D13" s="1" t="s">
        <v>235</v>
      </c>
      <c r="E13" s="148"/>
      <c r="F13" s="1" t="s">
        <v>1085</v>
      </c>
      <c r="G13" s="1" t="s">
        <v>234</v>
      </c>
      <c r="H13" s="6" t="s">
        <v>765</v>
      </c>
      <c r="I13" s="107"/>
      <c r="J13" s="115"/>
      <c r="K13" s="115" t="s">
        <v>1380</v>
      </c>
      <c r="L13" s="115">
        <v>2.98</v>
      </c>
      <c r="M13" s="115">
        <v>3.8999999999999995</v>
      </c>
      <c r="N13" s="596">
        <v>1.25009375E-2</v>
      </c>
      <c r="P13" s="6">
        <v>0</v>
      </c>
      <c r="Q13" s="6">
        <v>0</v>
      </c>
      <c r="R13" s="6" t="s">
        <v>1102</v>
      </c>
      <c r="S13" s="6" t="s">
        <v>710</v>
      </c>
      <c r="T13" s="1" t="s">
        <v>1153</v>
      </c>
      <c r="U13" s="595">
        <v>45540</v>
      </c>
      <c r="V13" s="595" t="s">
        <v>1099</v>
      </c>
      <c r="W13" s="1" t="s">
        <v>954</v>
      </c>
      <c r="X13" s="595"/>
      <c r="Y13" s="1" t="b">
        <v>1</v>
      </c>
      <c r="Z13" s="6">
        <v>71.03</v>
      </c>
      <c r="AA13" s="6">
        <v>0</v>
      </c>
      <c r="AB13" s="6">
        <v>-71.03</v>
      </c>
      <c r="AC13" s="107" t="s">
        <v>1105</v>
      </c>
      <c r="AD13" s="6" t="s">
        <v>1089</v>
      </c>
      <c r="AE13" s="107">
        <v>117</v>
      </c>
      <c r="AF13" s="6" t="b">
        <v>1</v>
      </c>
      <c r="AG13" s="1" t="s">
        <v>1082</v>
      </c>
      <c r="AH13" s="597"/>
      <c r="AI13" s="605" t="s">
        <v>1517</v>
      </c>
      <c r="AJ13" s="6" t="s">
        <v>671</v>
      </c>
      <c r="AK13" s="6" t="b">
        <v>1</v>
      </c>
      <c r="AM13" s="6"/>
      <c r="AN13" s="6"/>
      <c r="AO13" s="6"/>
      <c r="AP13" s="595"/>
      <c r="AQ13" s="598" t="s">
        <v>228</v>
      </c>
      <c r="AR13" s="598" t="s">
        <v>229</v>
      </c>
      <c r="AS13" s="598" t="s">
        <v>230</v>
      </c>
      <c r="AT13" s="598"/>
      <c r="AU13" s="597" t="s">
        <v>1384</v>
      </c>
    </row>
    <row r="14" spans="1:48" x14ac:dyDescent="0.35">
      <c r="A14" s="1">
        <v>115</v>
      </c>
      <c r="B14" s="595">
        <v>45540</v>
      </c>
      <c r="C14" s="1" t="s">
        <v>1513</v>
      </c>
      <c r="D14" s="1" t="s">
        <v>235</v>
      </c>
      <c r="E14" s="148"/>
      <c r="F14" s="1">
        <v>44</v>
      </c>
      <c r="G14" s="1" t="s">
        <v>1575</v>
      </c>
      <c r="H14" s="6" t="s">
        <v>1092</v>
      </c>
      <c r="I14" s="107" t="s">
        <v>1085</v>
      </c>
      <c r="J14" s="115" t="s">
        <v>1542</v>
      </c>
      <c r="K14" s="115"/>
      <c r="L14" s="115">
        <v>142.51933333333335</v>
      </c>
      <c r="M14" s="115">
        <v>153.73449999999997</v>
      </c>
      <c r="N14" s="596">
        <v>0.48329384374999979</v>
      </c>
      <c r="O14" s="1" t="s">
        <v>1574</v>
      </c>
      <c r="P14" s="6">
        <v>0</v>
      </c>
      <c r="Q14" s="6">
        <v>0</v>
      </c>
      <c r="R14" s="6" t="s">
        <v>1102</v>
      </c>
      <c r="S14" s="6"/>
      <c r="T14" s="1" t="s">
        <v>1153</v>
      </c>
      <c r="U14" s="595">
        <v>45558</v>
      </c>
      <c r="V14" s="595" t="s">
        <v>1099</v>
      </c>
      <c r="W14" s="1" t="s">
        <v>923</v>
      </c>
      <c r="X14" s="595"/>
      <c r="Y14" s="1" t="b">
        <v>1</v>
      </c>
      <c r="Z14" s="6">
        <v>2957.0920000000028</v>
      </c>
      <c r="AA14" s="6">
        <v>0</v>
      </c>
      <c r="AB14" s="6">
        <v>-2957.0920000000028</v>
      </c>
      <c r="AC14" s="107" t="s">
        <v>1105</v>
      </c>
      <c r="AD14" s="6" t="s">
        <v>1089</v>
      </c>
      <c r="AE14" s="107">
        <v>118</v>
      </c>
      <c r="AF14" s="6" t="b">
        <v>0</v>
      </c>
      <c r="AG14" s="1" t="s">
        <v>1082</v>
      </c>
      <c r="AH14" s="597" t="s">
        <v>1515</v>
      </c>
      <c r="AI14" s="605" t="s">
        <v>1547</v>
      </c>
      <c r="AJ14" s="6" t="s">
        <v>671</v>
      </c>
      <c r="AK14" s="6" t="b">
        <v>1</v>
      </c>
      <c r="AM14" s="6"/>
      <c r="AN14" s="6"/>
      <c r="AO14" s="6"/>
      <c r="AP14" s="595" t="s">
        <v>1573</v>
      </c>
      <c r="AQ14" s="598"/>
      <c r="AR14" s="598" t="s">
        <v>1514</v>
      </c>
      <c r="AS14" s="598"/>
      <c r="AT14" s="598"/>
      <c r="AU14" s="597" t="s">
        <v>1384</v>
      </c>
    </row>
    <row r="15" spans="1:48" x14ac:dyDescent="0.35">
      <c r="A15" s="1">
        <v>112</v>
      </c>
      <c r="B15" s="595">
        <v>45538</v>
      </c>
      <c r="C15" s="1" t="s">
        <v>225</v>
      </c>
      <c r="D15" s="1" t="s">
        <v>235</v>
      </c>
      <c r="E15" s="148"/>
      <c r="F15" s="1" t="s">
        <v>1085</v>
      </c>
      <c r="G15" s="1" t="s">
        <v>234</v>
      </c>
      <c r="H15" s="6" t="s">
        <v>765</v>
      </c>
      <c r="I15" s="107"/>
      <c r="J15" s="115"/>
      <c r="K15" s="115" t="s">
        <v>1380</v>
      </c>
      <c r="L15" s="115">
        <v>0.79</v>
      </c>
      <c r="M15" s="115">
        <v>0.82499999999999996</v>
      </c>
      <c r="N15" s="596">
        <v>1.4609375E-3</v>
      </c>
      <c r="R15" s="6" t="s">
        <v>1102</v>
      </c>
      <c r="S15" s="6" t="s">
        <v>710</v>
      </c>
      <c r="T15" s="1" t="s">
        <v>1153</v>
      </c>
      <c r="U15" s="595">
        <v>45537</v>
      </c>
      <c r="V15" s="595" t="s">
        <v>1099</v>
      </c>
      <c r="W15" s="1" t="s">
        <v>954</v>
      </c>
      <c r="X15" s="595"/>
      <c r="Y15" s="1" t="b">
        <v>1</v>
      </c>
      <c r="Z15" s="6">
        <v>23.36</v>
      </c>
      <c r="AA15" s="6">
        <v>0</v>
      </c>
      <c r="AB15" s="6">
        <v>-23.36</v>
      </c>
      <c r="AC15" s="107"/>
      <c r="AE15" s="107"/>
      <c r="AG15" s="1" t="s">
        <v>1082</v>
      </c>
      <c r="AH15" s="597"/>
      <c r="AI15" s="605" t="s">
        <v>1432</v>
      </c>
      <c r="AJ15" s="6" t="s">
        <v>671</v>
      </c>
      <c r="AK15" s="6" t="b">
        <v>1</v>
      </c>
      <c r="AM15" s="6"/>
      <c r="AN15" s="6"/>
      <c r="AO15" s="6"/>
      <c r="AP15" s="595"/>
      <c r="AQ15" s="598" t="s">
        <v>228</v>
      </c>
      <c r="AR15" s="598" t="s">
        <v>229</v>
      </c>
      <c r="AS15" s="598" t="s">
        <v>230</v>
      </c>
      <c r="AT15" s="598"/>
      <c r="AU15" s="597" t="s">
        <v>1384</v>
      </c>
    </row>
    <row r="16" spans="1:48" x14ac:dyDescent="0.35">
      <c r="A16" s="1">
        <v>110</v>
      </c>
      <c r="B16" s="595">
        <v>45533</v>
      </c>
      <c r="C16" s="1" t="s">
        <v>1409</v>
      </c>
      <c r="D16" s="1" t="s">
        <v>235</v>
      </c>
      <c r="E16" s="148"/>
      <c r="F16" s="1">
        <v>22</v>
      </c>
      <c r="G16" s="1" t="s">
        <v>327</v>
      </c>
      <c r="H16" s="6" t="s">
        <v>765</v>
      </c>
      <c r="I16" s="107"/>
      <c r="J16" s="115"/>
      <c r="K16" s="115" t="s">
        <v>1380</v>
      </c>
      <c r="L16" s="115">
        <v>14.384166666666664</v>
      </c>
      <c r="M16" s="115">
        <v>15.389166666666663</v>
      </c>
      <c r="N16" s="596">
        <v>4.1575958333333322E-2</v>
      </c>
      <c r="O16" s="1" t="s">
        <v>764</v>
      </c>
      <c r="P16" s="6">
        <v>89</v>
      </c>
      <c r="Q16" s="6">
        <v>0</v>
      </c>
      <c r="R16" s="6" t="s">
        <v>1102</v>
      </c>
      <c r="S16" s="6"/>
      <c r="T16" s="1" t="s">
        <v>1153</v>
      </c>
      <c r="U16" s="595">
        <v>45534</v>
      </c>
      <c r="V16" s="595" t="s">
        <v>1099</v>
      </c>
      <c r="X16" s="595"/>
      <c r="Y16" s="1" t="b">
        <v>1</v>
      </c>
      <c r="Z16" s="6">
        <v>336.38000000000017</v>
      </c>
      <c r="AA16" s="6">
        <v>0</v>
      </c>
      <c r="AB16" s="6">
        <v>-336.38000000000017</v>
      </c>
      <c r="AC16" s="107" t="s">
        <v>1105</v>
      </c>
      <c r="AD16" s="6" t="s">
        <v>1089</v>
      </c>
      <c r="AE16" s="107"/>
      <c r="AG16" s="1" t="s">
        <v>1082</v>
      </c>
      <c r="AH16" s="597"/>
      <c r="AI16" s="605" t="s">
        <v>1411</v>
      </c>
      <c r="AJ16" s="6" t="s">
        <v>671</v>
      </c>
      <c r="AK16" s="6" t="b">
        <v>1</v>
      </c>
      <c r="AM16" s="6"/>
      <c r="AN16" s="6"/>
      <c r="AO16" s="6"/>
      <c r="AP16" s="595"/>
      <c r="AQ16" s="598"/>
      <c r="AR16" s="598"/>
      <c r="AS16" s="598" t="s">
        <v>1410</v>
      </c>
      <c r="AT16" s="598"/>
      <c r="AU16" s="597" t="s">
        <v>1384</v>
      </c>
    </row>
    <row r="17" spans="1:47" x14ac:dyDescent="0.35">
      <c r="A17" s="1">
        <v>109</v>
      </c>
      <c r="B17" s="595">
        <v>45525</v>
      </c>
      <c r="C17" s="1" t="s">
        <v>238</v>
      </c>
      <c r="D17" s="1" t="s">
        <v>235</v>
      </c>
      <c r="E17" s="148"/>
      <c r="F17" s="1">
        <v>131</v>
      </c>
      <c r="G17" s="1" t="s">
        <v>327</v>
      </c>
      <c r="H17" s="6"/>
      <c r="I17" s="107" t="s">
        <v>1100</v>
      </c>
      <c r="J17" s="115"/>
      <c r="K17" s="115" t="s">
        <v>1380</v>
      </c>
      <c r="L17" s="115">
        <v>611.25433333333353</v>
      </c>
      <c r="M17" s="115">
        <v>675.63866666666661</v>
      </c>
      <c r="N17" s="596">
        <v>2.943828687499999</v>
      </c>
      <c r="O17" s="1" t="s">
        <v>1391</v>
      </c>
      <c r="R17" s="6" t="s">
        <v>1368</v>
      </c>
      <c r="S17" s="6"/>
      <c r="T17" s="1" t="s">
        <v>1153</v>
      </c>
      <c r="U17" s="595"/>
      <c r="V17" s="595" t="s">
        <v>1084</v>
      </c>
      <c r="W17" s="1" t="s">
        <v>954</v>
      </c>
      <c r="X17" s="595"/>
      <c r="Y17" s="1" t="b">
        <v>0</v>
      </c>
      <c r="Z17" s="6">
        <v>0</v>
      </c>
      <c r="AA17" s="6">
        <v>0</v>
      </c>
      <c r="AB17" s="6">
        <v>0</v>
      </c>
      <c r="AC17" s="107"/>
      <c r="AE17" s="107"/>
      <c r="AG17" s="1" t="b">
        <v>0</v>
      </c>
      <c r="AH17" s="597"/>
      <c r="AI17" s="605" t="s">
        <v>1390</v>
      </c>
      <c r="AJ17" s="6" t="s">
        <v>671</v>
      </c>
      <c r="AK17" s="6" t="b">
        <v>1</v>
      </c>
      <c r="AM17" s="6"/>
      <c r="AN17" s="6"/>
      <c r="AO17" s="6"/>
      <c r="AP17" s="595"/>
      <c r="AQ17" s="598" t="s">
        <v>240</v>
      </c>
      <c r="AR17" s="598" t="s">
        <v>241</v>
      </c>
      <c r="AS17" s="598" t="s">
        <v>242</v>
      </c>
      <c r="AT17" s="598"/>
      <c r="AU17" s="597" t="s">
        <v>1385</v>
      </c>
    </row>
    <row r="18" spans="1:47" x14ac:dyDescent="0.35">
      <c r="A18" s="1">
        <v>107</v>
      </c>
      <c r="B18" s="595">
        <v>45523</v>
      </c>
      <c r="C18" s="1" t="s">
        <v>707</v>
      </c>
      <c r="D18" s="1" t="s">
        <v>235</v>
      </c>
      <c r="E18" s="148"/>
      <c r="F18" s="1">
        <v>1672</v>
      </c>
      <c r="G18" s="1"/>
      <c r="H18" s="6" t="s">
        <v>1094</v>
      </c>
      <c r="I18" s="107"/>
      <c r="J18" s="115"/>
      <c r="K18" s="115"/>
      <c r="L18" s="115">
        <v>11991.666666666668</v>
      </c>
      <c r="M18" s="115">
        <v>13158.333333333334</v>
      </c>
      <c r="N18" s="596">
        <v>39.667500000000011</v>
      </c>
      <c r="R18" s="6" t="s">
        <v>1368</v>
      </c>
      <c r="S18" s="6" t="s">
        <v>951</v>
      </c>
      <c r="T18" s="1" t="s">
        <v>1153</v>
      </c>
      <c r="U18" s="595"/>
      <c r="V18" s="595" t="s">
        <v>1084</v>
      </c>
      <c r="X18" s="595"/>
      <c r="Y18" s="1" t="b">
        <v>0</v>
      </c>
      <c r="Z18" s="6">
        <v>0</v>
      </c>
      <c r="AA18" s="6">
        <v>200000</v>
      </c>
      <c r="AB18" s="6">
        <v>0</v>
      </c>
      <c r="AC18" s="107"/>
      <c r="AE18" s="107"/>
      <c r="AG18" s="1" t="b">
        <v>0</v>
      </c>
      <c r="AH18" s="597"/>
      <c r="AI18" s="605"/>
      <c r="AJ18" s="6" t="s">
        <v>671</v>
      </c>
      <c r="AK18" s="6" t="b">
        <v>1</v>
      </c>
      <c r="AM18" s="6"/>
      <c r="AN18" s="6"/>
      <c r="AO18" s="6"/>
      <c r="AP18" s="595"/>
      <c r="AQ18" s="598" t="s">
        <v>949</v>
      </c>
      <c r="AR18" s="598" t="s">
        <v>950</v>
      </c>
      <c r="AS18" s="598" t="s">
        <v>22</v>
      </c>
      <c r="AT18" s="598"/>
      <c r="AU18" s="597" t="s">
        <v>1384</v>
      </c>
    </row>
    <row r="19" spans="1:47" x14ac:dyDescent="0.35">
      <c r="A19" s="1">
        <v>68</v>
      </c>
      <c r="B19" s="595">
        <v>45478</v>
      </c>
      <c r="C19" s="1" t="s">
        <v>293</v>
      </c>
      <c r="D19" s="1" t="s">
        <v>235</v>
      </c>
      <c r="E19" s="148"/>
      <c r="F19" s="1">
        <v>15</v>
      </c>
      <c r="G19" s="1" t="s">
        <v>327</v>
      </c>
      <c r="H19" s="6" t="s">
        <v>1092</v>
      </c>
      <c r="I19" s="107"/>
      <c r="J19" s="115"/>
      <c r="K19" s="115"/>
      <c r="L19" s="115">
        <v>68</v>
      </c>
      <c r="M19" s="115">
        <v>74</v>
      </c>
      <c r="N19" s="596">
        <v>0.205734375</v>
      </c>
      <c r="O19" s="1" t="s">
        <v>1095</v>
      </c>
      <c r="Q19" s="6" t="s">
        <v>1096</v>
      </c>
      <c r="R19" s="6" t="s">
        <v>1083</v>
      </c>
      <c r="S19" s="6"/>
      <c r="T19" s="1" t="s">
        <v>1153</v>
      </c>
      <c r="U19" s="595">
        <v>45481</v>
      </c>
      <c r="V19" s="595" t="s">
        <v>1084</v>
      </c>
      <c r="W19" s="1" t="s">
        <v>923</v>
      </c>
      <c r="X19" s="595"/>
      <c r="Y19" s="1" t="b">
        <v>0</v>
      </c>
      <c r="Z19" s="6">
        <v>0</v>
      </c>
      <c r="AA19" s="6">
        <v>0</v>
      </c>
      <c r="AB19" s="6">
        <v>0</v>
      </c>
      <c r="AC19" s="107"/>
      <c r="AE19" s="107"/>
      <c r="AH19" s="597"/>
      <c r="AI19" s="605" t="s">
        <v>1097</v>
      </c>
      <c r="AJ19" s="6" t="s">
        <v>1091</v>
      </c>
      <c r="AK19" s="6" t="b">
        <v>1</v>
      </c>
      <c r="AM19" s="6"/>
      <c r="AN19" s="6"/>
      <c r="AO19" s="6"/>
      <c r="AP19" s="595" t="s">
        <v>1098</v>
      </c>
      <c r="AQ19" s="598"/>
      <c r="AR19" s="598"/>
      <c r="AS19" s="598"/>
      <c r="AT19" s="598"/>
      <c r="AU19" s="597" t="s">
        <v>1384</v>
      </c>
    </row>
    <row r="20" spans="1:47" x14ac:dyDescent="0.35">
      <c r="A20" s="1">
        <v>60</v>
      </c>
      <c r="B20" s="595">
        <v>45450</v>
      </c>
      <c r="C20" s="1" t="s">
        <v>961</v>
      </c>
      <c r="D20" s="1" t="s">
        <v>235</v>
      </c>
      <c r="E20" s="148"/>
      <c r="F20" s="1">
        <v>2</v>
      </c>
      <c r="G20" s="1"/>
      <c r="H20" s="6" t="s">
        <v>765</v>
      </c>
      <c r="I20" s="107">
        <v>0</v>
      </c>
      <c r="J20" s="115"/>
      <c r="K20" s="115"/>
      <c r="L20" s="115">
        <v>19</v>
      </c>
      <c r="M20" s="115">
        <v>20</v>
      </c>
      <c r="N20" s="596"/>
      <c r="O20" s="1" t="s">
        <v>1086</v>
      </c>
      <c r="P20" s="6">
        <v>0</v>
      </c>
      <c r="R20" s="6" t="s">
        <v>1102</v>
      </c>
      <c r="S20" s="6"/>
      <c r="T20" s="1" t="s">
        <v>1153</v>
      </c>
      <c r="U20" s="595">
        <v>45450</v>
      </c>
      <c r="V20" s="595" t="s">
        <v>1099</v>
      </c>
      <c r="X20" s="595"/>
      <c r="Y20" s="1" t="b">
        <v>1</v>
      </c>
      <c r="Z20" s="6">
        <v>560.64</v>
      </c>
      <c r="AA20" s="6">
        <v>0</v>
      </c>
      <c r="AB20" s="6">
        <v>-560.64</v>
      </c>
      <c r="AC20" s="107">
        <v>0</v>
      </c>
      <c r="AD20" s="6">
        <v>0</v>
      </c>
      <c r="AE20" s="107"/>
      <c r="AG20" s="1" t="s">
        <v>1082</v>
      </c>
      <c r="AH20" s="597"/>
      <c r="AI20" s="605"/>
      <c r="AJ20" s="6" t="s">
        <v>671</v>
      </c>
      <c r="AK20" s="6" t="b">
        <v>1</v>
      </c>
      <c r="AM20" s="6"/>
      <c r="AN20" s="6"/>
      <c r="AO20" s="6"/>
      <c r="AP20" s="595">
        <v>45450</v>
      </c>
      <c r="AQ20" s="598"/>
      <c r="AR20" s="598"/>
      <c r="AS20" s="598"/>
      <c r="AT20" s="598"/>
      <c r="AU20" s="597" t="s">
        <v>1384</v>
      </c>
    </row>
    <row r="21" spans="1:47" x14ac:dyDescent="0.35">
      <c r="A21" s="1">
        <v>59</v>
      </c>
      <c r="B21" s="595">
        <v>45449</v>
      </c>
      <c r="C21" s="1" t="s">
        <v>965</v>
      </c>
      <c r="D21" s="1"/>
      <c r="E21" s="148"/>
      <c r="F21" s="1">
        <v>1</v>
      </c>
      <c r="G21" s="1"/>
      <c r="H21" s="6" t="s">
        <v>765</v>
      </c>
      <c r="I21" s="107">
        <v>0</v>
      </c>
      <c r="J21" s="115"/>
      <c r="K21" s="115"/>
      <c r="L21" s="115">
        <v>2</v>
      </c>
      <c r="M21" s="115">
        <v>3</v>
      </c>
      <c r="N21" s="596"/>
      <c r="O21" s="1" t="s">
        <v>764</v>
      </c>
      <c r="P21" s="6">
        <v>42</v>
      </c>
      <c r="R21" s="6" t="s">
        <v>1102</v>
      </c>
      <c r="S21" s="6"/>
      <c r="T21" s="1" t="s">
        <v>1153</v>
      </c>
      <c r="U21" s="595">
        <v>0</v>
      </c>
      <c r="V21" s="595" t="s">
        <v>1099</v>
      </c>
      <c r="X21" s="595"/>
      <c r="Y21" s="1" t="b">
        <v>1</v>
      </c>
      <c r="Z21" s="6">
        <v>24</v>
      </c>
      <c r="AA21" s="6">
        <v>0</v>
      </c>
      <c r="AB21" s="6">
        <v>-24</v>
      </c>
      <c r="AC21" s="107">
        <v>0</v>
      </c>
      <c r="AD21" s="6">
        <v>0</v>
      </c>
      <c r="AE21" s="107"/>
      <c r="AG21" s="1" t="s">
        <v>1082</v>
      </c>
      <c r="AH21" s="597"/>
      <c r="AI21" s="605"/>
      <c r="AJ21" s="6" t="s">
        <v>671</v>
      </c>
      <c r="AK21" s="6" t="b">
        <v>1</v>
      </c>
      <c r="AM21" s="6"/>
      <c r="AN21" s="6"/>
      <c r="AO21" s="6"/>
      <c r="AP21" s="595">
        <v>0</v>
      </c>
      <c r="AQ21" s="598"/>
      <c r="AR21" s="598"/>
      <c r="AS21" s="598"/>
      <c r="AT21" s="598"/>
      <c r="AU21" s="597" t="s">
        <v>1384</v>
      </c>
    </row>
    <row r="22" spans="1:47" x14ac:dyDescent="0.35">
      <c r="A22" s="1">
        <v>55</v>
      </c>
      <c r="B22" s="595">
        <v>45446</v>
      </c>
      <c r="C22" s="1" t="s">
        <v>293</v>
      </c>
      <c r="D22" s="1" t="s">
        <v>235</v>
      </c>
      <c r="E22" s="148"/>
      <c r="F22" s="1">
        <v>2</v>
      </c>
      <c r="G22" s="1" t="s">
        <v>327</v>
      </c>
      <c r="H22" s="6" t="s">
        <v>1092</v>
      </c>
      <c r="I22" s="107">
        <v>1</v>
      </c>
      <c r="J22" s="115"/>
      <c r="K22" s="115"/>
      <c r="L22" s="115">
        <v>2</v>
      </c>
      <c r="M22" s="115">
        <v>3</v>
      </c>
      <c r="N22" s="596"/>
      <c r="P22" s="6">
        <v>0</v>
      </c>
      <c r="R22" s="6" t="s">
        <v>1083</v>
      </c>
      <c r="S22" s="6"/>
      <c r="T22" s="1" t="s">
        <v>1153</v>
      </c>
      <c r="U22" s="595">
        <v>0</v>
      </c>
      <c r="V22" s="595" t="s">
        <v>1084</v>
      </c>
      <c r="W22" s="1" t="s">
        <v>923</v>
      </c>
      <c r="X22" s="595"/>
      <c r="Y22" s="1" t="b">
        <v>0</v>
      </c>
      <c r="Z22" s="6">
        <v>0</v>
      </c>
      <c r="AA22" s="6">
        <v>0</v>
      </c>
      <c r="AB22" s="6">
        <v>0</v>
      </c>
      <c r="AC22" s="107">
        <v>0</v>
      </c>
      <c r="AD22" s="6">
        <v>0</v>
      </c>
      <c r="AE22" s="107"/>
      <c r="AH22" s="597"/>
      <c r="AI22" s="605"/>
      <c r="AJ22" s="6" t="s">
        <v>671</v>
      </c>
      <c r="AK22" s="6" t="b">
        <v>1</v>
      </c>
      <c r="AM22" s="6"/>
      <c r="AN22" s="6"/>
      <c r="AO22" s="6"/>
      <c r="AP22" s="595">
        <v>0</v>
      </c>
      <c r="AQ22" s="598"/>
      <c r="AR22" s="598"/>
      <c r="AS22" s="598"/>
      <c r="AT22" s="598"/>
      <c r="AU22" s="597" t="s">
        <v>1384</v>
      </c>
    </row>
    <row r="23" spans="1:47" x14ac:dyDescent="0.35">
      <c r="A23" s="1">
        <v>52</v>
      </c>
      <c r="B23" s="595">
        <v>45435</v>
      </c>
      <c r="C23" s="1" t="s">
        <v>225</v>
      </c>
      <c r="D23" s="1" t="s">
        <v>235</v>
      </c>
      <c r="E23" s="148"/>
      <c r="F23" s="1">
        <v>4</v>
      </c>
      <c r="G23" s="1" t="s">
        <v>234</v>
      </c>
      <c r="H23" s="6" t="s">
        <v>765</v>
      </c>
      <c r="I23" s="107">
        <v>0</v>
      </c>
      <c r="J23" s="115"/>
      <c r="K23" s="115"/>
      <c r="L23" s="115">
        <v>6.17</v>
      </c>
      <c r="M23" s="115">
        <v>6.77</v>
      </c>
      <c r="N23" s="596">
        <v>3.8982000000000003E-2</v>
      </c>
      <c r="O23" s="1" t="s">
        <v>764</v>
      </c>
      <c r="P23" s="6">
        <v>49</v>
      </c>
      <c r="R23" s="6" t="s">
        <v>1102</v>
      </c>
      <c r="S23" s="6"/>
      <c r="T23" s="1" t="s">
        <v>1153</v>
      </c>
      <c r="U23" s="595">
        <v>0</v>
      </c>
      <c r="V23" s="595" t="s">
        <v>1099</v>
      </c>
      <c r="W23" s="1" t="s">
        <v>233</v>
      </c>
      <c r="X23" s="595"/>
      <c r="Y23" s="1" t="b">
        <v>1</v>
      </c>
      <c r="Z23" s="6">
        <v>0</v>
      </c>
      <c r="AA23" s="6">
        <v>0</v>
      </c>
      <c r="AB23" s="6">
        <v>0</v>
      </c>
      <c r="AC23" s="107">
        <v>0</v>
      </c>
      <c r="AD23" s="6">
        <v>0</v>
      </c>
      <c r="AE23" s="107"/>
      <c r="AG23" s="1" t="s">
        <v>1082</v>
      </c>
      <c r="AH23" s="597"/>
      <c r="AI23" s="605" t="s">
        <v>1115</v>
      </c>
      <c r="AJ23" s="6" t="s">
        <v>671</v>
      </c>
      <c r="AK23" s="6" t="b">
        <v>1</v>
      </c>
      <c r="AM23" s="6"/>
      <c r="AN23" s="6"/>
      <c r="AO23" s="6"/>
      <c r="AP23" s="595"/>
      <c r="AQ23" s="598"/>
      <c r="AR23" s="598"/>
      <c r="AS23" s="598"/>
      <c r="AT23" s="598"/>
      <c r="AU23" s="597" t="s">
        <v>1384</v>
      </c>
    </row>
    <row r="24" spans="1:47" x14ac:dyDescent="0.35">
      <c r="A24" s="1">
        <v>32</v>
      </c>
      <c r="B24" s="595">
        <v>45392</v>
      </c>
      <c r="C24" s="1" t="s">
        <v>855</v>
      </c>
      <c r="D24" s="1" t="s">
        <v>235</v>
      </c>
      <c r="E24" s="148"/>
      <c r="F24" s="1">
        <v>26</v>
      </c>
      <c r="G24" s="1" t="s">
        <v>327</v>
      </c>
      <c r="H24" s="6" t="s">
        <v>1092</v>
      </c>
      <c r="I24" s="107">
        <v>1</v>
      </c>
      <c r="J24" s="115"/>
      <c r="K24" s="115"/>
      <c r="L24" s="115">
        <v>159</v>
      </c>
      <c r="M24" s="115">
        <v>176</v>
      </c>
      <c r="N24" s="596"/>
      <c r="P24" s="6">
        <v>0</v>
      </c>
      <c r="R24" s="6" t="s">
        <v>1102</v>
      </c>
      <c r="S24" s="6"/>
      <c r="T24" s="1" t="s">
        <v>1153</v>
      </c>
      <c r="U24" s="595">
        <v>45401</v>
      </c>
      <c r="V24" s="595" t="s">
        <v>1099</v>
      </c>
      <c r="W24" s="1" t="s">
        <v>233</v>
      </c>
      <c r="X24" s="595"/>
      <c r="Y24" s="1" t="b">
        <v>1</v>
      </c>
      <c r="Z24" s="6">
        <v>1905.24</v>
      </c>
      <c r="AA24" s="6">
        <v>0</v>
      </c>
      <c r="AB24" s="6">
        <v>-1905.24</v>
      </c>
      <c r="AC24" s="107">
        <v>0</v>
      </c>
      <c r="AD24" s="6">
        <v>0</v>
      </c>
      <c r="AE24" s="107"/>
      <c r="AG24" s="1" t="s">
        <v>1082</v>
      </c>
      <c r="AH24" s="597"/>
      <c r="AI24" s="605" t="s">
        <v>1128</v>
      </c>
      <c r="AJ24" s="6" t="s">
        <v>671</v>
      </c>
      <c r="AK24" s="6" t="b">
        <v>1</v>
      </c>
      <c r="AM24" s="6"/>
      <c r="AN24" s="6"/>
      <c r="AO24" s="6"/>
      <c r="AP24" s="595"/>
      <c r="AQ24" s="598"/>
      <c r="AR24" s="598"/>
      <c r="AS24" s="598"/>
      <c r="AT24" s="598"/>
      <c r="AU24" s="597" t="s">
        <v>1384</v>
      </c>
    </row>
    <row r="25" spans="1:47" x14ac:dyDescent="0.35">
      <c r="A25" s="1">
        <v>22</v>
      </c>
      <c r="B25" s="595">
        <v>45369</v>
      </c>
      <c r="C25" s="1" t="s">
        <v>339</v>
      </c>
      <c r="D25" s="1"/>
      <c r="E25" s="148"/>
      <c r="F25" s="1">
        <v>1</v>
      </c>
      <c r="G25" s="1"/>
      <c r="H25" s="6" t="s">
        <v>765</v>
      </c>
      <c r="I25" s="107">
        <v>0</v>
      </c>
      <c r="J25" s="115"/>
      <c r="K25" s="115"/>
      <c r="L25" s="115">
        <v>12</v>
      </c>
      <c r="M25" s="115">
        <v>12</v>
      </c>
      <c r="N25" s="596"/>
      <c r="O25" s="1" t="s">
        <v>764</v>
      </c>
      <c r="P25" s="6">
        <v>160</v>
      </c>
      <c r="R25" s="6" t="s">
        <v>1102</v>
      </c>
      <c r="S25" s="6"/>
      <c r="T25" s="1" t="s">
        <v>1153</v>
      </c>
      <c r="U25" s="595">
        <v>45369</v>
      </c>
      <c r="V25" s="595" t="s">
        <v>1099</v>
      </c>
      <c r="X25" s="595"/>
      <c r="Y25" s="1" t="b">
        <v>1</v>
      </c>
      <c r="Z25" s="6">
        <v>350.4</v>
      </c>
      <c r="AA25" s="6">
        <v>0</v>
      </c>
      <c r="AB25" s="6">
        <v>-350.4</v>
      </c>
      <c r="AC25" s="107">
        <v>0</v>
      </c>
      <c r="AD25" s="6">
        <v>0</v>
      </c>
      <c r="AE25" s="107"/>
      <c r="AG25" s="1" t="s">
        <v>1082</v>
      </c>
      <c r="AH25" s="597"/>
      <c r="AI25" s="605" t="s">
        <v>1135</v>
      </c>
      <c r="AJ25" s="6" t="s">
        <v>671</v>
      </c>
      <c r="AK25" s="6" t="b">
        <v>1</v>
      </c>
      <c r="AM25" s="6"/>
      <c r="AN25" s="6"/>
      <c r="AO25" s="6"/>
      <c r="AP25" s="595"/>
      <c r="AQ25" s="598"/>
      <c r="AR25" s="598"/>
      <c r="AS25" s="598"/>
      <c r="AT25" s="598"/>
      <c r="AU25" s="597" t="s">
        <v>1384</v>
      </c>
    </row>
    <row r="26" spans="1:47" x14ac:dyDescent="0.35">
      <c r="A26" s="1">
        <v>21</v>
      </c>
      <c r="B26" s="595">
        <v>45369</v>
      </c>
      <c r="C26" s="1" t="s">
        <v>277</v>
      </c>
      <c r="D26" s="1" t="s">
        <v>235</v>
      </c>
      <c r="E26" s="148"/>
      <c r="F26" s="1">
        <v>1</v>
      </c>
      <c r="G26" s="1" t="s">
        <v>234</v>
      </c>
      <c r="H26" s="6" t="s">
        <v>765</v>
      </c>
      <c r="I26" s="107">
        <v>0</v>
      </c>
      <c r="J26" s="115"/>
      <c r="K26" s="115"/>
      <c r="L26" s="115"/>
      <c r="M26" s="115"/>
      <c r="N26" s="596"/>
      <c r="O26" s="1" t="s">
        <v>764</v>
      </c>
      <c r="P26" s="6">
        <v>36.89</v>
      </c>
      <c r="R26" s="6" t="s">
        <v>1102</v>
      </c>
      <c r="S26" s="6"/>
      <c r="T26" s="1" t="s">
        <v>1153</v>
      </c>
      <c r="U26" s="595">
        <v>0</v>
      </c>
      <c r="V26" s="595" t="s">
        <v>1099</v>
      </c>
      <c r="X26" s="595"/>
      <c r="Y26" s="1" t="b">
        <v>1</v>
      </c>
      <c r="Z26" s="6"/>
      <c r="AA26" s="6"/>
      <c r="AC26" s="107">
        <v>0</v>
      </c>
      <c r="AD26" s="6">
        <v>0</v>
      </c>
      <c r="AE26" s="107"/>
      <c r="AG26" s="1" t="s">
        <v>1082</v>
      </c>
      <c r="AH26" s="597"/>
      <c r="AI26" s="605" t="s">
        <v>1136</v>
      </c>
      <c r="AJ26" s="6" t="s">
        <v>671</v>
      </c>
      <c r="AK26" s="6" t="b">
        <v>1</v>
      </c>
      <c r="AM26" s="6"/>
      <c r="AN26" s="6"/>
      <c r="AO26" s="6"/>
      <c r="AP26" s="595"/>
      <c r="AQ26" s="598"/>
      <c r="AR26" s="598"/>
      <c r="AS26" s="598"/>
      <c r="AT26" s="598"/>
      <c r="AU26" s="597" t="s">
        <v>1384</v>
      </c>
    </row>
    <row r="27" spans="1:47" x14ac:dyDescent="0.35">
      <c r="A27" s="1">
        <v>20</v>
      </c>
      <c r="B27" s="595">
        <v>45352</v>
      </c>
      <c r="C27" s="1" t="s">
        <v>659</v>
      </c>
      <c r="D27" s="1" t="s">
        <v>235</v>
      </c>
      <c r="E27" s="148"/>
      <c r="F27" s="1">
        <v>1</v>
      </c>
      <c r="G27" s="1"/>
      <c r="H27" s="6" t="s">
        <v>765</v>
      </c>
      <c r="I27" s="107">
        <v>0</v>
      </c>
      <c r="J27" s="115"/>
      <c r="K27" s="115"/>
      <c r="L27" s="115">
        <v>8</v>
      </c>
      <c r="M27" s="115">
        <v>9</v>
      </c>
      <c r="N27" s="596"/>
      <c r="O27" s="1" t="s">
        <v>764</v>
      </c>
      <c r="P27" s="6">
        <v>49</v>
      </c>
      <c r="R27" s="6" t="s">
        <v>1102</v>
      </c>
      <c r="S27" s="6"/>
      <c r="T27" s="1" t="s">
        <v>1153</v>
      </c>
      <c r="U27" s="595">
        <v>45352</v>
      </c>
      <c r="V27" s="595" t="s">
        <v>1099</v>
      </c>
      <c r="X27" s="595"/>
      <c r="Y27" s="1" t="b">
        <v>1</v>
      </c>
      <c r="Z27" s="6">
        <v>181.2</v>
      </c>
      <c r="AA27" s="6">
        <v>0</v>
      </c>
      <c r="AB27" s="6">
        <v>-181.2</v>
      </c>
      <c r="AC27" s="107">
        <v>0</v>
      </c>
      <c r="AD27" s="6">
        <v>0</v>
      </c>
      <c r="AE27" s="107"/>
      <c r="AG27" s="1" t="s">
        <v>1082</v>
      </c>
      <c r="AH27" s="597"/>
      <c r="AI27" s="605"/>
      <c r="AJ27" s="6" t="s">
        <v>671</v>
      </c>
      <c r="AK27" s="6" t="b">
        <v>1</v>
      </c>
      <c r="AM27" s="6"/>
      <c r="AN27" s="6"/>
      <c r="AO27" s="6"/>
      <c r="AP27" s="595"/>
      <c r="AQ27" s="598"/>
      <c r="AR27" s="598"/>
      <c r="AS27" s="598"/>
      <c r="AT27" s="598"/>
      <c r="AU27" s="597" t="s">
        <v>1384</v>
      </c>
    </row>
    <row r="28" spans="1:47" ht="33.5" x14ac:dyDescent="0.35">
      <c r="A28" s="1">
        <v>135</v>
      </c>
      <c r="B28" s="595">
        <v>45588</v>
      </c>
      <c r="C28" s="1" t="s">
        <v>1332</v>
      </c>
      <c r="D28" s="1"/>
      <c r="E28" s="148"/>
      <c r="F28" s="1">
        <v>-65</v>
      </c>
      <c r="G28" s="1"/>
      <c r="H28" s="6"/>
      <c r="I28" s="107"/>
      <c r="J28" s="115"/>
      <c r="K28" s="115"/>
      <c r="L28" s="115">
        <v>159.24599999999975</v>
      </c>
      <c r="M28" s="115">
        <v>647.14166666666642</v>
      </c>
      <c r="N28" s="152">
        <v>3.9607322708333337</v>
      </c>
      <c r="R28" s="6" t="s">
        <v>1333</v>
      </c>
      <c r="S28" s="6"/>
      <c r="T28" s="1" t="s">
        <v>590</v>
      </c>
      <c r="U28" s="595" t="s">
        <v>590</v>
      </c>
      <c r="V28" s="595" t="s">
        <v>1334</v>
      </c>
      <c r="X28" s="595"/>
      <c r="Y28" s="1" t="s">
        <v>590</v>
      </c>
      <c r="Z28" s="6">
        <v>0</v>
      </c>
      <c r="AA28" s="6">
        <v>0</v>
      </c>
      <c r="AB28" s="6">
        <v>0</v>
      </c>
      <c r="AC28" s="107"/>
      <c r="AE28" s="107"/>
      <c r="AI28" s="614" t="s">
        <v>1689</v>
      </c>
      <c r="AJ28" s="6" t="s">
        <v>590</v>
      </c>
      <c r="AK28" s="6" t="s">
        <v>1335</v>
      </c>
      <c r="AM28" s="6"/>
      <c r="AN28" s="6"/>
      <c r="AO28" s="6"/>
      <c r="AP28" s="595"/>
      <c r="AQ28" s="613"/>
      <c r="AR28" s="613"/>
      <c r="AS28" s="613"/>
      <c r="AT28" s="613"/>
      <c r="AU28" s="534"/>
    </row>
    <row r="29" spans="1:47" ht="33.5" x14ac:dyDescent="0.35">
      <c r="A29" s="1">
        <v>131</v>
      </c>
      <c r="B29" s="595">
        <v>45587</v>
      </c>
      <c r="C29" s="1" t="s">
        <v>1332</v>
      </c>
      <c r="D29" s="1"/>
      <c r="E29" s="148"/>
      <c r="F29" s="1"/>
      <c r="G29" s="1"/>
      <c r="H29" s="6"/>
      <c r="I29" s="107"/>
      <c r="J29" s="115"/>
      <c r="K29" s="115"/>
      <c r="L29" s="115"/>
      <c r="M29" s="115"/>
      <c r="R29" s="6" t="s">
        <v>1333</v>
      </c>
      <c r="S29" s="6"/>
      <c r="T29" s="1" t="s">
        <v>590</v>
      </c>
      <c r="U29" s="595" t="s">
        <v>590</v>
      </c>
      <c r="V29" s="595" t="s">
        <v>1334</v>
      </c>
      <c r="X29" s="595"/>
      <c r="Y29" s="1" t="s">
        <v>590</v>
      </c>
      <c r="Z29" s="6"/>
      <c r="AA29" s="6"/>
      <c r="AC29" s="107"/>
      <c r="AE29" s="107"/>
      <c r="AI29" s="614" t="s">
        <v>1681</v>
      </c>
      <c r="AJ29" s="6" t="s">
        <v>590</v>
      </c>
      <c r="AK29" s="6" t="s">
        <v>1335</v>
      </c>
      <c r="AM29" s="6"/>
      <c r="AN29" s="6"/>
      <c r="AO29" s="6"/>
      <c r="AP29" s="595"/>
      <c r="AQ29" s="613"/>
      <c r="AR29" s="613"/>
      <c r="AS29" s="613"/>
      <c r="AT29" s="613"/>
      <c r="AU29" s="534"/>
    </row>
    <row r="30" spans="1:47" x14ac:dyDescent="0.35">
      <c r="A30" s="1">
        <v>133</v>
      </c>
      <c r="B30" s="595">
        <v>45587</v>
      </c>
      <c r="C30" s="1" t="s">
        <v>1332</v>
      </c>
      <c r="D30" s="1"/>
      <c r="E30" s="148"/>
      <c r="F30" s="1"/>
      <c r="G30" s="1"/>
      <c r="H30" s="6"/>
      <c r="I30" s="107"/>
      <c r="J30" s="115"/>
      <c r="K30" s="115"/>
      <c r="L30" s="115"/>
      <c r="M30" s="115"/>
      <c r="R30" s="6" t="s">
        <v>1333</v>
      </c>
      <c r="S30" s="6"/>
      <c r="T30" s="1" t="s">
        <v>590</v>
      </c>
      <c r="U30" s="595" t="s">
        <v>590</v>
      </c>
      <c r="V30" s="595" t="s">
        <v>1334</v>
      </c>
      <c r="X30" s="595"/>
      <c r="Y30" s="1" t="s">
        <v>590</v>
      </c>
      <c r="Z30" s="6"/>
      <c r="AA30" s="6"/>
      <c r="AC30" s="107"/>
      <c r="AE30" s="107"/>
      <c r="AI30" s="459" t="s">
        <v>1685</v>
      </c>
      <c r="AJ30" s="6" t="s">
        <v>590</v>
      </c>
      <c r="AK30" s="6" t="s">
        <v>1335</v>
      </c>
      <c r="AM30" s="6"/>
      <c r="AN30" s="6"/>
      <c r="AO30" s="6"/>
      <c r="AP30" s="595"/>
      <c r="AQ30" s="613"/>
      <c r="AR30" s="613"/>
      <c r="AS30" s="613"/>
      <c r="AT30" s="613"/>
      <c r="AU30" s="534"/>
    </row>
    <row r="31" spans="1:47" x14ac:dyDescent="0.35">
      <c r="A31" s="1">
        <v>124</v>
      </c>
      <c r="B31" s="595">
        <v>45552</v>
      </c>
      <c r="C31" s="1" t="s">
        <v>1332</v>
      </c>
      <c r="D31" s="1"/>
      <c r="E31" s="148"/>
      <c r="F31" s="1"/>
      <c r="G31" s="1"/>
      <c r="H31" s="6"/>
      <c r="I31" s="107"/>
      <c r="J31" s="115"/>
      <c r="K31" s="115"/>
      <c r="L31" s="115"/>
      <c r="M31" s="115"/>
      <c r="N31" s="596"/>
      <c r="R31" s="6" t="s">
        <v>1333</v>
      </c>
      <c r="S31" s="6"/>
      <c r="T31" s="1" t="s">
        <v>590</v>
      </c>
      <c r="U31" s="595" t="s">
        <v>590</v>
      </c>
      <c r="V31" s="595" t="s">
        <v>1334</v>
      </c>
      <c r="X31" s="595"/>
      <c r="Y31" s="1" t="s">
        <v>590</v>
      </c>
      <c r="Z31" s="6"/>
      <c r="AA31" s="6"/>
      <c r="AC31" s="107"/>
      <c r="AE31" s="107"/>
      <c r="AH31" s="597"/>
      <c r="AI31" s="605" t="s">
        <v>1556</v>
      </c>
      <c r="AJ31" s="6" t="s">
        <v>590</v>
      </c>
      <c r="AK31" s="6" t="s">
        <v>1335</v>
      </c>
      <c r="AM31" s="6"/>
      <c r="AN31" s="6"/>
      <c r="AO31" s="6"/>
      <c r="AP31" s="595"/>
      <c r="AQ31" s="598"/>
      <c r="AR31" s="598"/>
      <c r="AS31" s="598"/>
      <c r="AT31" s="598"/>
      <c r="AU31" s="597"/>
    </row>
    <row r="32" spans="1:47" x14ac:dyDescent="0.35">
      <c r="A32" s="1">
        <v>123</v>
      </c>
      <c r="B32" s="595">
        <v>45552</v>
      </c>
      <c r="C32" s="1" t="s">
        <v>1332</v>
      </c>
      <c r="D32" s="1"/>
      <c r="E32" s="148"/>
      <c r="F32" s="1"/>
      <c r="G32" s="1"/>
      <c r="H32" s="6"/>
      <c r="I32" s="107"/>
      <c r="J32" s="115"/>
      <c r="K32" s="115"/>
      <c r="L32" s="115"/>
      <c r="M32" s="115"/>
      <c r="N32" s="596"/>
      <c r="R32" s="6" t="s">
        <v>1333</v>
      </c>
      <c r="S32" s="6"/>
      <c r="T32" s="1" t="s">
        <v>590</v>
      </c>
      <c r="U32" s="595" t="s">
        <v>590</v>
      </c>
      <c r="V32" s="595" t="s">
        <v>1334</v>
      </c>
      <c r="X32" s="595"/>
      <c r="Y32" s="1" t="s">
        <v>590</v>
      </c>
      <c r="Z32" s="6"/>
      <c r="AA32" s="6"/>
      <c r="AC32" s="107"/>
      <c r="AE32" s="107"/>
      <c r="AH32" s="597"/>
      <c r="AI32" s="605" t="s">
        <v>1555</v>
      </c>
      <c r="AJ32" s="6" t="s">
        <v>590</v>
      </c>
      <c r="AK32" s="6" t="s">
        <v>1335</v>
      </c>
      <c r="AM32" s="6"/>
      <c r="AN32" s="6"/>
      <c r="AO32" s="6"/>
      <c r="AP32" s="595"/>
      <c r="AQ32" s="598"/>
      <c r="AR32" s="598"/>
      <c r="AS32" s="598"/>
      <c r="AT32" s="598"/>
      <c r="AU32" s="597"/>
    </row>
    <row r="33" spans="1:47" x14ac:dyDescent="0.35">
      <c r="A33" s="1">
        <v>118</v>
      </c>
      <c r="B33" s="595">
        <v>45545</v>
      </c>
      <c r="C33" s="1" t="s">
        <v>1332</v>
      </c>
      <c r="D33" s="1"/>
      <c r="E33" s="148"/>
      <c r="F33" s="1">
        <v>-8</v>
      </c>
      <c r="G33" s="1"/>
      <c r="H33" s="6"/>
      <c r="I33" s="107"/>
      <c r="J33" s="115"/>
      <c r="K33" s="115"/>
      <c r="L33" s="115">
        <v>3.9404791666666683</v>
      </c>
      <c r="M33" s="115">
        <v>5.3709583333333359</v>
      </c>
      <c r="N33" s="596">
        <v>6.0231218749999961E-2</v>
      </c>
      <c r="R33" s="6" t="s">
        <v>1333</v>
      </c>
      <c r="S33" s="6"/>
      <c r="T33" s="1" t="s">
        <v>590</v>
      </c>
      <c r="U33" s="595" t="s">
        <v>590</v>
      </c>
      <c r="V33" s="595" t="s">
        <v>1334</v>
      </c>
      <c r="X33" s="595"/>
      <c r="Y33" s="1" t="s">
        <v>590</v>
      </c>
      <c r="Z33" s="6">
        <v>0</v>
      </c>
      <c r="AA33" s="6">
        <v>0</v>
      </c>
      <c r="AB33" s="6">
        <v>0</v>
      </c>
      <c r="AC33" s="107"/>
      <c r="AE33" s="107"/>
      <c r="AH33" s="597"/>
      <c r="AI33" s="605" t="s">
        <v>1530</v>
      </c>
      <c r="AJ33" s="6" t="s">
        <v>590</v>
      </c>
      <c r="AK33" s="6" t="s">
        <v>1335</v>
      </c>
      <c r="AM33" s="6"/>
      <c r="AN33" s="6"/>
      <c r="AO33" s="6"/>
      <c r="AP33" s="595"/>
      <c r="AQ33" s="598"/>
      <c r="AR33" s="598"/>
      <c r="AS33" s="598"/>
      <c r="AT33" s="598"/>
      <c r="AU33" s="597"/>
    </row>
    <row r="34" spans="1:47" x14ac:dyDescent="0.35">
      <c r="A34" s="1">
        <v>117</v>
      </c>
      <c r="B34" s="595">
        <v>45540</v>
      </c>
      <c r="C34" s="1" t="s">
        <v>1332</v>
      </c>
      <c r="D34" s="1"/>
      <c r="E34" s="148"/>
      <c r="F34" s="1">
        <v>-1</v>
      </c>
      <c r="G34" s="1"/>
      <c r="H34" s="6"/>
      <c r="I34" s="107"/>
      <c r="J34" s="115"/>
      <c r="K34" s="115"/>
      <c r="L34" s="115">
        <v>0.24299999999999988</v>
      </c>
      <c r="M34" s="115">
        <v>0.98749999999999971</v>
      </c>
      <c r="N34" s="596">
        <v>6.043843749999998E-3</v>
      </c>
      <c r="R34" s="6" t="s">
        <v>1333</v>
      </c>
      <c r="S34" s="6"/>
      <c r="T34" s="1" t="s">
        <v>590</v>
      </c>
      <c r="U34" s="595" t="s">
        <v>590</v>
      </c>
      <c r="V34" s="595" t="s">
        <v>1334</v>
      </c>
      <c r="X34" s="595"/>
      <c r="Y34" s="1" t="s">
        <v>590</v>
      </c>
      <c r="Z34" s="6">
        <v>0</v>
      </c>
      <c r="AA34" s="6">
        <v>0</v>
      </c>
      <c r="AB34" s="6">
        <v>0</v>
      </c>
      <c r="AC34" s="107"/>
      <c r="AE34" s="107"/>
      <c r="AH34" s="597"/>
      <c r="AI34" s="605" t="s">
        <v>1516</v>
      </c>
      <c r="AJ34" s="6" t="s">
        <v>590</v>
      </c>
      <c r="AK34" s="6" t="s">
        <v>1335</v>
      </c>
      <c r="AM34" s="6"/>
      <c r="AN34" s="6"/>
      <c r="AO34" s="6"/>
      <c r="AP34" s="595"/>
      <c r="AQ34" s="598"/>
      <c r="AR34" s="598"/>
      <c r="AS34" s="598"/>
      <c r="AT34" s="598"/>
      <c r="AU34" s="597"/>
    </row>
    <row r="35" spans="1:47" x14ac:dyDescent="0.35">
      <c r="A35" s="1">
        <v>86</v>
      </c>
      <c r="B35" s="595">
        <v>45516</v>
      </c>
      <c r="C35" s="1" t="s">
        <v>1332</v>
      </c>
      <c r="D35" s="1"/>
      <c r="E35" s="148"/>
      <c r="F35" s="1">
        <v>9</v>
      </c>
      <c r="G35" s="1"/>
      <c r="H35" s="6"/>
      <c r="I35" s="107"/>
      <c r="J35" s="115"/>
      <c r="K35" s="115"/>
      <c r="L35" s="115">
        <v>27.637375000000048</v>
      </c>
      <c r="M35" s="115">
        <v>38.984750000000005</v>
      </c>
      <c r="N35" s="596">
        <v>0.41821231250000018</v>
      </c>
      <c r="R35" s="6" t="s">
        <v>1333</v>
      </c>
      <c r="S35" s="6"/>
      <c r="T35" s="1" t="s">
        <v>590</v>
      </c>
      <c r="U35" s="595" t="s">
        <v>590</v>
      </c>
      <c r="V35" s="595" t="s">
        <v>1334</v>
      </c>
      <c r="X35" s="595"/>
      <c r="Y35" s="1" t="b">
        <v>0</v>
      </c>
      <c r="Z35" s="6">
        <v>0</v>
      </c>
      <c r="AA35" s="6">
        <v>0</v>
      </c>
      <c r="AB35" s="6">
        <v>0</v>
      </c>
      <c r="AC35" s="107"/>
      <c r="AE35" s="107"/>
      <c r="AH35" s="597"/>
      <c r="AI35" s="605" t="s">
        <v>1397</v>
      </c>
      <c r="AJ35" s="6" t="s">
        <v>590</v>
      </c>
      <c r="AK35" s="6" t="s">
        <v>1335</v>
      </c>
      <c r="AM35" s="6"/>
      <c r="AN35" s="6"/>
      <c r="AO35" s="6"/>
      <c r="AP35" s="595"/>
      <c r="AQ35" s="598"/>
      <c r="AR35" s="598"/>
      <c r="AS35" s="598"/>
      <c r="AT35" s="598"/>
      <c r="AU35" s="597" t="s">
        <v>1384</v>
      </c>
    </row>
    <row r="36" spans="1:47" x14ac:dyDescent="0.35">
      <c r="A36" s="1">
        <v>72</v>
      </c>
      <c r="B36" s="595">
        <v>45484</v>
      </c>
      <c r="C36" s="1" t="s">
        <v>293</v>
      </c>
      <c r="D36" s="1" t="s">
        <v>235</v>
      </c>
      <c r="E36" s="148"/>
      <c r="F36" s="1">
        <v>12</v>
      </c>
      <c r="G36" s="1" t="s">
        <v>327</v>
      </c>
      <c r="H36" s="6" t="s">
        <v>1092</v>
      </c>
      <c r="I36" s="107"/>
      <c r="J36" s="115"/>
      <c r="K36" s="115"/>
      <c r="L36" s="115">
        <v>14</v>
      </c>
      <c r="M36" s="115">
        <v>14</v>
      </c>
      <c r="N36" s="596">
        <v>3.4551562500000001E-2</v>
      </c>
      <c r="O36" s="1" t="s">
        <v>1173</v>
      </c>
      <c r="R36" s="6" t="s">
        <v>1083</v>
      </c>
      <c r="S36" s="6"/>
      <c r="T36" s="1" t="s">
        <v>1174</v>
      </c>
      <c r="U36" s="595" t="s">
        <v>1175</v>
      </c>
      <c r="V36" s="595" t="s">
        <v>1084</v>
      </c>
      <c r="W36" s="1" t="s">
        <v>923</v>
      </c>
      <c r="X36" s="595"/>
      <c r="Y36" s="1" t="b">
        <v>0</v>
      </c>
      <c r="Z36" s="6">
        <v>0</v>
      </c>
      <c r="AA36" s="6">
        <v>0</v>
      </c>
      <c r="AB36" s="6">
        <v>0</v>
      </c>
      <c r="AC36" s="107"/>
      <c r="AE36" s="107"/>
      <c r="AH36" s="597"/>
      <c r="AI36" s="605" t="s">
        <v>1294</v>
      </c>
      <c r="AJ36" s="6" t="s">
        <v>1091</v>
      </c>
      <c r="AK36" s="6" t="b">
        <v>1</v>
      </c>
      <c r="AM36" s="6"/>
      <c r="AN36" s="6"/>
      <c r="AO36" s="6"/>
      <c r="AP36" s="595" t="s">
        <v>1166</v>
      </c>
      <c r="AQ36" s="598"/>
      <c r="AR36" s="598"/>
      <c r="AS36" s="598"/>
      <c r="AT36" s="598"/>
      <c r="AU36" s="597" t="s">
        <v>1384</v>
      </c>
    </row>
    <row r="37" spans="1:47" x14ac:dyDescent="0.35">
      <c r="A37" s="1">
        <v>71</v>
      </c>
      <c r="B37" s="595">
        <v>45481</v>
      </c>
      <c r="C37" s="1" t="s">
        <v>293</v>
      </c>
      <c r="D37" s="1" t="s">
        <v>235</v>
      </c>
      <c r="E37" s="148"/>
      <c r="F37" s="1">
        <v>1</v>
      </c>
      <c r="G37" s="1" t="s">
        <v>327</v>
      </c>
      <c r="H37" s="6" t="s">
        <v>765</v>
      </c>
      <c r="I37" s="107"/>
      <c r="J37" s="115"/>
      <c r="K37" s="115"/>
      <c r="L37" s="115">
        <v>11.53</v>
      </c>
      <c r="M37" s="115">
        <v>12.1</v>
      </c>
      <c r="N37" s="596">
        <v>2.6010999999999999E-2</v>
      </c>
      <c r="O37" s="1" t="s">
        <v>1086</v>
      </c>
      <c r="Q37" s="6" t="s">
        <v>1087</v>
      </c>
      <c r="R37" s="6" t="s">
        <v>1083</v>
      </c>
      <c r="S37" s="6"/>
      <c r="T37" s="1" t="s">
        <v>1088</v>
      </c>
      <c r="U37" s="595">
        <v>45495</v>
      </c>
      <c r="V37" s="595" t="s">
        <v>1084</v>
      </c>
      <c r="W37" s="1" t="s">
        <v>923</v>
      </c>
      <c r="X37" s="595"/>
      <c r="Y37" s="1" t="b">
        <v>0</v>
      </c>
      <c r="Z37" s="6">
        <v>0</v>
      </c>
      <c r="AA37" s="6">
        <v>0</v>
      </c>
      <c r="AB37" s="6">
        <v>0</v>
      </c>
      <c r="AC37" s="107"/>
      <c r="AE37" s="107"/>
      <c r="AH37" s="597"/>
      <c r="AI37" s="605" t="s">
        <v>1090</v>
      </c>
      <c r="AJ37" s="6" t="s">
        <v>1091</v>
      </c>
      <c r="AK37" s="6" t="b">
        <v>1</v>
      </c>
      <c r="AM37" s="6"/>
      <c r="AN37" s="6"/>
      <c r="AO37" s="6"/>
      <c r="AP37" s="595" t="s">
        <v>1176</v>
      </c>
      <c r="AQ37" s="598"/>
      <c r="AR37" s="598"/>
      <c r="AS37" s="598"/>
      <c r="AT37" s="598"/>
      <c r="AU37" s="597" t="s">
        <v>1384</v>
      </c>
    </row>
    <row r="38" spans="1:47" x14ac:dyDescent="0.35">
      <c r="A38" s="1">
        <v>48</v>
      </c>
      <c r="B38" s="595">
        <v>45426</v>
      </c>
      <c r="C38" s="1" t="s">
        <v>707</v>
      </c>
      <c r="D38" s="1" t="s">
        <v>235</v>
      </c>
      <c r="E38" s="148"/>
      <c r="F38" s="1">
        <v>14</v>
      </c>
      <c r="G38" s="1"/>
      <c r="H38" s="6" t="s">
        <v>1092</v>
      </c>
      <c r="I38" s="107">
        <v>1</v>
      </c>
      <c r="J38" s="115"/>
      <c r="K38" s="115"/>
      <c r="L38" s="115">
        <v>97</v>
      </c>
      <c r="M38" s="115">
        <v>102</v>
      </c>
      <c r="N38" s="596"/>
      <c r="P38" s="6">
        <v>0</v>
      </c>
      <c r="R38" s="6" t="s">
        <v>1083</v>
      </c>
      <c r="S38" s="6"/>
      <c r="T38" s="1">
        <v>52484</v>
      </c>
      <c r="U38" s="595">
        <v>45424</v>
      </c>
      <c r="V38" s="595" t="s">
        <v>1084</v>
      </c>
      <c r="X38" s="595"/>
      <c r="Y38" s="1" t="b">
        <v>0</v>
      </c>
      <c r="Z38" s="6">
        <v>0</v>
      </c>
      <c r="AA38" s="6">
        <v>1676.6</v>
      </c>
      <c r="AB38" s="6">
        <v>0</v>
      </c>
      <c r="AC38" s="107">
        <v>0</v>
      </c>
      <c r="AD38" s="6">
        <v>0</v>
      </c>
      <c r="AE38" s="107"/>
      <c r="AH38" s="597"/>
      <c r="AI38" s="605"/>
      <c r="AJ38" s="6" t="s">
        <v>671</v>
      </c>
      <c r="AK38" s="6" t="b">
        <v>1</v>
      </c>
      <c r="AM38" s="6"/>
      <c r="AN38" s="6"/>
      <c r="AO38" s="6"/>
      <c r="AP38" s="595"/>
      <c r="AQ38" s="598"/>
      <c r="AR38" s="598"/>
      <c r="AS38" s="598"/>
      <c r="AT38" s="598"/>
      <c r="AU38" s="597" t="s">
        <v>1384</v>
      </c>
    </row>
    <row r="39" spans="1:47" x14ac:dyDescent="0.35">
      <c r="A39" s="1">
        <v>108</v>
      </c>
      <c r="B39" s="595">
        <v>45203</v>
      </c>
      <c r="C39" s="1" t="s">
        <v>249</v>
      </c>
      <c r="D39" s="1" t="s">
        <v>253</v>
      </c>
      <c r="E39" s="148"/>
      <c r="F39" s="1">
        <v>206</v>
      </c>
      <c r="G39" s="1" t="s">
        <v>327</v>
      </c>
      <c r="H39" s="6"/>
      <c r="I39" s="107"/>
      <c r="J39" s="115"/>
      <c r="K39" s="115"/>
      <c r="L39" s="115">
        <v>1531.2883333333334</v>
      </c>
      <c r="M39" s="115">
        <v>1639.7541666666666</v>
      </c>
      <c r="N39" s="596">
        <v>3.9752482812499981</v>
      </c>
      <c r="R39" s="6" t="s">
        <v>1102</v>
      </c>
      <c r="S39" s="6" t="s">
        <v>1029</v>
      </c>
      <c r="T39" s="1" t="s">
        <v>1373</v>
      </c>
      <c r="U39" s="595">
        <v>45203</v>
      </c>
      <c r="V39" s="595" t="s">
        <v>660</v>
      </c>
      <c r="W39" s="1" t="s">
        <v>954</v>
      </c>
      <c r="X39" s="595"/>
      <c r="Y39" s="1" t="b">
        <v>1</v>
      </c>
      <c r="Z39" s="6">
        <v>32790.400000000001</v>
      </c>
      <c r="AA39" s="6">
        <v>44022</v>
      </c>
      <c r="AB39" s="6">
        <v>11231.599999999999</v>
      </c>
      <c r="AC39" s="107"/>
      <c r="AE39" s="107"/>
      <c r="AG39" s="1" t="s">
        <v>1082</v>
      </c>
      <c r="AH39" s="597"/>
      <c r="AI39" s="605"/>
      <c r="AJ39" s="6" t="s">
        <v>671</v>
      </c>
      <c r="AK39" s="6" t="b">
        <v>1</v>
      </c>
      <c r="AM39" s="6"/>
      <c r="AN39" s="6"/>
      <c r="AO39" s="6"/>
      <c r="AP39" s="595"/>
      <c r="AQ39" s="598" t="s">
        <v>252</v>
      </c>
      <c r="AR39" s="598" t="s">
        <v>591</v>
      </c>
      <c r="AS39" s="598" t="s">
        <v>1027</v>
      </c>
      <c r="AT39" s="598" t="s">
        <v>1028</v>
      </c>
      <c r="AU39" s="597" t="s">
        <v>1384</v>
      </c>
    </row>
    <row r="40" spans="1:47" ht="81.5" x14ac:dyDescent="0.35">
      <c r="A40" s="1">
        <v>126</v>
      </c>
      <c r="B40" s="595">
        <v>45561</v>
      </c>
      <c r="C40" s="1" t="s">
        <v>855</v>
      </c>
      <c r="D40" s="1" t="s">
        <v>235</v>
      </c>
      <c r="E40" s="148"/>
      <c r="F40" s="1">
        <v>348</v>
      </c>
      <c r="G40" s="1" t="s">
        <v>327</v>
      </c>
      <c r="H40" s="6" t="s">
        <v>1092</v>
      </c>
      <c r="I40" s="107" t="s">
        <v>1111</v>
      </c>
      <c r="J40" s="115" t="s">
        <v>1656</v>
      </c>
      <c r="K40" s="115" t="s">
        <v>1380</v>
      </c>
      <c r="L40" s="115">
        <v>1918.07</v>
      </c>
      <c r="M40" s="115">
        <v>2173.1949999999997</v>
      </c>
      <c r="N40" s="596">
        <v>10.793874204</v>
      </c>
      <c r="O40" s="1" t="s">
        <v>926</v>
      </c>
      <c r="P40" s="6">
        <v>0</v>
      </c>
      <c r="Q40" s="6">
        <v>0</v>
      </c>
      <c r="R40" s="6" t="s">
        <v>1102</v>
      </c>
      <c r="S40" s="6"/>
      <c r="T40" s="1" t="s">
        <v>1677</v>
      </c>
      <c r="U40" s="595">
        <v>45587</v>
      </c>
      <c r="V40" s="595" t="s">
        <v>660</v>
      </c>
      <c r="W40" s="1" t="s">
        <v>954</v>
      </c>
      <c r="X40" s="595"/>
      <c r="Y40" s="1" t="b">
        <v>0</v>
      </c>
      <c r="Z40" s="6">
        <v>24823.440000000002</v>
      </c>
      <c r="AA40" s="6">
        <v>33405.119999999995</v>
      </c>
      <c r="AB40" s="6">
        <v>8581.679999999993</v>
      </c>
      <c r="AC40" s="107" t="s">
        <v>1238</v>
      </c>
      <c r="AD40" s="6" t="s">
        <v>1678</v>
      </c>
      <c r="AE40" s="107">
        <v>131</v>
      </c>
      <c r="AF40" s="6" t="b">
        <v>1</v>
      </c>
      <c r="AG40" s="1" t="s">
        <v>1082</v>
      </c>
      <c r="AH40" s="597" t="s">
        <v>1541</v>
      </c>
      <c r="AI40" s="617" t="s">
        <v>1694</v>
      </c>
      <c r="AJ40" s="6" t="s">
        <v>671</v>
      </c>
      <c r="AK40" s="6" t="b">
        <v>1</v>
      </c>
      <c r="AM40" s="6"/>
      <c r="AN40" s="6"/>
      <c r="AO40" s="6"/>
      <c r="AP40" s="595" t="s">
        <v>1675</v>
      </c>
      <c r="AQ40" s="598" t="s">
        <v>1537</v>
      </c>
      <c r="AR40" s="598" t="s">
        <v>1538</v>
      </c>
      <c r="AS40" s="598" t="s">
        <v>1539</v>
      </c>
      <c r="AT40" s="598" t="s">
        <v>1540</v>
      </c>
      <c r="AU40" s="597" t="s">
        <v>1384</v>
      </c>
    </row>
    <row r="41" spans="1:47" x14ac:dyDescent="0.35">
      <c r="A41" s="1">
        <v>127</v>
      </c>
      <c r="B41" s="595">
        <v>45580</v>
      </c>
      <c r="C41" s="1" t="s">
        <v>692</v>
      </c>
      <c r="D41" s="1" t="s">
        <v>235</v>
      </c>
      <c r="E41" s="148"/>
      <c r="F41" s="1">
        <v>114</v>
      </c>
      <c r="G41" s="1" t="s">
        <v>696</v>
      </c>
      <c r="H41" s="6" t="s">
        <v>1092</v>
      </c>
      <c r="I41" s="107" t="s">
        <v>1100</v>
      </c>
      <c r="J41" s="115" t="s">
        <v>1671</v>
      </c>
      <c r="K41" s="115" t="s">
        <v>1380</v>
      </c>
      <c r="L41" s="115">
        <v>1169.2</v>
      </c>
      <c r="M41" s="115">
        <v>1221</v>
      </c>
      <c r="N41" s="596">
        <v>2.1333583333333332</v>
      </c>
      <c r="O41" s="1" t="s">
        <v>1126</v>
      </c>
      <c r="P41" s="6">
        <v>590</v>
      </c>
      <c r="Q41" s="6">
        <v>0</v>
      </c>
      <c r="R41" s="6" t="s">
        <v>1102</v>
      </c>
      <c r="S41" s="6" t="s">
        <v>695</v>
      </c>
      <c r="T41" s="1" t="s">
        <v>1676</v>
      </c>
      <c r="U41" s="595">
        <v>45587</v>
      </c>
      <c r="V41" s="595" t="s">
        <v>660</v>
      </c>
      <c r="W41" s="1" t="s">
        <v>919</v>
      </c>
      <c r="X41" s="595"/>
      <c r="Y41" s="1" t="b">
        <v>0</v>
      </c>
      <c r="Z41" s="6">
        <v>31956.48</v>
      </c>
      <c r="AA41" s="6">
        <v>34200</v>
      </c>
      <c r="AB41" s="6">
        <v>2243.5200000000004</v>
      </c>
      <c r="AC41" s="107" t="s">
        <v>1105</v>
      </c>
      <c r="AD41" s="6" t="s">
        <v>1089</v>
      </c>
      <c r="AE41" s="107"/>
      <c r="AG41" s="1" t="s">
        <v>1082</v>
      </c>
      <c r="AH41" s="597"/>
      <c r="AI41" s="605" t="s">
        <v>1411</v>
      </c>
      <c r="AJ41" s="6" t="s">
        <v>671</v>
      </c>
      <c r="AK41" s="6" t="b">
        <v>1</v>
      </c>
      <c r="AM41" s="6"/>
      <c r="AN41" s="6"/>
      <c r="AO41" s="6"/>
      <c r="AP41" s="595" t="s">
        <v>1675</v>
      </c>
      <c r="AQ41" s="598" t="s">
        <v>1577</v>
      </c>
      <c r="AR41" s="598" t="s">
        <v>693</v>
      </c>
      <c r="AS41" s="598" t="s">
        <v>694</v>
      </c>
      <c r="AT41" s="598" t="s">
        <v>303</v>
      </c>
      <c r="AU41" s="597" t="s">
        <v>1384</v>
      </c>
    </row>
    <row r="42" spans="1:47" x14ac:dyDescent="0.35">
      <c r="A42" s="1">
        <v>106</v>
      </c>
      <c r="B42" s="595">
        <v>45518</v>
      </c>
      <c r="C42" s="1" t="s">
        <v>225</v>
      </c>
      <c r="D42" s="1" t="s">
        <v>235</v>
      </c>
      <c r="E42" s="148"/>
      <c r="F42" s="1">
        <v>209</v>
      </c>
      <c r="G42" s="1" t="s">
        <v>327</v>
      </c>
      <c r="H42" s="6" t="s">
        <v>1092</v>
      </c>
      <c r="I42" s="107" t="s">
        <v>1116</v>
      </c>
      <c r="J42" s="115" t="s">
        <v>1251</v>
      </c>
      <c r="K42" s="115"/>
      <c r="L42" s="115">
        <v>1314.192</v>
      </c>
      <c r="M42" s="115">
        <v>1470.5239999999999</v>
      </c>
      <c r="N42" s="596">
        <v>5.4841600000000001</v>
      </c>
      <c r="O42" s="1" t="s">
        <v>1415</v>
      </c>
      <c r="P42" s="6">
        <v>0</v>
      </c>
      <c r="Q42" s="6">
        <v>0</v>
      </c>
      <c r="R42" s="6" t="s">
        <v>1102</v>
      </c>
      <c r="S42" s="6" t="s">
        <v>710</v>
      </c>
      <c r="T42" s="1" t="s">
        <v>1665</v>
      </c>
      <c r="U42" s="595">
        <v>45583</v>
      </c>
      <c r="V42" s="595" t="s">
        <v>660</v>
      </c>
      <c r="W42" s="1" t="s">
        <v>954</v>
      </c>
      <c r="X42" s="595"/>
      <c r="Y42" s="1" t="b">
        <v>1</v>
      </c>
      <c r="Z42" s="6">
        <v>8186.1119999999992</v>
      </c>
      <c r="AA42" s="6">
        <v>10633.92</v>
      </c>
      <c r="AB42" s="6">
        <v>2447.8080000000009</v>
      </c>
      <c r="AC42" s="107" t="s">
        <v>1105</v>
      </c>
      <c r="AD42" s="6" t="s">
        <v>1089</v>
      </c>
      <c r="AE42" s="107"/>
      <c r="AG42" s="1" t="s">
        <v>1082</v>
      </c>
      <c r="AH42" s="597"/>
      <c r="AI42" s="605" t="s">
        <v>1674</v>
      </c>
      <c r="AJ42" s="6" t="s">
        <v>671</v>
      </c>
      <c r="AK42" s="6" t="b">
        <v>1</v>
      </c>
      <c r="AM42" s="6"/>
      <c r="AN42" s="6"/>
      <c r="AO42" s="6"/>
      <c r="AP42" s="595" t="s">
        <v>1664</v>
      </c>
      <c r="AQ42" s="598" t="s">
        <v>228</v>
      </c>
      <c r="AR42" s="598" t="s">
        <v>229</v>
      </c>
      <c r="AS42" s="598" t="s">
        <v>230</v>
      </c>
      <c r="AT42" s="598"/>
      <c r="AU42" s="597" t="s">
        <v>1384</v>
      </c>
    </row>
    <row r="43" spans="1:47" x14ac:dyDescent="0.35">
      <c r="A43" s="1">
        <v>82</v>
      </c>
      <c r="B43" s="595">
        <v>45498</v>
      </c>
      <c r="C43" s="1" t="s">
        <v>306</v>
      </c>
      <c r="D43" s="1" t="s">
        <v>235</v>
      </c>
      <c r="E43" s="148"/>
      <c r="F43" s="1">
        <v>54</v>
      </c>
      <c r="G43" s="1" t="s">
        <v>327</v>
      </c>
      <c r="H43" s="6" t="s">
        <v>1094</v>
      </c>
      <c r="I43" s="107" t="s">
        <v>1085</v>
      </c>
      <c r="J43" s="115" t="s">
        <v>1337</v>
      </c>
      <c r="K43" s="115"/>
      <c r="L43" s="115">
        <v>278.6275</v>
      </c>
      <c r="M43" s="115">
        <v>306.67750000000001</v>
      </c>
      <c r="N43" s="596">
        <v>1.2597764583333335</v>
      </c>
      <c r="O43" s="1" t="s">
        <v>1533</v>
      </c>
      <c r="P43" s="6">
        <v>0</v>
      </c>
      <c r="Q43" s="6">
        <v>0</v>
      </c>
      <c r="R43" s="6" t="s">
        <v>1102</v>
      </c>
      <c r="S43" s="6" t="s">
        <v>690</v>
      </c>
      <c r="T43" s="1" t="s">
        <v>1649</v>
      </c>
      <c r="U43" s="595">
        <v>45576</v>
      </c>
      <c r="V43" s="595" t="s">
        <v>660</v>
      </c>
      <c r="W43" s="1" t="s">
        <v>954</v>
      </c>
      <c r="X43" s="595"/>
      <c r="Y43" s="1" t="b">
        <v>1</v>
      </c>
      <c r="Z43" s="6">
        <v>4539.9600000000009</v>
      </c>
      <c r="AA43" s="6">
        <v>5423.76</v>
      </c>
      <c r="AB43" s="6">
        <v>883.79999999999927</v>
      </c>
      <c r="AC43" s="107" t="s">
        <v>1116</v>
      </c>
      <c r="AD43" s="6" t="s">
        <v>1365</v>
      </c>
      <c r="AE43" s="107">
        <v>86</v>
      </c>
      <c r="AF43" s="6" t="b">
        <v>1</v>
      </c>
      <c r="AG43" s="1" t="s">
        <v>1082</v>
      </c>
      <c r="AH43" s="597"/>
      <c r="AI43" s="605" t="s">
        <v>1532</v>
      </c>
      <c r="AJ43" s="6" t="s">
        <v>671</v>
      </c>
      <c r="AK43" s="6" t="b">
        <v>1</v>
      </c>
      <c r="AM43" s="6"/>
      <c r="AN43" s="6"/>
      <c r="AO43" s="6"/>
      <c r="AP43" s="595" t="s">
        <v>1648</v>
      </c>
      <c r="AQ43" s="598" t="s">
        <v>309</v>
      </c>
      <c r="AR43" s="598" t="s">
        <v>310</v>
      </c>
      <c r="AS43" s="598" t="s">
        <v>311</v>
      </c>
      <c r="AT43" s="598"/>
      <c r="AU43" s="597" t="s">
        <v>1384</v>
      </c>
    </row>
    <row r="44" spans="1:47" x14ac:dyDescent="0.35">
      <c r="A44" s="1">
        <v>111</v>
      </c>
      <c r="B44" s="595">
        <v>45537</v>
      </c>
      <c r="C44" s="1" t="s">
        <v>692</v>
      </c>
      <c r="D44" s="1" t="s">
        <v>235</v>
      </c>
      <c r="E44" s="148"/>
      <c r="F44" s="1">
        <v>169</v>
      </c>
      <c r="G44" s="1" t="s">
        <v>696</v>
      </c>
      <c r="H44" s="6" t="s">
        <v>1092</v>
      </c>
      <c r="I44" s="107" t="s">
        <v>1100</v>
      </c>
      <c r="J44" s="115" t="s">
        <v>1562</v>
      </c>
      <c r="K44" s="115" t="s">
        <v>1380</v>
      </c>
      <c r="L44" s="115">
        <v>1600.6800000000003</v>
      </c>
      <c r="M44" s="115">
        <v>1671.5</v>
      </c>
      <c r="N44" s="596">
        <v>2.9429125000000003</v>
      </c>
      <c r="O44" s="1" t="s">
        <v>1391</v>
      </c>
      <c r="P44" s="6">
        <v>775</v>
      </c>
      <c r="Q44" s="6">
        <v>0</v>
      </c>
      <c r="R44" s="6" t="s">
        <v>1102</v>
      </c>
      <c r="S44" s="6" t="s">
        <v>695</v>
      </c>
      <c r="T44" s="1" t="s">
        <v>1651</v>
      </c>
      <c r="U44" s="595">
        <v>45561</v>
      </c>
      <c r="V44" s="595" t="s">
        <v>660</v>
      </c>
      <c r="W44" s="1" t="s">
        <v>919</v>
      </c>
      <c r="X44" s="595"/>
      <c r="Y44" s="1" t="b">
        <v>0</v>
      </c>
      <c r="Z44" s="6">
        <v>47374.079999999994</v>
      </c>
      <c r="AA44" s="6">
        <v>50700</v>
      </c>
      <c r="AB44" s="6">
        <v>3325.9200000000055</v>
      </c>
      <c r="AC44" s="107" t="s">
        <v>1105</v>
      </c>
      <c r="AD44" s="6" t="s">
        <v>1089</v>
      </c>
      <c r="AE44" s="107"/>
      <c r="AG44" s="1" t="s">
        <v>1082</v>
      </c>
      <c r="AH44" s="597"/>
      <c r="AI44" s="605" t="s">
        <v>1561</v>
      </c>
      <c r="AJ44" s="6" t="s">
        <v>671</v>
      </c>
      <c r="AK44" s="6" t="b">
        <v>1</v>
      </c>
      <c r="AM44" s="6"/>
      <c r="AN44" s="6"/>
      <c r="AO44" s="6"/>
      <c r="AP44" s="595" t="s">
        <v>1650</v>
      </c>
      <c r="AQ44" s="598" t="s">
        <v>693</v>
      </c>
      <c r="AR44" s="598" t="s">
        <v>694</v>
      </c>
      <c r="AS44" s="598" t="s">
        <v>303</v>
      </c>
      <c r="AT44" s="598"/>
      <c r="AU44" s="597" t="s">
        <v>1384</v>
      </c>
    </row>
    <row r="45" spans="1:47" x14ac:dyDescent="0.35">
      <c r="A45" s="1">
        <v>120</v>
      </c>
      <c r="B45" s="595">
        <v>45547</v>
      </c>
      <c r="C45" s="1" t="s">
        <v>855</v>
      </c>
      <c r="D45" s="1" t="s">
        <v>235</v>
      </c>
      <c r="E45" s="148"/>
      <c r="F45" s="1">
        <v>260</v>
      </c>
      <c r="G45" s="1" t="s">
        <v>327</v>
      </c>
      <c r="H45" s="6" t="s">
        <v>1092</v>
      </c>
      <c r="I45" s="107" t="s">
        <v>1116</v>
      </c>
      <c r="J45" s="115" t="s">
        <v>1560</v>
      </c>
      <c r="K45" s="115" t="s">
        <v>1380</v>
      </c>
      <c r="L45" s="115">
        <v>1723.1408333333331</v>
      </c>
      <c r="M45" s="115">
        <v>1892.5241666666666</v>
      </c>
      <c r="N45" s="596">
        <v>5.4264352500000017</v>
      </c>
      <c r="O45" s="1" t="s">
        <v>1571</v>
      </c>
      <c r="P45" s="6">
        <v>0</v>
      </c>
      <c r="Q45" s="6">
        <v>0</v>
      </c>
      <c r="R45" s="6" t="s">
        <v>1102</v>
      </c>
      <c r="S45" s="6"/>
      <c r="T45" s="1" t="s">
        <v>1576</v>
      </c>
      <c r="U45" s="595">
        <v>45558</v>
      </c>
      <c r="V45" s="595" t="s">
        <v>660</v>
      </c>
      <c r="W45" s="1" t="s">
        <v>954</v>
      </c>
      <c r="X45" s="595"/>
      <c r="Y45" s="1" t="b">
        <v>1</v>
      </c>
      <c r="Z45" s="6">
        <v>23196.800000000003</v>
      </c>
      <c r="AA45" s="6">
        <v>34021.560000000005</v>
      </c>
      <c r="AB45" s="6">
        <v>10824.760000000002</v>
      </c>
      <c r="AC45" s="107" t="s">
        <v>1105</v>
      </c>
      <c r="AD45" s="6" t="s">
        <v>1089</v>
      </c>
      <c r="AE45" s="107"/>
      <c r="AG45" s="1" t="s">
        <v>1082</v>
      </c>
      <c r="AH45" s="597"/>
      <c r="AI45" s="605" t="s">
        <v>1572</v>
      </c>
      <c r="AJ45" s="6" t="s">
        <v>671</v>
      </c>
      <c r="AK45" s="6" t="b">
        <v>1</v>
      </c>
      <c r="AM45" s="6"/>
      <c r="AN45" s="6"/>
      <c r="AO45" s="6"/>
      <c r="AP45" s="595" t="s">
        <v>1573</v>
      </c>
      <c r="AQ45" s="598"/>
      <c r="AR45" s="598"/>
      <c r="AS45" s="598"/>
      <c r="AT45" s="598"/>
      <c r="AU45" s="597" t="s">
        <v>1384</v>
      </c>
    </row>
    <row r="46" spans="1:47" x14ac:dyDescent="0.35">
      <c r="A46" s="1">
        <v>83</v>
      </c>
      <c r="B46" s="595">
        <v>45505</v>
      </c>
      <c r="C46" s="1" t="s">
        <v>651</v>
      </c>
      <c r="D46" s="1" t="s">
        <v>235</v>
      </c>
      <c r="E46" s="148" t="s">
        <v>1557</v>
      </c>
      <c r="F46" s="1" t="s">
        <v>1719</v>
      </c>
      <c r="G46" s="1" t="s">
        <v>234</v>
      </c>
      <c r="H46" s="6" t="s">
        <v>1094</v>
      </c>
      <c r="I46" s="107" t="s">
        <v>1119</v>
      </c>
      <c r="J46" s="115" t="s">
        <v>1301</v>
      </c>
      <c r="K46" s="115"/>
      <c r="L46" s="115">
        <v>852.9799999999999</v>
      </c>
      <c r="M46" s="115">
        <v>914.52291666666679</v>
      </c>
      <c r="N46" s="596">
        <v>2.1084239062500001</v>
      </c>
      <c r="O46" s="1" t="s">
        <v>1551</v>
      </c>
      <c r="P46" s="6">
        <v>0</v>
      </c>
      <c r="Q46" s="6">
        <v>0</v>
      </c>
      <c r="R46" s="6" t="s">
        <v>1102</v>
      </c>
      <c r="S46" s="6" t="s">
        <v>1300</v>
      </c>
      <c r="T46" s="1" t="s">
        <v>1552</v>
      </c>
      <c r="U46" s="595">
        <v>45552</v>
      </c>
      <c r="V46" s="595" t="s">
        <v>660</v>
      </c>
      <c r="W46" s="1" t="s">
        <v>925</v>
      </c>
      <c r="X46" s="595"/>
      <c r="Y46" s="1" t="b">
        <v>0</v>
      </c>
      <c r="Z46" s="6">
        <v>17051.52</v>
      </c>
      <c r="AA46" s="6">
        <v>15380.33934823593</v>
      </c>
      <c r="AB46" s="6">
        <v>-1671.18</v>
      </c>
      <c r="AC46" s="107" t="s">
        <v>1105</v>
      </c>
      <c r="AD46" s="6" t="s">
        <v>1089</v>
      </c>
      <c r="AE46" s="107"/>
      <c r="AG46" s="1" t="s">
        <v>1082</v>
      </c>
      <c r="AH46" s="597"/>
      <c r="AI46" s="605" t="s">
        <v>1549</v>
      </c>
      <c r="AJ46" s="6" t="s">
        <v>671</v>
      </c>
      <c r="AK46" s="6" t="b">
        <v>1</v>
      </c>
      <c r="AM46" s="6"/>
      <c r="AN46" s="6"/>
      <c r="AO46" s="6"/>
      <c r="AP46" s="595" t="s">
        <v>1548</v>
      </c>
      <c r="AQ46" s="598" t="s">
        <v>1297</v>
      </c>
      <c r="AR46" s="598" t="s">
        <v>1298</v>
      </c>
      <c r="AS46" s="598" t="s">
        <v>1299</v>
      </c>
      <c r="AT46" s="598"/>
      <c r="AU46" s="597" t="s">
        <v>1385</v>
      </c>
    </row>
    <row r="47" spans="1:47" x14ac:dyDescent="0.35">
      <c r="A47" s="1">
        <v>114</v>
      </c>
      <c r="B47" s="595">
        <v>45539</v>
      </c>
      <c r="C47" s="1" t="s">
        <v>697</v>
      </c>
      <c r="D47" s="1" t="s">
        <v>235</v>
      </c>
      <c r="E47" s="148"/>
      <c r="F47" s="1">
        <v>42</v>
      </c>
      <c r="G47" s="1" t="s">
        <v>335</v>
      </c>
      <c r="H47" s="6" t="s">
        <v>1092</v>
      </c>
      <c r="I47" s="107" t="s">
        <v>1085</v>
      </c>
      <c r="J47" s="115" t="s">
        <v>1520</v>
      </c>
      <c r="K47" s="115" t="s">
        <v>1380</v>
      </c>
      <c r="L47" s="115">
        <v>419.39000000000004</v>
      </c>
      <c r="M47" s="115">
        <v>437.85833333333329</v>
      </c>
      <c r="N47" s="596">
        <v>0.77421895833333343</v>
      </c>
      <c r="O47" s="1" t="s">
        <v>1126</v>
      </c>
      <c r="P47" s="6">
        <v>460</v>
      </c>
      <c r="Q47" s="6">
        <v>0</v>
      </c>
      <c r="R47" s="6" t="s">
        <v>1102</v>
      </c>
      <c r="S47" s="6" t="s">
        <v>700</v>
      </c>
      <c r="T47" s="1" t="s">
        <v>1535</v>
      </c>
      <c r="U47" s="595">
        <v>45547</v>
      </c>
      <c r="V47" s="595" t="s">
        <v>660</v>
      </c>
      <c r="W47" s="1" t="s">
        <v>919</v>
      </c>
      <c r="X47" s="595"/>
      <c r="Y47" s="1" t="b">
        <v>1</v>
      </c>
      <c r="Z47" s="6">
        <v>7848.9599999999991</v>
      </c>
      <c r="AA47" s="6">
        <v>8400</v>
      </c>
      <c r="AB47" s="6">
        <v>551.04000000000087</v>
      </c>
      <c r="AC47" s="107" t="s">
        <v>1105</v>
      </c>
      <c r="AD47" s="6" t="s">
        <v>1089</v>
      </c>
      <c r="AE47" s="107"/>
      <c r="AG47" s="1" t="s">
        <v>1082</v>
      </c>
      <c r="AH47" s="597"/>
      <c r="AI47" s="605" t="s">
        <v>1411</v>
      </c>
      <c r="AJ47" s="6" t="s">
        <v>671</v>
      </c>
      <c r="AK47" s="6" t="b">
        <v>1</v>
      </c>
      <c r="AM47" s="6"/>
      <c r="AN47" s="6"/>
      <c r="AO47" s="6"/>
      <c r="AP47" s="595" t="s">
        <v>1534</v>
      </c>
      <c r="AQ47" s="598" t="s">
        <v>698</v>
      </c>
      <c r="AR47" s="598" t="s">
        <v>699</v>
      </c>
      <c r="AS47" s="598" t="s">
        <v>303</v>
      </c>
      <c r="AT47" s="598"/>
      <c r="AU47" s="597" t="s">
        <v>1384</v>
      </c>
    </row>
    <row r="48" spans="1:47" ht="49.5" x14ac:dyDescent="0.35">
      <c r="A48" s="1">
        <v>113</v>
      </c>
      <c r="B48" s="595">
        <v>45538</v>
      </c>
      <c r="C48" s="1" t="s">
        <v>293</v>
      </c>
      <c r="D48" s="1" t="s">
        <v>235</v>
      </c>
      <c r="E48" s="148"/>
      <c r="F48" s="1" t="s">
        <v>1085</v>
      </c>
      <c r="G48" s="1" t="s">
        <v>327</v>
      </c>
      <c r="H48" s="6" t="s">
        <v>765</v>
      </c>
      <c r="I48" s="107"/>
      <c r="J48" s="115"/>
      <c r="K48" s="115" t="s">
        <v>1380</v>
      </c>
      <c r="L48" s="115">
        <v>4.875</v>
      </c>
      <c r="M48" s="115">
        <v>5.7356000000000025</v>
      </c>
      <c r="N48" s="596">
        <v>0</v>
      </c>
      <c r="O48" s="1" t="s">
        <v>1086</v>
      </c>
      <c r="P48" s="6">
        <v>0</v>
      </c>
      <c r="Q48" s="6">
        <v>0</v>
      </c>
      <c r="R48" s="6" t="s">
        <v>1102</v>
      </c>
      <c r="S48" s="6" t="s">
        <v>928</v>
      </c>
      <c r="T48" s="1" t="s">
        <v>1654</v>
      </c>
      <c r="U48" s="595">
        <v>45539</v>
      </c>
      <c r="V48" s="595" t="s">
        <v>1099</v>
      </c>
      <c r="W48" s="1" t="s">
        <v>923</v>
      </c>
      <c r="X48" s="595"/>
      <c r="Y48" s="1" t="b">
        <v>1</v>
      </c>
      <c r="Z48" s="6">
        <v>0</v>
      </c>
      <c r="AA48" s="6">
        <v>65</v>
      </c>
      <c r="AB48" s="6">
        <v>65</v>
      </c>
      <c r="AC48" s="107" t="s">
        <v>1105</v>
      </c>
      <c r="AD48" s="6" t="s">
        <v>1089</v>
      </c>
      <c r="AE48" s="107"/>
      <c r="AG48" s="1" t="s">
        <v>1082</v>
      </c>
      <c r="AH48" s="597"/>
      <c r="AI48" s="617" t="s">
        <v>1729</v>
      </c>
      <c r="AJ48" s="6" t="s">
        <v>1091</v>
      </c>
      <c r="AK48" s="6" t="b">
        <v>1</v>
      </c>
      <c r="AM48" s="6"/>
      <c r="AN48" s="6"/>
      <c r="AO48" s="6"/>
      <c r="AP48" s="595" t="s">
        <v>1655</v>
      </c>
      <c r="AQ48" s="598" t="s">
        <v>295</v>
      </c>
      <c r="AR48" s="598" t="s">
        <v>296</v>
      </c>
      <c r="AS48" s="598" t="s">
        <v>297</v>
      </c>
      <c r="AT48" s="598"/>
      <c r="AU48" s="597" t="s">
        <v>1384</v>
      </c>
    </row>
    <row r="49" spans="1:47" x14ac:dyDescent="0.35">
      <c r="A49" s="1">
        <v>85</v>
      </c>
      <c r="B49" s="595">
        <v>45512</v>
      </c>
      <c r="C49" s="1" t="s">
        <v>343</v>
      </c>
      <c r="D49" s="1" t="s">
        <v>235</v>
      </c>
      <c r="E49" s="148" t="s">
        <v>1416</v>
      </c>
      <c r="F49" s="1">
        <v>200</v>
      </c>
      <c r="G49" s="1" t="s">
        <v>327</v>
      </c>
      <c r="H49" s="6" t="s">
        <v>1094</v>
      </c>
      <c r="I49" s="107" t="s">
        <v>1251</v>
      </c>
      <c r="J49" s="115" t="s">
        <v>1395</v>
      </c>
      <c r="K49" s="115"/>
      <c r="L49" s="115">
        <v>1488.3333333333333</v>
      </c>
      <c r="M49" s="115">
        <v>1628.8541666666667</v>
      </c>
      <c r="N49" s="596">
        <v>4.4424374999999996</v>
      </c>
      <c r="O49" s="1" t="s">
        <v>1415</v>
      </c>
      <c r="P49" s="6">
        <v>0</v>
      </c>
      <c r="Q49" s="6">
        <v>0</v>
      </c>
      <c r="R49" s="6" t="s">
        <v>1102</v>
      </c>
      <c r="S49" s="6" t="s">
        <v>704</v>
      </c>
      <c r="T49" s="1" t="s">
        <v>1414</v>
      </c>
      <c r="U49" s="595">
        <v>45533</v>
      </c>
      <c r="V49" s="595" t="s">
        <v>660</v>
      </c>
      <c r="W49" s="1" t="s">
        <v>919</v>
      </c>
      <c r="X49" s="595"/>
      <c r="Y49" s="1" t="b">
        <v>0</v>
      </c>
      <c r="Z49" s="6">
        <v>23750</v>
      </c>
      <c r="AA49" s="6">
        <v>25393.525393525393</v>
      </c>
      <c r="AB49" s="6">
        <v>1643.53</v>
      </c>
      <c r="AC49" s="107" t="s">
        <v>1105</v>
      </c>
      <c r="AD49" s="6" t="s">
        <v>1089</v>
      </c>
      <c r="AE49" s="107"/>
      <c r="AG49" s="1" t="s">
        <v>1082</v>
      </c>
      <c r="AH49" s="597"/>
      <c r="AI49" s="605" t="s">
        <v>1396</v>
      </c>
      <c r="AJ49" s="6" t="s">
        <v>671</v>
      </c>
      <c r="AK49" s="6" t="b">
        <v>1</v>
      </c>
      <c r="AM49" s="6"/>
      <c r="AN49" s="6"/>
      <c r="AO49" s="6"/>
      <c r="AP49" s="595" t="s">
        <v>1417</v>
      </c>
      <c r="AQ49" s="598" t="s">
        <v>701</v>
      </c>
      <c r="AR49" s="598" t="s">
        <v>702</v>
      </c>
      <c r="AS49" s="598" t="s">
        <v>703</v>
      </c>
      <c r="AT49" s="598"/>
      <c r="AU49" s="597" t="s">
        <v>1384</v>
      </c>
    </row>
    <row r="50" spans="1:47" x14ac:dyDescent="0.35">
      <c r="A50" s="1">
        <v>77</v>
      </c>
      <c r="B50" s="595">
        <v>45488</v>
      </c>
      <c r="C50" s="1" t="s">
        <v>249</v>
      </c>
      <c r="D50" s="1" t="s">
        <v>235</v>
      </c>
      <c r="E50" s="148" t="s">
        <v>1388</v>
      </c>
      <c r="F50" s="1">
        <v>140</v>
      </c>
      <c r="G50" s="1" t="s">
        <v>327</v>
      </c>
      <c r="H50" s="6" t="s">
        <v>1094</v>
      </c>
      <c r="I50" s="107" t="s">
        <v>1119</v>
      </c>
      <c r="J50" s="115" t="s">
        <v>1172</v>
      </c>
      <c r="K50" s="115"/>
      <c r="L50" s="115">
        <v>1000</v>
      </c>
      <c r="M50" s="115">
        <v>1080</v>
      </c>
      <c r="N50" s="596">
        <v>2.8176708854166659</v>
      </c>
      <c r="O50" s="1" t="s">
        <v>1379</v>
      </c>
      <c r="P50" s="6">
        <v>0</v>
      </c>
      <c r="Q50" s="6">
        <v>0</v>
      </c>
      <c r="R50" s="6" t="s">
        <v>1102</v>
      </c>
      <c r="S50" s="6"/>
      <c r="T50" s="1" t="s">
        <v>1387</v>
      </c>
      <c r="U50" s="595">
        <v>45524</v>
      </c>
      <c r="V50" s="595" t="s">
        <v>660</v>
      </c>
      <c r="W50" s="1" t="s">
        <v>954</v>
      </c>
      <c r="X50" s="595"/>
      <c r="Y50" s="1" t="b">
        <v>1</v>
      </c>
      <c r="Z50" s="6">
        <v>19143.2</v>
      </c>
      <c r="AA50" s="6">
        <v>28491.504389414076</v>
      </c>
      <c r="AB50" s="6">
        <v>9348.2999999999993</v>
      </c>
      <c r="AC50" s="107" t="s">
        <v>1105</v>
      </c>
      <c r="AD50" s="6" t="s">
        <v>1089</v>
      </c>
      <c r="AE50" s="107"/>
      <c r="AG50" s="1" t="s">
        <v>1082</v>
      </c>
      <c r="AH50" s="597"/>
      <c r="AI50" s="605" t="s">
        <v>1383</v>
      </c>
      <c r="AJ50" s="6" t="s">
        <v>1091</v>
      </c>
      <c r="AK50" s="6" t="b">
        <v>1</v>
      </c>
      <c r="AM50" s="6"/>
      <c r="AN50" s="6"/>
      <c r="AO50" s="6"/>
      <c r="AP50" s="595" t="s">
        <v>1372</v>
      </c>
      <c r="AQ50" s="598" t="s">
        <v>252</v>
      </c>
      <c r="AR50" s="598" t="s">
        <v>591</v>
      </c>
      <c r="AS50" s="598" t="s">
        <v>988</v>
      </c>
      <c r="AT50" s="598"/>
      <c r="AU50" s="597" t="s">
        <v>1384</v>
      </c>
    </row>
    <row r="51" spans="1:47" x14ac:dyDescent="0.35">
      <c r="A51" s="1">
        <v>75</v>
      </c>
      <c r="B51" s="595">
        <v>45488</v>
      </c>
      <c r="C51" s="1" t="s">
        <v>267</v>
      </c>
      <c r="D51" s="1" t="s">
        <v>235</v>
      </c>
      <c r="E51" s="148" t="s">
        <v>1389</v>
      </c>
      <c r="F51" s="1">
        <v>68</v>
      </c>
      <c r="G51" s="1" t="s">
        <v>327</v>
      </c>
      <c r="H51" s="6" t="s">
        <v>1094</v>
      </c>
      <c r="I51" s="107" t="s">
        <v>1119</v>
      </c>
      <c r="J51" s="115" t="s">
        <v>1338</v>
      </c>
      <c r="K51" s="115" t="s">
        <v>1380</v>
      </c>
      <c r="L51" s="115">
        <v>390</v>
      </c>
      <c r="M51" s="115">
        <v>440</v>
      </c>
      <c r="N51" s="596">
        <v>2.1757312</v>
      </c>
      <c r="O51" s="1" t="s">
        <v>1374</v>
      </c>
      <c r="P51" s="6">
        <v>0</v>
      </c>
      <c r="Q51" s="6">
        <v>0</v>
      </c>
      <c r="R51" s="6" t="s">
        <v>1102</v>
      </c>
      <c r="S51" s="6" t="s">
        <v>1062</v>
      </c>
      <c r="T51" s="1" t="s">
        <v>1378</v>
      </c>
      <c r="U51" s="595">
        <v>45524</v>
      </c>
      <c r="V51" s="595" t="s">
        <v>660</v>
      </c>
      <c r="W51" s="1" t="s">
        <v>866</v>
      </c>
      <c r="X51" s="595"/>
      <c r="Y51" s="1" t="b">
        <v>1</v>
      </c>
      <c r="Z51" s="6">
        <v>4928</v>
      </c>
      <c r="AA51" s="6">
        <v>6300.9743774810531</v>
      </c>
      <c r="AB51" s="6">
        <v>1372.97</v>
      </c>
      <c r="AC51" s="107" t="s">
        <v>1130</v>
      </c>
      <c r="AD51" s="6" t="s">
        <v>1339</v>
      </c>
      <c r="AE51" s="107"/>
      <c r="AF51" s="6" t="b">
        <v>1</v>
      </c>
      <c r="AG51" s="1" t="s">
        <v>1082</v>
      </c>
      <c r="AH51" s="597" t="s">
        <v>1381</v>
      </c>
      <c r="AI51" s="605" t="s">
        <v>1369</v>
      </c>
      <c r="AJ51" s="6" t="s">
        <v>671</v>
      </c>
      <c r="AK51" s="6" t="b">
        <v>1</v>
      </c>
      <c r="AM51" s="6"/>
      <c r="AN51" s="6"/>
      <c r="AO51" s="6"/>
      <c r="AP51" s="595" t="s">
        <v>1372</v>
      </c>
      <c r="AQ51" s="598" t="s">
        <v>270</v>
      </c>
      <c r="AR51" s="598" t="s">
        <v>271</v>
      </c>
      <c r="AS51" s="598" t="s">
        <v>272</v>
      </c>
      <c r="AT51" s="598"/>
      <c r="AU51" s="597" t="s">
        <v>1384</v>
      </c>
    </row>
    <row r="52" spans="1:47" x14ac:dyDescent="0.35">
      <c r="A52" s="1">
        <v>63</v>
      </c>
      <c r="B52" s="595" t="s">
        <v>1198</v>
      </c>
      <c r="C52" s="1" t="s">
        <v>348</v>
      </c>
      <c r="D52" s="1" t="s">
        <v>235</v>
      </c>
      <c r="E52" s="148"/>
      <c r="F52" s="1">
        <v>129</v>
      </c>
      <c r="G52" s="1" t="s">
        <v>327</v>
      </c>
      <c r="H52" s="6" t="s">
        <v>1094</v>
      </c>
      <c r="I52" s="107" t="s">
        <v>1119</v>
      </c>
      <c r="J52" s="115" t="s">
        <v>1331</v>
      </c>
      <c r="K52" s="115" t="s">
        <v>861</v>
      </c>
      <c r="L52" s="115">
        <v>1175.8150000000001</v>
      </c>
      <c r="M52" s="115">
        <v>1227.4000000000001</v>
      </c>
      <c r="N52" s="596">
        <v>2.1642425520833335</v>
      </c>
      <c r="O52" s="1" t="s">
        <v>1370</v>
      </c>
      <c r="P52" s="6">
        <v>0</v>
      </c>
      <c r="Q52" s="6">
        <v>0</v>
      </c>
      <c r="R52" s="6" t="s">
        <v>1102</v>
      </c>
      <c r="S52" s="6" t="s">
        <v>986</v>
      </c>
      <c r="T52" s="1" t="s">
        <v>1377</v>
      </c>
      <c r="U52" s="595">
        <v>45524</v>
      </c>
      <c r="V52" s="595" t="s">
        <v>660</v>
      </c>
      <c r="W52" s="1" t="s">
        <v>985</v>
      </c>
      <c r="X52" s="595"/>
      <c r="Y52" s="1" t="b">
        <v>1</v>
      </c>
      <c r="Z52" s="6">
        <v>31302.399999999998</v>
      </c>
      <c r="AA52" s="6">
        <v>42638.8</v>
      </c>
      <c r="AB52" s="6">
        <v>11336.400000000005</v>
      </c>
      <c r="AC52" s="107" t="s">
        <v>1105</v>
      </c>
      <c r="AD52" s="6" t="s">
        <v>1089</v>
      </c>
      <c r="AE52" s="107"/>
      <c r="AG52" s="1" t="s">
        <v>1082</v>
      </c>
      <c r="AH52" s="597"/>
      <c r="AI52" s="605" t="s">
        <v>1371</v>
      </c>
      <c r="AJ52" s="6" t="s">
        <v>671</v>
      </c>
      <c r="AK52" s="6" t="b">
        <v>1</v>
      </c>
      <c r="AM52" s="6"/>
      <c r="AN52" s="6"/>
      <c r="AO52" s="6"/>
      <c r="AP52" s="595" t="s">
        <v>1372</v>
      </c>
      <c r="AQ52" s="598"/>
      <c r="AR52" s="598"/>
      <c r="AS52" s="598"/>
      <c r="AT52" s="598"/>
      <c r="AU52" s="597" t="s">
        <v>1384</v>
      </c>
    </row>
    <row r="53" spans="1:47" x14ac:dyDescent="0.35">
      <c r="A53" s="1">
        <v>84</v>
      </c>
      <c r="B53" s="595">
        <v>45510</v>
      </c>
      <c r="C53" s="1" t="s">
        <v>697</v>
      </c>
      <c r="D53" s="1" t="s">
        <v>235</v>
      </c>
      <c r="E53" s="148"/>
      <c r="F53" s="1" t="s">
        <v>1318</v>
      </c>
      <c r="G53" s="1" t="s">
        <v>335</v>
      </c>
      <c r="H53" s="6" t="s">
        <v>1092</v>
      </c>
      <c r="I53" s="107" t="s">
        <v>1085</v>
      </c>
      <c r="J53" s="115" t="s">
        <v>1316</v>
      </c>
      <c r="K53" s="115"/>
      <c r="L53" s="115">
        <v>259.95500000000004</v>
      </c>
      <c r="M53" s="115">
        <v>271.39583333333337</v>
      </c>
      <c r="N53" s="596">
        <v>0.48157369791666671</v>
      </c>
      <c r="O53" s="1" t="s">
        <v>926</v>
      </c>
      <c r="P53" s="6">
        <v>460</v>
      </c>
      <c r="Q53" s="6">
        <v>0</v>
      </c>
      <c r="R53" s="6" t="s">
        <v>1102</v>
      </c>
      <c r="S53" s="6" t="s">
        <v>700</v>
      </c>
      <c r="T53" s="1" t="s">
        <v>1336</v>
      </c>
      <c r="U53" s="595">
        <v>45516</v>
      </c>
      <c r="V53" s="595" t="s">
        <v>660</v>
      </c>
      <c r="W53" s="1" t="s">
        <v>919</v>
      </c>
      <c r="X53" s="595"/>
      <c r="Y53" s="1" t="b">
        <v>1</v>
      </c>
      <c r="Z53" s="6">
        <v>7148.16</v>
      </c>
      <c r="AA53" s="6">
        <v>7500</v>
      </c>
      <c r="AB53" s="6">
        <v>351.84000000000015</v>
      </c>
      <c r="AC53" s="107" t="s">
        <v>1105</v>
      </c>
      <c r="AD53" s="6" t="s">
        <v>1089</v>
      </c>
      <c r="AE53" s="107"/>
      <c r="AG53" s="1" t="s">
        <v>1082</v>
      </c>
      <c r="AH53" s="597"/>
      <c r="AI53" s="605" t="s">
        <v>1317</v>
      </c>
      <c r="AJ53" s="6" t="s">
        <v>671</v>
      </c>
      <c r="AK53" s="6" t="b">
        <v>1</v>
      </c>
      <c r="AM53" s="6"/>
      <c r="AN53" s="6"/>
      <c r="AO53" s="6"/>
      <c r="AP53" s="595" t="s">
        <v>1394</v>
      </c>
      <c r="AQ53" s="598" t="s">
        <v>698</v>
      </c>
      <c r="AR53" s="598" t="s">
        <v>699</v>
      </c>
      <c r="AS53" s="598" t="s">
        <v>303</v>
      </c>
      <c r="AT53" s="598"/>
      <c r="AU53" s="597" t="s">
        <v>1384</v>
      </c>
    </row>
    <row r="54" spans="1:47" x14ac:dyDescent="0.35">
      <c r="A54" s="1">
        <v>66</v>
      </c>
      <c r="B54" s="595">
        <v>45476</v>
      </c>
      <c r="C54" s="1" t="s">
        <v>1020</v>
      </c>
      <c r="D54" s="1" t="s">
        <v>235</v>
      </c>
      <c r="E54" s="148"/>
      <c r="F54" s="1">
        <v>39</v>
      </c>
      <c r="G54" s="1" t="s">
        <v>1329</v>
      </c>
      <c r="H54" s="6" t="s">
        <v>1092</v>
      </c>
      <c r="I54" s="107" t="s">
        <v>1085</v>
      </c>
      <c r="J54" s="115" t="s">
        <v>1177</v>
      </c>
      <c r="K54" s="115"/>
      <c r="L54" s="115">
        <v>167.62968750000005</v>
      </c>
      <c r="M54" s="115">
        <v>185.35937499999994</v>
      </c>
      <c r="N54" s="596">
        <v>0.76292953124999974</v>
      </c>
      <c r="O54" s="1" t="s">
        <v>926</v>
      </c>
      <c r="P54" s="6">
        <v>1015</v>
      </c>
      <c r="Q54" s="6">
        <v>0</v>
      </c>
      <c r="R54" s="6" t="s">
        <v>1102</v>
      </c>
      <c r="S54" s="6" t="s">
        <v>1021</v>
      </c>
      <c r="T54" s="1" t="s">
        <v>1328</v>
      </c>
      <c r="U54" s="595">
        <v>45512</v>
      </c>
      <c r="V54" s="595" t="s">
        <v>1099</v>
      </c>
      <c r="W54" s="1" t="s">
        <v>590</v>
      </c>
      <c r="X54" s="595"/>
      <c r="Y54" s="1" t="b">
        <v>1</v>
      </c>
      <c r="Z54" s="6">
        <v>0</v>
      </c>
      <c r="AA54" s="6">
        <v>0</v>
      </c>
      <c r="AB54" s="6">
        <v>0</v>
      </c>
      <c r="AC54" s="107" t="s">
        <v>1100</v>
      </c>
      <c r="AD54" s="6" t="s">
        <v>1290</v>
      </c>
      <c r="AE54" s="107"/>
      <c r="AG54" s="1" t="s">
        <v>1082</v>
      </c>
      <c r="AH54" s="597"/>
      <c r="AI54" s="605" t="s">
        <v>1319</v>
      </c>
      <c r="AJ54" s="6" t="s">
        <v>671</v>
      </c>
      <c r="AK54" s="6" t="b">
        <v>1</v>
      </c>
      <c r="AM54" s="6"/>
      <c r="AN54" s="6"/>
      <c r="AO54" s="6"/>
      <c r="AP54" s="595" t="s">
        <v>1327</v>
      </c>
      <c r="AQ54" s="598"/>
      <c r="AR54" s="598"/>
      <c r="AS54" s="598"/>
      <c r="AT54" s="598"/>
      <c r="AU54" s="597" t="s">
        <v>1385</v>
      </c>
    </row>
    <row r="55" spans="1:47" x14ac:dyDescent="0.35">
      <c r="A55" s="1">
        <v>56</v>
      </c>
      <c r="B55" s="595" t="s">
        <v>1198</v>
      </c>
      <c r="C55" s="1" t="s">
        <v>238</v>
      </c>
      <c r="D55" s="1" t="s">
        <v>235</v>
      </c>
      <c r="E55" s="148"/>
      <c r="F55" s="1">
        <v>154</v>
      </c>
      <c r="G55" s="1" t="s">
        <v>327</v>
      </c>
      <c r="H55" s="6" t="s">
        <v>1092</v>
      </c>
      <c r="I55" s="107" t="s">
        <v>1100</v>
      </c>
      <c r="J55" s="115" t="s">
        <v>1186</v>
      </c>
      <c r="K55" s="115"/>
      <c r="L55" s="115">
        <v>913</v>
      </c>
      <c r="M55" s="115">
        <v>1010</v>
      </c>
      <c r="N55" s="596"/>
      <c r="O55" s="1" t="s">
        <v>1187</v>
      </c>
      <c r="P55" s="6">
        <v>0</v>
      </c>
      <c r="Q55" s="6">
        <v>0</v>
      </c>
      <c r="R55" s="6" t="s">
        <v>1102</v>
      </c>
      <c r="S55" s="6"/>
      <c r="T55" s="1" t="s">
        <v>1260</v>
      </c>
      <c r="U55" s="595">
        <v>45499</v>
      </c>
      <c r="V55" s="595" t="s">
        <v>660</v>
      </c>
      <c r="W55" s="1" t="s">
        <v>233</v>
      </c>
      <c r="X55" s="595"/>
      <c r="Y55" s="1" t="b">
        <v>1</v>
      </c>
      <c r="Z55" s="6">
        <v>11373.36</v>
      </c>
      <c r="AA55" s="6">
        <v>12108</v>
      </c>
      <c r="AB55" s="6">
        <v>734.64</v>
      </c>
      <c r="AC55" s="107"/>
      <c r="AD55" s="6" t="s">
        <v>1264</v>
      </c>
      <c r="AE55" s="107"/>
      <c r="AF55" s="6" t="b">
        <v>1</v>
      </c>
      <c r="AG55" s="1" t="s">
        <v>1082</v>
      </c>
      <c r="AH55" s="597"/>
      <c r="AI55" s="605" t="s">
        <v>1252</v>
      </c>
      <c r="AJ55" s="6" t="s">
        <v>671</v>
      </c>
      <c r="AK55" s="6" t="b">
        <v>1</v>
      </c>
      <c r="AM55" s="6"/>
      <c r="AN55" s="6"/>
      <c r="AO55" s="6"/>
      <c r="AP55" s="595" t="s">
        <v>1253</v>
      </c>
      <c r="AQ55" s="598"/>
      <c r="AR55" s="598"/>
      <c r="AS55" s="598"/>
      <c r="AT55" s="598"/>
      <c r="AU55" s="597" t="s">
        <v>1384</v>
      </c>
    </row>
    <row r="56" spans="1:47" x14ac:dyDescent="0.35">
      <c r="A56" s="1">
        <v>62</v>
      </c>
      <c r="B56" s="595" t="s">
        <v>1198</v>
      </c>
      <c r="C56" s="1" t="s">
        <v>329</v>
      </c>
      <c r="D56" s="1" t="s">
        <v>235</v>
      </c>
      <c r="E56" s="148" t="s">
        <v>1271</v>
      </c>
      <c r="F56" s="1">
        <v>910</v>
      </c>
      <c r="G56" s="1" t="s">
        <v>327</v>
      </c>
      <c r="H56" s="6" t="s">
        <v>1094</v>
      </c>
      <c r="I56" s="107" t="s">
        <v>1107</v>
      </c>
      <c r="J56" s="115" t="s">
        <v>1185</v>
      </c>
      <c r="K56" s="115" t="s">
        <v>1258</v>
      </c>
      <c r="L56" s="115">
        <v>5105.5489583333347</v>
      </c>
      <c r="M56" s="115">
        <v>5676.7104166666695</v>
      </c>
      <c r="N56" s="596">
        <v>24.01452418749999</v>
      </c>
      <c r="O56" s="1" t="s">
        <v>1261</v>
      </c>
      <c r="P56" s="6">
        <v>0</v>
      </c>
      <c r="Q56" s="6">
        <v>0</v>
      </c>
      <c r="R56" s="6" t="s">
        <v>1102</v>
      </c>
      <c r="S56" s="6"/>
      <c r="T56" s="1" t="s">
        <v>1259</v>
      </c>
      <c r="U56" s="595">
        <v>45499</v>
      </c>
      <c r="V56" s="595" t="s">
        <v>660</v>
      </c>
      <c r="W56" s="1" t="s">
        <v>866</v>
      </c>
      <c r="X56" s="595"/>
      <c r="Y56" s="1" t="b">
        <v>1</v>
      </c>
      <c r="Z56" s="6">
        <v>72477.896000000052</v>
      </c>
      <c r="AA56" s="6">
        <v>69628.28729281768</v>
      </c>
      <c r="AB56" s="6">
        <v>-2849.6087071823713</v>
      </c>
      <c r="AC56" s="107" t="s">
        <v>1109</v>
      </c>
      <c r="AD56" s="6" t="s">
        <v>1263</v>
      </c>
      <c r="AE56" s="107"/>
      <c r="AF56" s="6" t="b">
        <v>1</v>
      </c>
      <c r="AG56" s="1" t="s">
        <v>1082</v>
      </c>
      <c r="AH56" s="597" t="s">
        <v>1270</v>
      </c>
      <c r="AI56" s="605" t="s">
        <v>1289</v>
      </c>
      <c r="AJ56" s="6" t="s">
        <v>1108</v>
      </c>
      <c r="AK56" s="6" t="b">
        <v>1</v>
      </c>
      <c r="AL56" s="6" t="s">
        <v>1255</v>
      </c>
      <c r="AM56" s="6" t="s">
        <v>1254</v>
      </c>
      <c r="AN56" s="6" t="s">
        <v>1256</v>
      </c>
      <c r="AO56" s="6" t="s">
        <v>1257</v>
      </c>
      <c r="AP56" s="595"/>
      <c r="AQ56" s="598"/>
      <c r="AR56" s="598"/>
      <c r="AS56" s="598"/>
      <c r="AT56" s="598"/>
      <c r="AU56" s="597" t="s">
        <v>1384</v>
      </c>
    </row>
    <row r="57" spans="1:47" x14ac:dyDescent="0.35">
      <c r="A57" s="1">
        <v>23</v>
      </c>
      <c r="B57" s="595">
        <v>45371</v>
      </c>
      <c r="C57" s="1" t="s">
        <v>263</v>
      </c>
      <c r="D57" s="1" t="s">
        <v>235</v>
      </c>
      <c r="E57" s="148"/>
      <c r="F57" s="1">
        <v>42</v>
      </c>
      <c r="G57" s="1" t="s">
        <v>327</v>
      </c>
      <c r="H57" s="6" t="s">
        <v>1094</v>
      </c>
      <c r="I57" s="107" t="s">
        <v>1119</v>
      </c>
      <c r="J57" s="115" t="s">
        <v>1188</v>
      </c>
      <c r="K57" s="115"/>
      <c r="L57" s="115">
        <v>202</v>
      </c>
      <c r="M57" s="115">
        <v>265</v>
      </c>
      <c r="N57" s="596">
        <v>1.76428125</v>
      </c>
      <c r="O57" s="1" t="s">
        <v>1189</v>
      </c>
      <c r="P57" s="6">
        <v>0</v>
      </c>
      <c r="R57" s="6" t="s">
        <v>1102</v>
      </c>
      <c r="S57" s="6"/>
      <c r="T57" s="1" t="s">
        <v>1195</v>
      </c>
      <c r="U57" s="595">
        <v>45497</v>
      </c>
      <c r="V57" s="595" t="s">
        <v>660</v>
      </c>
      <c r="W57" s="1" t="s">
        <v>233</v>
      </c>
      <c r="X57" s="595"/>
      <c r="Y57" s="1" t="b">
        <v>1</v>
      </c>
      <c r="Z57" s="6">
        <v>0</v>
      </c>
      <c r="AA57" s="6">
        <v>44675</v>
      </c>
      <c r="AB57" s="6">
        <v>44675</v>
      </c>
      <c r="AC57" s="107">
        <v>0</v>
      </c>
      <c r="AD57" s="6">
        <v>0</v>
      </c>
      <c r="AE57" s="107"/>
      <c r="AG57" s="1" t="s">
        <v>1082</v>
      </c>
      <c r="AH57" s="597"/>
      <c r="AI57" s="605" t="s">
        <v>1293</v>
      </c>
      <c r="AJ57" s="6" t="s">
        <v>671</v>
      </c>
      <c r="AK57" s="6" t="b">
        <v>1</v>
      </c>
      <c r="AM57" s="6"/>
      <c r="AN57" s="6"/>
      <c r="AO57" s="6"/>
      <c r="AP57" s="595"/>
      <c r="AQ57" s="598"/>
      <c r="AR57" s="598"/>
      <c r="AS57" s="598"/>
      <c r="AT57" s="598"/>
      <c r="AU57" s="597" t="s">
        <v>1384</v>
      </c>
    </row>
    <row r="58" spans="1:47" x14ac:dyDescent="0.35">
      <c r="A58" s="1">
        <v>64</v>
      </c>
      <c r="B58" s="595">
        <v>45471</v>
      </c>
      <c r="C58" s="1" t="s">
        <v>344</v>
      </c>
      <c r="D58" s="1" t="s">
        <v>235</v>
      </c>
      <c r="E58" s="148"/>
      <c r="F58" s="1" t="s">
        <v>1178</v>
      </c>
      <c r="G58" s="1" t="s">
        <v>327</v>
      </c>
      <c r="H58" s="6" t="s">
        <v>1092</v>
      </c>
      <c r="I58" s="107" t="s">
        <v>1085</v>
      </c>
      <c r="J58" s="115" t="s">
        <v>1144</v>
      </c>
      <c r="K58" s="115"/>
      <c r="L58" s="115">
        <v>182</v>
      </c>
      <c r="M58" s="115">
        <v>203</v>
      </c>
      <c r="N58" s="596">
        <v>0.82310175000000008</v>
      </c>
      <c r="O58" s="1" t="s">
        <v>1179</v>
      </c>
      <c r="P58" s="6">
        <v>0</v>
      </c>
      <c r="Q58" s="6">
        <v>0</v>
      </c>
      <c r="R58" s="6" t="s">
        <v>1102</v>
      </c>
      <c r="S58" s="6" t="s">
        <v>705</v>
      </c>
      <c r="T58" s="1" t="s">
        <v>1180</v>
      </c>
      <c r="U58" s="595">
        <v>45491</v>
      </c>
      <c r="V58" s="595" t="s">
        <v>660</v>
      </c>
      <c r="W58" s="1" t="s">
        <v>954</v>
      </c>
      <c r="X58" s="595"/>
      <c r="Y58" s="1" t="b">
        <v>1</v>
      </c>
      <c r="Z58" s="6">
        <v>2487.96</v>
      </c>
      <c r="AA58" s="6">
        <v>2214</v>
      </c>
      <c r="AB58" s="6">
        <v>-273.95999999999998</v>
      </c>
      <c r="AC58" s="107" t="s">
        <v>1100</v>
      </c>
      <c r="AD58" s="6" t="s">
        <v>1265</v>
      </c>
      <c r="AE58" s="107"/>
      <c r="AG58" s="1" t="s">
        <v>1082</v>
      </c>
      <c r="AH58" s="597"/>
      <c r="AI58" s="605" t="s">
        <v>1181</v>
      </c>
      <c r="AJ58" s="6" t="s">
        <v>671</v>
      </c>
      <c r="AK58" s="6" t="b">
        <v>1</v>
      </c>
      <c r="AM58" s="6"/>
      <c r="AN58" s="6"/>
      <c r="AO58" s="6"/>
      <c r="AP58" s="595" t="s">
        <v>1182</v>
      </c>
      <c r="AQ58" s="598"/>
      <c r="AR58" s="598"/>
      <c r="AS58" s="598"/>
      <c r="AT58" s="598"/>
      <c r="AU58" s="597" t="s">
        <v>1384</v>
      </c>
    </row>
    <row r="59" spans="1:47" x14ac:dyDescent="0.35">
      <c r="A59" s="1">
        <v>74</v>
      </c>
      <c r="B59" s="595">
        <v>45488</v>
      </c>
      <c r="C59" s="1" t="s">
        <v>225</v>
      </c>
      <c r="D59" s="1" t="s">
        <v>235</v>
      </c>
      <c r="E59" s="148"/>
      <c r="F59" s="1">
        <v>4200</v>
      </c>
      <c r="G59" s="1" t="s">
        <v>234</v>
      </c>
      <c r="H59" s="6" t="s">
        <v>1094</v>
      </c>
      <c r="I59" s="107" t="s">
        <v>1145</v>
      </c>
      <c r="J59" s="115"/>
      <c r="K59" s="115"/>
      <c r="L59" s="115">
        <v>5292</v>
      </c>
      <c r="M59" s="115">
        <v>5292</v>
      </c>
      <c r="N59" s="596">
        <v>12.89925</v>
      </c>
      <c r="R59" s="6" t="s">
        <v>1102</v>
      </c>
      <c r="S59" s="6" t="s">
        <v>710</v>
      </c>
      <c r="T59" s="1" t="s">
        <v>1152</v>
      </c>
      <c r="U59" s="595">
        <v>45490</v>
      </c>
      <c r="V59" s="595" t="s">
        <v>660</v>
      </c>
      <c r="W59" s="1" t="s">
        <v>954</v>
      </c>
      <c r="X59" s="595"/>
      <c r="Y59" s="1" t="b">
        <v>1</v>
      </c>
      <c r="Z59" s="6">
        <v>46872</v>
      </c>
      <c r="AA59" s="6">
        <v>50400</v>
      </c>
      <c r="AB59" s="6">
        <v>3528</v>
      </c>
      <c r="AC59" s="107"/>
      <c r="AE59" s="107"/>
      <c r="AG59" s="1" t="s">
        <v>1082</v>
      </c>
      <c r="AH59" s="597"/>
      <c r="AI59" s="605" t="s">
        <v>1169</v>
      </c>
      <c r="AJ59" s="6" t="s">
        <v>671</v>
      </c>
      <c r="AK59" s="6" t="b">
        <v>1</v>
      </c>
      <c r="AM59" s="6"/>
      <c r="AN59" s="6"/>
      <c r="AO59" s="6"/>
      <c r="AP59" s="595" t="s">
        <v>1170</v>
      </c>
      <c r="AQ59" s="598" t="s">
        <v>228</v>
      </c>
      <c r="AR59" s="598" t="s">
        <v>229</v>
      </c>
      <c r="AS59" s="598" t="s">
        <v>230</v>
      </c>
      <c r="AT59" s="598"/>
      <c r="AU59" s="597" t="s">
        <v>1384</v>
      </c>
    </row>
    <row r="60" spans="1:47" x14ac:dyDescent="0.35">
      <c r="A60" s="1">
        <v>73</v>
      </c>
      <c r="B60" s="595">
        <v>45488</v>
      </c>
      <c r="C60" s="1" t="s">
        <v>225</v>
      </c>
      <c r="D60" s="1" t="s">
        <v>235</v>
      </c>
      <c r="E60" s="148"/>
      <c r="F60" s="1">
        <v>2836</v>
      </c>
      <c r="G60" s="1" t="s">
        <v>234</v>
      </c>
      <c r="H60" s="6" t="s">
        <v>1094</v>
      </c>
      <c r="I60" s="107" t="s">
        <v>1116</v>
      </c>
      <c r="J60" s="115"/>
      <c r="K60" s="115"/>
      <c r="L60" s="115">
        <v>3573</v>
      </c>
      <c r="M60" s="115">
        <v>3573</v>
      </c>
      <c r="N60" s="596">
        <v>8.7100650000000002</v>
      </c>
      <c r="R60" s="6" t="s">
        <v>1102</v>
      </c>
      <c r="S60" s="6" t="s">
        <v>710</v>
      </c>
      <c r="T60" s="1" t="s">
        <v>1151</v>
      </c>
      <c r="U60" s="595">
        <v>45488</v>
      </c>
      <c r="V60" s="595" t="s">
        <v>660</v>
      </c>
      <c r="W60" s="1" t="s">
        <v>954</v>
      </c>
      <c r="X60" s="595"/>
      <c r="Y60" s="1" t="b">
        <v>1</v>
      </c>
      <c r="Z60" s="6">
        <v>31649.759999999998</v>
      </c>
      <c r="AA60" s="6">
        <v>34032</v>
      </c>
      <c r="AB60" s="6">
        <v>2382.2399999999998</v>
      </c>
      <c r="AC60" s="107"/>
      <c r="AE60" s="107"/>
      <c r="AG60" s="1" t="s">
        <v>1082</v>
      </c>
      <c r="AH60" s="597"/>
      <c r="AI60" s="605" t="s">
        <v>1171</v>
      </c>
      <c r="AJ60" s="6" t="s">
        <v>671</v>
      </c>
      <c r="AK60" s="6" t="b">
        <v>1</v>
      </c>
      <c r="AM60" s="6"/>
      <c r="AN60" s="6"/>
      <c r="AO60" s="6"/>
      <c r="AP60" s="595"/>
      <c r="AQ60" s="598" t="s">
        <v>228</v>
      </c>
      <c r="AR60" s="598" t="s">
        <v>229</v>
      </c>
      <c r="AS60" s="598" t="s">
        <v>230</v>
      </c>
      <c r="AT60" s="598"/>
      <c r="AU60" s="597" t="s">
        <v>1384</v>
      </c>
    </row>
    <row r="61" spans="1:47" x14ac:dyDescent="0.35">
      <c r="A61" s="1">
        <v>61</v>
      </c>
      <c r="B61" s="595">
        <v>45471</v>
      </c>
      <c r="C61" s="1" t="s">
        <v>225</v>
      </c>
      <c r="D61" s="1" t="s">
        <v>235</v>
      </c>
      <c r="E61" s="148"/>
      <c r="F61" s="1">
        <v>1192</v>
      </c>
      <c r="G61" s="1" t="s">
        <v>234</v>
      </c>
      <c r="H61" s="6" t="s">
        <v>1094</v>
      </c>
      <c r="I61" s="107" t="s">
        <v>1183</v>
      </c>
      <c r="J61" s="115"/>
      <c r="K61" s="115"/>
      <c r="L61" s="115">
        <v>8869</v>
      </c>
      <c r="M61" s="115">
        <v>9265</v>
      </c>
      <c r="N61" s="596">
        <v>36.385795645833326</v>
      </c>
      <c r="P61" s="6" t="s">
        <v>1105</v>
      </c>
      <c r="R61" s="6" t="s">
        <v>1102</v>
      </c>
      <c r="S61" s="6"/>
      <c r="T61" s="1" t="s">
        <v>1150</v>
      </c>
      <c r="U61" s="595">
        <v>45488</v>
      </c>
      <c r="V61" s="595" t="s">
        <v>660</v>
      </c>
      <c r="W61" s="1" t="s">
        <v>233</v>
      </c>
      <c r="X61" s="595"/>
      <c r="Y61" s="1" t="b">
        <v>1</v>
      </c>
      <c r="Z61" s="6">
        <v>75269.759999999995</v>
      </c>
      <c r="AA61" s="6">
        <v>95586.84</v>
      </c>
      <c r="AB61" s="6">
        <v>20317.080000000002</v>
      </c>
      <c r="AC61" s="107" t="s">
        <v>1105</v>
      </c>
      <c r="AD61" s="6" t="s">
        <v>1089</v>
      </c>
      <c r="AE61" s="107"/>
      <c r="AG61" s="1" t="s">
        <v>1082</v>
      </c>
      <c r="AH61" s="597"/>
      <c r="AI61" s="605" t="s">
        <v>1184</v>
      </c>
      <c r="AJ61" s="6" t="s">
        <v>671</v>
      </c>
      <c r="AK61" s="6" t="b">
        <v>1</v>
      </c>
      <c r="AM61" s="6"/>
      <c r="AN61" s="6"/>
      <c r="AO61" s="6"/>
      <c r="AP61" s="595"/>
      <c r="AQ61" s="598"/>
      <c r="AR61" s="598"/>
      <c r="AS61" s="598"/>
      <c r="AT61" s="598"/>
      <c r="AU61" s="597" t="s">
        <v>1384</v>
      </c>
    </row>
    <row r="62" spans="1:47" x14ac:dyDescent="0.35">
      <c r="A62" s="1">
        <v>105</v>
      </c>
      <c r="B62" s="595">
        <v>45078</v>
      </c>
      <c r="C62" s="1" t="s">
        <v>345</v>
      </c>
      <c r="D62" s="1" t="s">
        <v>235</v>
      </c>
      <c r="E62" s="148"/>
      <c r="F62" s="1">
        <v>118</v>
      </c>
      <c r="G62" s="1" t="s">
        <v>327</v>
      </c>
      <c r="H62" s="6"/>
      <c r="I62" s="107"/>
      <c r="J62" s="115"/>
      <c r="K62" s="115"/>
      <c r="L62" s="115">
        <v>749.43583333333311</v>
      </c>
      <c r="M62" s="115">
        <v>805.18375000000003</v>
      </c>
      <c r="N62" s="596">
        <v>2.021302114583333</v>
      </c>
      <c r="R62" s="6" t="s">
        <v>1102</v>
      </c>
      <c r="S62" s="6"/>
      <c r="T62" s="1" t="s">
        <v>1364</v>
      </c>
      <c r="U62" s="595">
        <v>45078</v>
      </c>
      <c r="V62" s="595" t="s">
        <v>660</v>
      </c>
      <c r="W62" s="1" t="s">
        <v>954</v>
      </c>
      <c r="X62" s="595"/>
      <c r="Y62" s="1" t="b">
        <v>1</v>
      </c>
      <c r="Z62" s="6">
        <v>14662.800000000005</v>
      </c>
      <c r="AA62" s="6">
        <v>21225.75</v>
      </c>
      <c r="AB62" s="6">
        <v>6562.9499999999953</v>
      </c>
      <c r="AC62" s="107"/>
      <c r="AE62" s="107"/>
      <c r="AG62" s="1" t="s">
        <v>1082</v>
      </c>
      <c r="AH62" s="597"/>
      <c r="AI62" s="605"/>
      <c r="AJ62" s="6" t="s">
        <v>671</v>
      </c>
      <c r="AK62" s="6" t="b">
        <v>1</v>
      </c>
      <c r="AM62" s="6"/>
      <c r="AN62" s="6"/>
      <c r="AO62" s="6"/>
      <c r="AP62" s="595"/>
      <c r="AQ62" s="598"/>
      <c r="AR62" s="598"/>
      <c r="AS62" s="598"/>
      <c r="AT62" s="598"/>
      <c r="AU62" s="597" t="s">
        <v>1384</v>
      </c>
    </row>
    <row r="63" spans="1:47" x14ac:dyDescent="0.35">
      <c r="A63" s="1">
        <v>65</v>
      </c>
      <c r="B63" s="595">
        <v>45474</v>
      </c>
      <c r="C63" s="1" t="s">
        <v>697</v>
      </c>
      <c r="D63" s="1" t="s">
        <v>235</v>
      </c>
      <c r="E63" s="148"/>
      <c r="F63" s="1">
        <v>48</v>
      </c>
      <c r="G63" s="1" t="s">
        <v>335</v>
      </c>
      <c r="H63" s="6" t="s">
        <v>1092</v>
      </c>
      <c r="I63" s="107" t="s">
        <v>1085</v>
      </c>
      <c r="J63" s="115"/>
      <c r="K63" s="115"/>
      <c r="L63" s="115">
        <v>414</v>
      </c>
      <c r="M63" s="115">
        <v>432</v>
      </c>
      <c r="N63" s="596">
        <v>0.76090494791666674</v>
      </c>
      <c r="O63" s="1" t="s">
        <v>926</v>
      </c>
      <c r="P63" s="6" t="s">
        <v>1101</v>
      </c>
      <c r="Q63" s="6">
        <v>0</v>
      </c>
      <c r="R63" s="6" t="s">
        <v>1102</v>
      </c>
      <c r="S63" s="6"/>
      <c r="T63" s="1" t="s">
        <v>1103</v>
      </c>
      <c r="U63" s="595" t="s">
        <v>1104</v>
      </c>
      <c r="V63" s="595" t="s">
        <v>660</v>
      </c>
      <c r="W63" s="1" t="s">
        <v>919</v>
      </c>
      <c r="X63" s="595"/>
      <c r="Y63" s="1" t="b">
        <v>1</v>
      </c>
      <c r="Z63" s="6">
        <v>12252.32</v>
      </c>
      <c r="AA63" s="6">
        <v>10918.75</v>
      </c>
      <c r="AB63" s="6">
        <v>-1333.57</v>
      </c>
      <c r="AC63" s="107" t="s">
        <v>1105</v>
      </c>
      <c r="AD63" s="6" t="s">
        <v>1089</v>
      </c>
      <c r="AE63" s="107"/>
      <c r="AG63" s="1" t="s">
        <v>1082</v>
      </c>
      <c r="AH63" s="597"/>
      <c r="AI63" s="605" t="s">
        <v>861</v>
      </c>
      <c r="AJ63" s="6" t="s">
        <v>671</v>
      </c>
      <c r="AK63" s="6" t="b">
        <v>1</v>
      </c>
      <c r="AM63" s="6"/>
      <c r="AN63" s="6"/>
      <c r="AO63" s="6"/>
      <c r="AP63" s="595" t="s">
        <v>1106</v>
      </c>
      <c r="AQ63" s="598"/>
      <c r="AR63" s="598"/>
      <c r="AS63" s="598"/>
      <c r="AT63" s="598"/>
      <c r="AU63" s="597" t="s">
        <v>1384</v>
      </c>
    </row>
    <row r="64" spans="1:47" x14ac:dyDescent="0.35">
      <c r="A64" s="1">
        <v>104</v>
      </c>
      <c r="B64" s="595">
        <v>45076</v>
      </c>
      <c r="C64" s="1" t="s">
        <v>304</v>
      </c>
      <c r="D64" s="1" t="s">
        <v>253</v>
      </c>
      <c r="E64" s="148"/>
      <c r="F64" s="1">
        <v>141</v>
      </c>
      <c r="G64" s="1" t="s">
        <v>327</v>
      </c>
      <c r="H64" s="6"/>
      <c r="I64" s="107"/>
      <c r="J64" s="115"/>
      <c r="K64" s="115"/>
      <c r="L64" s="115">
        <v>779.63749999999993</v>
      </c>
      <c r="M64" s="115">
        <v>861.22500000000014</v>
      </c>
      <c r="N64" s="596">
        <v>3.7855254150833342</v>
      </c>
      <c r="R64" s="6" t="s">
        <v>1102</v>
      </c>
      <c r="S64" s="6"/>
      <c r="T64" s="1" t="s">
        <v>1363</v>
      </c>
      <c r="U64" s="595">
        <v>45076</v>
      </c>
      <c r="V64" s="595" t="s">
        <v>660</v>
      </c>
      <c r="W64" s="1" t="s">
        <v>954</v>
      </c>
      <c r="X64" s="595"/>
      <c r="Y64" s="1" t="b">
        <v>1</v>
      </c>
      <c r="Z64" s="6">
        <v>10879.68</v>
      </c>
      <c r="AA64" s="6">
        <v>13861.354415999995</v>
      </c>
      <c r="AB64" s="6">
        <v>2981.6744159999944</v>
      </c>
      <c r="AC64" s="107"/>
      <c r="AE64" s="107"/>
      <c r="AG64" s="1" t="s">
        <v>1082</v>
      </c>
      <c r="AH64" s="597"/>
      <c r="AI64" s="605"/>
      <c r="AJ64" s="6" t="s">
        <v>671</v>
      </c>
      <c r="AK64" s="6" t="b">
        <v>1</v>
      </c>
      <c r="AM64" s="6"/>
      <c r="AN64" s="6"/>
      <c r="AO64" s="6"/>
      <c r="AP64" s="595"/>
      <c r="AQ64" s="598"/>
      <c r="AR64" s="598"/>
      <c r="AS64" s="598"/>
      <c r="AT64" s="598"/>
      <c r="AU64" s="597" t="s">
        <v>1384</v>
      </c>
    </row>
    <row r="65" spans="1:47" x14ac:dyDescent="0.35">
      <c r="A65" s="1">
        <v>103</v>
      </c>
      <c r="B65" s="595">
        <v>45071</v>
      </c>
      <c r="C65" s="1" t="s">
        <v>323</v>
      </c>
      <c r="D65" s="1" t="s">
        <v>253</v>
      </c>
      <c r="E65" s="148"/>
      <c r="F65" s="1">
        <v>1153</v>
      </c>
      <c r="G65" s="1"/>
      <c r="H65" s="6"/>
      <c r="I65" s="107"/>
      <c r="J65" s="115"/>
      <c r="K65" s="115"/>
      <c r="L65" s="115">
        <v>6806.15</v>
      </c>
      <c r="M65" s="115">
        <v>7654.9</v>
      </c>
      <c r="N65" s="596">
        <v>34.947811696000002</v>
      </c>
      <c r="R65" s="6" t="s">
        <v>1102</v>
      </c>
      <c r="S65" s="6"/>
      <c r="T65" s="1" t="s">
        <v>1361</v>
      </c>
      <c r="U65" s="595">
        <v>45071</v>
      </c>
      <c r="V65" s="595" t="s">
        <v>660</v>
      </c>
      <c r="X65" s="595"/>
      <c r="Y65" s="1" t="b">
        <v>1</v>
      </c>
      <c r="Z65" s="6">
        <v>94514.87999999999</v>
      </c>
      <c r="AA65" s="6">
        <v>106688.64</v>
      </c>
      <c r="AB65" s="6">
        <v>12173.760000000009</v>
      </c>
      <c r="AC65" s="107"/>
      <c r="AE65" s="107"/>
      <c r="AG65" s="1" t="s">
        <v>1082</v>
      </c>
      <c r="AH65" s="597"/>
      <c r="AI65" s="605"/>
      <c r="AJ65" s="6" t="s">
        <v>671</v>
      </c>
      <c r="AK65" s="6" t="b">
        <v>1</v>
      </c>
      <c r="AM65" s="6"/>
      <c r="AN65" s="6"/>
      <c r="AO65" s="6"/>
      <c r="AP65" s="595"/>
      <c r="AQ65" s="598"/>
      <c r="AR65" s="598"/>
      <c r="AS65" s="598"/>
      <c r="AT65" s="598"/>
      <c r="AU65" s="597" t="s">
        <v>1384</v>
      </c>
    </row>
    <row r="66" spans="1:47" x14ac:dyDescent="0.35">
      <c r="A66" s="1">
        <v>102</v>
      </c>
      <c r="B66" s="595">
        <v>45063</v>
      </c>
      <c r="C66" s="1" t="s">
        <v>343</v>
      </c>
      <c r="D66" s="1" t="s">
        <v>607</v>
      </c>
      <c r="E66" s="148"/>
      <c r="F66" s="1">
        <v>1034</v>
      </c>
      <c r="G66" s="1" t="s">
        <v>327</v>
      </c>
      <c r="H66" s="6"/>
      <c r="I66" s="107"/>
      <c r="J66" s="115"/>
      <c r="K66" s="115"/>
      <c r="L66" s="115">
        <v>6354.0400000000018</v>
      </c>
      <c r="M66" s="115">
        <v>7104.3983333333326</v>
      </c>
      <c r="N66" s="596">
        <v>30.086222266666674</v>
      </c>
      <c r="R66" s="6" t="s">
        <v>1102</v>
      </c>
      <c r="S66" s="6" t="s">
        <v>704</v>
      </c>
      <c r="T66" s="1" t="s">
        <v>1350</v>
      </c>
      <c r="U66" s="595">
        <v>45063</v>
      </c>
      <c r="V66" s="595" t="s">
        <v>660</v>
      </c>
      <c r="W66" s="1" t="s">
        <v>919</v>
      </c>
      <c r="X66" s="595"/>
      <c r="Y66" s="1" t="b">
        <v>1</v>
      </c>
      <c r="Z66" s="6">
        <v>91012</v>
      </c>
      <c r="AA66" s="6">
        <v>77450</v>
      </c>
      <c r="AB66" s="6">
        <v>-13562</v>
      </c>
      <c r="AC66" s="107"/>
      <c r="AE66" s="107"/>
      <c r="AG66" s="1" t="s">
        <v>1082</v>
      </c>
      <c r="AH66" s="597"/>
      <c r="AI66" s="605"/>
      <c r="AJ66" s="6" t="s">
        <v>671</v>
      </c>
      <c r="AK66" s="6" t="b">
        <v>1</v>
      </c>
      <c r="AM66" s="6"/>
      <c r="AN66" s="6"/>
      <c r="AO66" s="6"/>
      <c r="AP66" s="595"/>
      <c r="AQ66" s="598" t="s">
        <v>1322</v>
      </c>
      <c r="AR66" s="598" t="s">
        <v>1321</v>
      </c>
      <c r="AS66" s="598" t="s">
        <v>1323</v>
      </c>
      <c r="AT66" s="598" t="s">
        <v>1324</v>
      </c>
      <c r="AU66" s="597" t="s">
        <v>1384</v>
      </c>
    </row>
    <row r="67" spans="1:47" x14ac:dyDescent="0.35">
      <c r="A67" s="1">
        <v>101</v>
      </c>
      <c r="B67" s="595">
        <v>45063</v>
      </c>
      <c r="C67" s="1" t="s">
        <v>1022</v>
      </c>
      <c r="D67" s="1" t="s">
        <v>235</v>
      </c>
      <c r="E67" s="148"/>
      <c r="F67" s="1">
        <v>432</v>
      </c>
      <c r="G67" s="1" t="s">
        <v>1023</v>
      </c>
      <c r="H67" s="6"/>
      <c r="I67" s="107"/>
      <c r="J67" s="115"/>
      <c r="K67" s="115"/>
      <c r="L67" s="115">
        <v>3102.8249999999998</v>
      </c>
      <c r="M67" s="115">
        <v>3404.5000000000005</v>
      </c>
      <c r="N67" s="596">
        <v>10.2416325</v>
      </c>
      <c r="R67" s="6" t="s">
        <v>1102</v>
      </c>
      <c r="S67" s="6"/>
      <c r="T67" s="1" t="s">
        <v>1349</v>
      </c>
      <c r="U67" s="595">
        <v>45063</v>
      </c>
      <c r="V67" s="595" t="s">
        <v>660</v>
      </c>
      <c r="W67" s="1" t="s">
        <v>919</v>
      </c>
      <c r="X67" s="595"/>
      <c r="Y67" s="1" t="b">
        <v>1</v>
      </c>
      <c r="Z67" s="6">
        <v>47000</v>
      </c>
      <c r="AA67" s="6">
        <v>69842</v>
      </c>
      <c r="AB67" s="6">
        <v>22842</v>
      </c>
      <c r="AC67" s="107"/>
      <c r="AE67" s="107"/>
      <c r="AG67" s="1" t="s">
        <v>1082</v>
      </c>
      <c r="AH67" s="597"/>
      <c r="AI67" s="605"/>
      <c r="AJ67" s="6" t="s">
        <v>671</v>
      </c>
      <c r="AK67" s="6" t="b">
        <v>1</v>
      </c>
      <c r="AM67" s="6"/>
      <c r="AN67" s="6"/>
      <c r="AO67" s="6"/>
      <c r="AP67" s="595"/>
      <c r="AQ67" s="598"/>
      <c r="AR67" s="598"/>
      <c r="AS67" s="598"/>
      <c r="AT67" s="598"/>
      <c r="AU67" s="597" t="s">
        <v>1384</v>
      </c>
    </row>
    <row r="68" spans="1:47" x14ac:dyDescent="0.35">
      <c r="A68" s="1">
        <v>51</v>
      </c>
      <c r="B68" s="595">
        <v>45433</v>
      </c>
      <c r="C68" s="1" t="s">
        <v>293</v>
      </c>
      <c r="D68" s="1" t="s">
        <v>235</v>
      </c>
      <c r="E68" s="148"/>
      <c r="F68" s="1">
        <v>346</v>
      </c>
      <c r="G68" s="1" t="s">
        <v>327</v>
      </c>
      <c r="H68" s="6" t="s">
        <v>1092</v>
      </c>
      <c r="I68" s="107" t="s">
        <v>1145</v>
      </c>
      <c r="J68" s="115"/>
      <c r="K68" s="115" t="s">
        <v>1282</v>
      </c>
      <c r="L68" s="115">
        <v>2382</v>
      </c>
      <c r="M68" s="115">
        <v>2563</v>
      </c>
      <c r="N68" s="596">
        <v>7.9860607291666668</v>
      </c>
      <c r="O68" s="1" t="s">
        <v>1286</v>
      </c>
      <c r="P68" s="6">
        <v>0</v>
      </c>
      <c r="Q68" s="6">
        <v>0</v>
      </c>
      <c r="R68" s="6" t="s">
        <v>1102</v>
      </c>
      <c r="S68" s="6"/>
      <c r="T68" s="1" t="s">
        <v>1230</v>
      </c>
      <c r="U68" s="595">
        <v>45448</v>
      </c>
      <c r="V68" s="595" t="s">
        <v>660</v>
      </c>
      <c r="W68" s="1" t="s">
        <v>923</v>
      </c>
      <c r="X68" s="595"/>
      <c r="Y68" s="1" t="b">
        <v>0</v>
      </c>
      <c r="Z68" s="6">
        <v>54711.03</v>
      </c>
      <c r="AA68" s="6">
        <v>54711.03</v>
      </c>
      <c r="AB68" s="6">
        <v>0</v>
      </c>
      <c r="AC68" s="107">
        <v>0</v>
      </c>
      <c r="AD68" s="6">
        <v>0</v>
      </c>
      <c r="AE68" s="107"/>
      <c r="AF68" s="6" t="b">
        <v>0</v>
      </c>
      <c r="AG68" s="1" t="s">
        <v>1082</v>
      </c>
      <c r="AH68" s="597" t="s">
        <v>1283</v>
      </c>
      <c r="AI68" s="605" t="s">
        <v>1287</v>
      </c>
      <c r="AJ68" s="6" t="s">
        <v>1108</v>
      </c>
      <c r="AK68" s="6" t="b">
        <v>1</v>
      </c>
      <c r="AL68" s="6" t="s">
        <v>1284</v>
      </c>
      <c r="AM68" s="6" t="s">
        <v>1280</v>
      </c>
      <c r="AN68" s="6" t="s">
        <v>1281</v>
      </c>
      <c r="AO68" s="6" t="s">
        <v>1285</v>
      </c>
      <c r="AP68" s="595">
        <v>45446</v>
      </c>
      <c r="AQ68" s="598"/>
      <c r="AR68" s="598"/>
      <c r="AS68" s="598"/>
      <c r="AT68" s="598"/>
      <c r="AU68" s="597" t="s">
        <v>1384</v>
      </c>
    </row>
    <row r="69" spans="1:47" x14ac:dyDescent="0.35">
      <c r="A69" s="1">
        <v>13</v>
      </c>
      <c r="B69" s="595">
        <v>45358</v>
      </c>
      <c r="C69" s="1" t="s">
        <v>649</v>
      </c>
      <c r="D69" s="1" t="s">
        <v>235</v>
      </c>
      <c r="E69" s="148">
        <v>1.0842000000000001</v>
      </c>
      <c r="F69" s="1">
        <v>377</v>
      </c>
      <c r="G69" s="1" t="s">
        <v>327</v>
      </c>
      <c r="H69" s="6" t="s">
        <v>1094</v>
      </c>
      <c r="I69" s="107"/>
      <c r="J69" s="115"/>
      <c r="K69" s="115"/>
      <c r="L69" s="115">
        <v>2256</v>
      </c>
      <c r="M69" s="115">
        <v>2523</v>
      </c>
      <c r="N69" s="596">
        <v>9.6289463749999982</v>
      </c>
      <c r="O69" s="1" t="s">
        <v>930</v>
      </c>
      <c r="P69" s="6">
        <v>0</v>
      </c>
      <c r="R69" s="6" t="s">
        <v>1102</v>
      </c>
      <c r="S69" s="6"/>
      <c r="T69" s="1" t="s">
        <v>1231</v>
      </c>
      <c r="U69" s="595">
        <v>45446</v>
      </c>
      <c r="V69" s="595" t="s">
        <v>660</v>
      </c>
      <c r="W69" s="1" t="s">
        <v>1138</v>
      </c>
      <c r="X69" s="595"/>
      <c r="Y69" s="1" t="b">
        <v>0</v>
      </c>
      <c r="Z69" s="6">
        <v>35160.559999999998</v>
      </c>
      <c r="AA69" s="6">
        <v>32039.07</v>
      </c>
      <c r="AB69" s="6">
        <v>-3121.49</v>
      </c>
      <c r="AC69" s="107">
        <v>0</v>
      </c>
      <c r="AD69" s="6" t="s">
        <v>1266</v>
      </c>
      <c r="AE69" s="107"/>
      <c r="AG69" s="1" t="s">
        <v>1082</v>
      </c>
      <c r="AH69" s="597"/>
      <c r="AI69" s="605" t="s">
        <v>1139</v>
      </c>
      <c r="AJ69" s="6" t="s">
        <v>1108</v>
      </c>
      <c r="AK69" s="6" t="b">
        <v>1</v>
      </c>
      <c r="AM69" s="6"/>
      <c r="AN69" s="6"/>
      <c r="AO69" s="6"/>
      <c r="AP69" s="595">
        <v>45446</v>
      </c>
      <c r="AQ69" s="598"/>
      <c r="AR69" s="598"/>
      <c r="AS69" s="598"/>
      <c r="AT69" s="598"/>
      <c r="AU69" s="597" t="s">
        <v>1384</v>
      </c>
    </row>
    <row r="70" spans="1:47" x14ac:dyDescent="0.35">
      <c r="A70" s="1">
        <v>35</v>
      </c>
      <c r="B70" s="595">
        <v>45406</v>
      </c>
      <c r="C70" s="1" t="s">
        <v>329</v>
      </c>
      <c r="D70" s="1" t="s">
        <v>235</v>
      </c>
      <c r="E70" s="148">
        <v>1.0842000000000001</v>
      </c>
      <c r="F70" s="1">
        <v>1178</v>
      </c>
      <c r="G70" s="1" t="s">
        <v>327</v>
      </c>
      <c r="H70" s="6" t="s">
        <v>1094</v>
      </c>
      <c r="I70" s="107" t="s">
        <v>1279</v>
      </c>
      <c r="J70" s="115"/>
      <c r="K70" s="115" t="s">
        <v>1258</v>
      </c>
      <c r="L70" s="115">
        <v>6486</v>
      </c>
      <c r="M70" s="115">
        <v>7242</v>
      </c>
      <c r="N70" s="596">
        <v>31.707290999999994</v>
      </c>
      <c r="O70" s="1" t="s">
        <v>1275</v>
      </c>
      <c r="P70" s="6">
        <v>0</v>
      </c>
      <c r="Q70" s="6">
        <v>0</v>
      </c>
      <c r="R70" s="6" t="s">
        <v>1102</v>
      </c>
      <c r="S70" s="6"/>
      <c r="T70" s="1" t="s">
        <v>1232</v>
      </c>
      <c r="U70" s="595">
        <v>45446</v>
      </c>
      <c r="V70" s="595" t="s">
        <v>660</v>
      </c>
      <c r="W70" s="1" t="s">
        <v>1123</v>
      </c>
      <c r="X70" s="595"/>
      <c r="Y70" s="1" t="b">
        <v>1</v>
      </c>
      <c r="Z70" s="6">
        <v>90868.800000000003</v>
      </c>
      <c r="AA70" s="6">
        <v>90999.45</v>
      </c>
      <c r="AB70" s="6">
        <v>130.65</v>
      </c>
      <c r="AC70" s="107">
        <v>0</v>
      </c>
      <c r="AD70" s="6" t="s">
        <v>1267</v>
      </c>
      <c r="AE70" s="107"/>
      <c r="AG70" s="1" t="s">
        <v>1082</v>
      </c>
      <c r="AH70" s="597" t="s">
        <v>1270</v>
      </c>
      <c r="AI70" s="605" t="s">
        <v>1288</v>
      </c>
      <c r="AJ70" s="6" t="s">
        <v>1108</v>
      </c>
      <c r="AK70" s="6" t="b">
        <v>1</v>
      </c>
      <c r="AL70" s="6" t="s">
        <v>1277</v>
      </c>
      <c r="AM70" s="6" t="s">
        <v>1276</v>
      </c>
      <c r="AN70" s="6" t="s">
        <v>1256</v>
      </c>
      <c r="AO70" s="6" t="s">
        <v>1278</v>
      </c>
      <c r="AP70" s="595">
        <v>45446</v>
      </c>
      <c r="AQ70" s="598"/>
      <c r="AR70" s="598"/>
      <c r="AS70" s="598"/>
      <c r="AT70" s="598"/>
      <c r="AU70" s="597" t="s">
        <v>1384</v>
      </c>
    </row>
    <row r="71" spans="1:47" x14ac:dyDescent="0.35">
      <c r="A71" s="1">
        <v>100</v>
      </c>
      <c r="B71" s="595">
        <v>45061</v>
      </c>
      <c r="C71" s="1" t="s">
        <v>697</v>
      </c>
      <c r="D71" s="1" t="s">
        <v>235</v>
      </c>
      <c r="E71" s="148"/>
      <c r="F71" s="1">
        <v>52</v>
      </c>
      <c r="G71" s="1" t="s">
        <v>335</v>
      </c>
      <c r="H71" s="6"/>
      <c r="I71" s="107"/>
      <c r="J71" s="115"/>
      <c r="K71" s="115"/>
      <c r="L71" s="115">
        <v>438.72999999999996</v>
      </c>
      <c r="M71" s="115">
        <v>457.5</v>
      </c>
      <c r="N71" s="596">
        <v>0.82523489583333332</v>
      </c>
      <c r="R71" s="6" t="s">
        <v>1102</v>
      </c>
      <c r="S71" s="6" t="s">
        <v>700</v>
      </c>
      <c r="T71" s="1" t="s">
        <v>1232</v>
      </c>
      <c r="U71" s="595">
        <v>45061</v>
      </c>
      <c r="V71" s="595" t="s">
        <v>660</v>
      </c>
      <c r="W71" s="1" t="s">
        <v>919</v>
      </c>
      <c r="X71" s="595"/>
      <c r="Y71" s="1" t="b">
        <v>1</v>
      </c>
      <c r="Z71" s="6">
        <v>11096</v>
      </c>
      <c r="AA71" s="6">
        <v>10112.5</v>
      </c>
      <c r="AB71" s="6">
        <v>-983.5</v>
      </c>
      <c r="AC71" s="107"/>
      <c r="AE71" s="107"/>
      <c r="AG71" s="1" t="s">
        <v>1082</v>
      </c>
      <c r="AH71" s="597"/>
      <c r="AI71" s="605"/>
      <c r="AJ71" s="6" t="s">
        <v>671</v>
      </c>
      <c r="AK71" s="6" t="b">
        <v>1</v>
      </c>
      <c r="AM71" s="6"/>
      <c r="AN71" s="6"/>
      <c r="AO71" s="6"/>
      <c r="AP71" s="595"/>
      <c r="AQ71" s="598" t="s">
        <v>698</v>
      </c>
      <c r="AR71" s="598" t="s">
        <v>699</v>
      </c>
      <c r="AS71" s="598" t="s">
        <v>303</v>
      </c>
      <c r="AT71" s="598"/>
      <c r="AU71" s="597" t="s">
        <v>1384</v>
      </c>
    </row>
    <row r="72" spans="1:47" x14ac:dyDescent="0.35">
      <c r="A72" s="1">
        <v>39</v>
      </c>
      <c r="B72" s="595">
        <v>45287</v>
      </c>
      <c r="C72" s="1" t="s">
        <v>326</v>
      </c>
      <c r="D72" s="1" t="s">
        <v>235</v>
      </c>
      <c r="E72" s="148"/>
      <c r="F72" s="1">
        <v>120</v>
      </c>
      <c r="G72" s="1" t="s">
        <v>327</v>
      </c>
      <c r="H72" s="6" t="s">
        <v>1094</v>
      </c>
      <c r="I72" s="107"/>
      <c r="J72" s="115" t="s">
        <v>1144</v>
      </c>
      <c r="K72" s="115"/>
      <c r="L72" s="115">
        <v>773</v>
      </c>
      <c r="M72" s="115">
        <v>839</v>
      </c>
      <c r="N72" s="596">
        <v>2.58905575</v>
      </c>
      <c r="O72" s="1" t="s">
        <v>932</v>
      </c>
      <c r="P72" s="6">
        <v>0</v>
      </c>
      <c r="R72" s="6" t="s">
        <v>1102</v>
      </c>
      <c r="S72" s="6"/>
      <c r="T72" s="1" t="s">
        <v>1233</v>
      </c>
      <c r="U72" s="595">
        <v>45446</v>
      </c>
      <c r="V72" s="595" t="s">
        <v>660</v>
      </c>
      <c r="W72" s="1" t="s">
        <v>922</v>
      </c>
      <c r="X72" s="595"/>
      <c r="Y72" s="1" t="b">
        <v>1</v>
      </c>
      <c r="Z72" s="6">
        <v>14496</v>
      </c>
      <c r="AA72" s="6">
        <v>20476.8</v>
      </c>
      <c r="AB72" s="6">
        <v>5980.8</v>
      </c>
      <c r="AC72" s="107">
        <v>0</v>
      </c>
      <c r="AD72" s="6" t="s">
        <v>1268</v>
      </c>
      <c r="AE72" s="107"/>
      <c r="AF72" s="6" t="b">
        <v>0</v>
      </c>
      <c r="AG72" s="1" t="s">
        <v>1082</v>
      </c>
      <c r="AH72" s="597"/>
      <c r="AI72" s="605" t="s">
        <v>1190</v>
      </c>
      <c r="AJ72" s="6" t="s">
        <v>671</v>
      </c>
      <c r="AK72" s="6" t="b">
        <v>1</v>
      </c>
      <c r="AM72" s="6"/>
      <c r="AN72" s="6"/>
      <c r="AO72" s="6"/>
      <c r="AP72" s="595">
        <v>45442</v>
      </c>
      <c r="AQ72" s="598"/>
      <c r="AR72" s="598"/>
      <c r="AS72" s="598"/>
      <c r="AT72" s="598"/>
      <c r="AU72" s="597" t="s">
        <v>1384</v>
      </c>
    </row>
    <row r="73" spans="1:47" x14ac:dyDescent="0.35">
      <c r="A73" s="1">
        <v>99</v>
      </c>
      <c r="B73" s="595">
        <v>45061</v>
      </c>
      <c r="C73" s="1" t="s">
        <v>314</v>
      </c>
      <c r="D73" s="1" t="s">
        <v>235</v>
      </c>
      <c r="E73" s="148"/>
      <c r="F73" s="1">
        <v>289</v>
      </c>
      <c r="G73" s="1" t="s">
        <v>615</v>
      </c>
      <c r="H73" s="6"/>
      <c r="I73" s="107"/>
      <c r="J73" s="115"/>
      <c r="K73" s="115"/>
      <c r="L73" s="115">
        <v>1856.0266666666666</v>
      </c>
      <c r="M73" s="115">
        <v>2043.8795833333334</v>
      </c>
      <c r="N73" s="596">
        <v>4.7862592500000005</v>
      </c>
      <c r="R73" s="6" t="s">
        <v>1102</v>
      </c>
      <c r="S73" s="6" t="s">
        <v>842</v>
      </c>
      <c r="T73" s="1" t="s">
        <v>1233</v>
      </c>
      <c r="U73" s="595">
        <v>45061</v>
      </c>
      <c r="V73" s="595" t="s">
        <v>660</v>
      </c>
      <c r="W73" s="1" t="s">
        <v>920</v>
      </c>
      <c r="X73" s="595"/>
      <c r="Y73" s="1" t="b">
        <v>1</v>
      </c>
      <c r="Z73" s="6">
        <v>16050</v>
      </c>
      <c r="AA73" s="6">
        <v>19222.5</v>
      </c>
      <c r="AB73" s="6">
        <v>3172.5</v>
      </c>
      <c r="AC73" s="107"/>
      <c r="AE73" s="107"/>
      <c r="AG73" s="1" t="s">
        <v>1082</v>
      </c>
      <c r="AH73" s="597"/>
      <c r="AI73" s="605"/>
      <c r="AJ73" s="6" t="s">
        <v>671</v>
      </c>
      <c r="AK73" s="6" t="b">
        <v>1</v>
      </c>
      <c r="AM73" s="6"/>
      <c r="AN73" s="6"/>
      <c r="AO73" s="6"/>
      <c r="AP73" s="595"/>
      <c r="AQ73" s="598" t="s">
        <v>669</v>
      </c>
      <c r="AR73" s="598" t="s">
        <v>670</v>
      </c>
      <c r="AS73" s="598" t="s">
        <v>319</v>
      </c>
      <c r="AT73" s="598"/>
      <c r="AU73" s="597" t="s">
        <v>1384</v>
      </c>
    </row>
    <row r="74" spans="1:47" x14ac:dyDescent="0.35">
      <c r="A74" s="1">
        <v>98</v>
      </c>
      <c r="B74" s="595">
        <v>45061</v>
      </c>
      <c r="C74" s="1" t="s">
        <v>314</v>
      </c>
      <c r="D74" s="1" t="s">
        <v>235</v>
      </c>
      <c r="E74" s="148"/>
      <c r="F74" s="1">
        <v>368</v>
      </c>
      <c r="G74" s="1" t="s">
        <v>615</v>
      </c>
      <c r="H74" s="6"/>
      <c r="I74" s="107"/>
      <c r="J74" s="115"/>
      <c r="K74" s="115"/>
      <c r="L74" s="115">
        <v>3441.5328571428572</v>
      </c>
      <c r="M74" s="115">
        <v>3593.5089285714284</v>
      </c>
      <c r="N74" s="596">
        <v>6.2979276413690481</v>
      </c>
      <c r="R74" s="6" t="s">
        <v>1102</v>
      </c>
      <c r="S74" s="6" t="s">
        <v>842</v>
      </c>
      <c r="T74" s="1" t="s">
        <v>1185</v>
      </c>
      <c r="U74" s="595">
        <v>45061</v>
      </c>
      <c r="V74" s="595" t="s">
        <v>660</v>
      </c>
      <c r="W74" s="1" t="s">
        <v>920</v>
      </c>
      <c r="X74" s="595"/>
      <c r="Y74" s="1" t="b">
        <v>1</v>
      </c>
      <c r="Z74" s="6">
        <v>89235.199999999997</v>
      </c>
      <c r="AA74" s="6">
        <v>90686.8</v>
      </c>
      <c r="AB74" s="6">
        <v>1451.6000000000058</v>
      </c>
      <c r="AC74" s="107"/>
      <c r="AE74" s="107"/>
      <c r="AG74" s="1" t="s">
        <v>1082</v>
      </c>
      <c r="AH74" s="597"/>
      <c r="AI74" s="605"/>
      <c r="AJ74" s="6" t="s">
        <v>671</v>
      </c>
      <c r="AK74" s="6" t="b">
        <v>1</v>
      </c>
      <c r="AM74" s="6"/>
      <c r="AN74" s="6"/>
      <c r="AO74" s="6"/>
      <c r="AP74" s="595"/>
      <c r="AQ74" s="598" t="s">
        <v>669</v>
      </c>
      <c r="AR74" s="598" t="s">
        <v>670</v>
      </c>
      <c r="AS74" s="598" t="s">
        <v>319</v>
      </c>
      <c r="AT74" s="598"/>
      <c r="AU74" s="597" t="s">
        <v>1384</v>
      </c>
    </row>
    <row r="75" spans="1:47" x14ac:dyDescent="0.35">
      <c r="A75" s="1">
        <v>97</v>
      </c>
      <c r="B75" s="595">
        <v>45061</v>
      </c>
      <c r="C75" s="1" t="s">
        <v>314</v>
      </c>
      <c r="D75" s="1" t="s">
        <v>235</v>
      </c>
      <c r="E75" s="148"/>
      <c r="F75" s="1">
        <v>80</v>
      </c>
      <c r="G75" s="1" t="s">
        <v>615</v>
      </c>
      <c r="H75" s="6"/>
      <c r="I75" s="107"/>
      <c r="J75" s="115"/>
      <c r="K75" s="115"/>
      <c r="L75" s="115">
        <v>703.37999999999988</v>
      </c>
      <c r="M75" s="115">
        <v>732.6875</v>
      </c>
      <c r="N75" s="596">
        <v>1.35209765625</v>
      </c>
      <c r="R75" s="6" t="s">
        <v>1102</v>
      </c>
      <c r="S75" s="6" t="s">
        <v>842</v>
      </c>
      <c r="T75" s="1" t="s">
        <v>1348</v>
      </c>
      <c r="U75" s="595">
        <v>45061</v>
      </c>
      <c r="V75" s="595" t="s">
        <v>660</v>
      </c>
      <c r="W75" s="1" t="s">
        <v>920</v>
      </c>
      <c r="X75" s="595"/>
      <c r="Y75" s="1" t="b">
        <v>1</v>
      </c>
      <c r="Z75" s="6">
        <v>18921.599999999999</v>
      </c>
      <c r="AA75" s="6">
        <v>19229.399999999998</v>
      </c>
      <c r="AB75" s="6">
        <v>307.79999999999927</v>
      </c>
      <c r="AC75" s="107"/>
      <c r="AE75" s="107"/>
      <c r="AG75" s="1" t="s">
        <v>1082</v>
      </c>
      <c r="AH75" s="597"/>
      <c r="AI75" s="605"/>
      <c r="AJ75" s="6" t="s">
        <v>671</v>
      </c>
      <c r="AK75" s="6" t="b">
        <v>1</v>
      </c>
      <c r="AM75" s="6"/>
      <c r="AN75" s="6"/>
      <c r="AO75" s="6"/>
      <c r="AP75" s="595"/>
      <c r="AQ75" s="598" t="s">
        <v>669</v>
      </c>
      <c r="AR75" s="598" t="s">
        <v>670</v>
      </c>
      <c r="AS75" s="598" t="s">
        <v>319</v>
      </c>
      <c r="AT75" s="598"/>
      <c r="AU75" s="597" t="s">
        <v>1384</v>
      </c>
    </row>
    <row r="76" spans="1:47" x14ac:dyDescent="0.35">
      <c r="A76" s="1">
        <v>96</v>
      </c>
      <c r="B76" s="595">
        <v>45058</v>
      </c>
      <c r="C76" s="1" t="s">
        <v>306</v>
      </c>
      <c r="D76" s="1" t="s">
        <v>235</v>
      </c>
      <c r="E76" s="148"/>
      <c r="F76" s="1">
        <v>38</v>
      </c>
      <c r="G76" s="1" t="s">
        <v>327</v>
      </c>
      <c r="H76" s="6"/>
      <c r="I76" s="107"/>
      <c r="J76" s="115"/>
      <c r="K76" s="115"/>
      <c r="L76" s="115">
        <v>183.11166666666662</v>
      </c>
      <c r="M76" s="115">
        <v>202.50666666666669</v>
      </c>
      <c r="N76" s="596">
        <v>0.87250537500000003</v>
      </c>
      <c r="R76" s="6" t="s">
        <v>1102</v>
      </c>
      <c r="S76" s="6" t="s">
        <v>690</v>
      </c>
      <c r="T76" s="1" t="s">
        <v>1347</v>
      </c>
      <c r="U76" s="595">
        <v>45058</v>
      </c>
      <c r="V76" s="595" t="s">
        <v>660</v>
      </c>
      <c r="W76" s="1" t="s">
        <v>954</v>
      </c>
      <c r="X76" s="595"/>
      <c r="Y76" s="1" t="b">
        <v>1</v>
      </c>
      <c r="Z76" s="6">
        <v>2728.32</v>
      </c>
      <c r="AA76" s="6">
        <v>3168</v>
      </c>
      <c r="AB76" s="6">
        <v>439.67999999999984</v>
      </c>
      <c r="AC76" s="107"/>
      <c r="AE76" s="107"/>
      <c r="AG76" s="1" t="s">
        <v>1082</v>
      </c>
      <c r="AH76" s="597"/>
      <c r="AI76" s="605"/>
      <c r="AJ76" s="6" t="s">
        <v>671</v>
      </c>
      <c r="AK76" s="6" t="b">
        <v>1</v>
      </c>
      <c r="AM76" s="6"/>
      <c r="AN76" s="6"/>
      <c r="AO76" s="6"/>
      <c r="AP76" s="595"/>
      <c r="AQ76" s="598" t="s">
        <v>309</v>
      </c>
      <c r="AR76" s="598" t="s">
        <v>310</v>
      </c>
      <c r="AS76" s="598" t="s">
        <v>311</v>
      </c>
      <c r="AT76" s="598"/>
      <c r="AU76" s="597" t="s">
        <v>1384</v>
      </c>
    </row>
    <row r="77" spans="1:47" x14ac:dyDescent="0.35">
      <c r="A77" s="1">
        <v>95</v>
      </c>
      <c r="B77" s="595">
        <v>45058</v>
      </c>
      <c r="C77" s="1" t="s">
        <v>243</v>
      </c>
      <c r="D77" s="1" t="s">
        <v>235</v>
      </c>
      <c r="E77" s="148"/>
      <c r="F77" s="1">
        <v>162</v>
      </c>
      <c r="G77" s="1" t="s">
        <v>327</v>
      </c>
      <c r="H77" s="6"/>
      <c r="I77" s="107"/>
      <c r="J77" s="115"/>
      <c r="K77" s="115"/>
      <c r="L77" s="115">
        <v>908.17333333333329</v>
      </c>
      <c r="M77" s="115">
        <v>1011.3866666666669</v>
      </c>
      <c r="N77" s="596">
        <v>4.8271533599999987</v>
      </c>
      <c r="R77" s="6" t="s">
        <v>1102</v>
      </c>
      <c r="S77" s="6"/>
      <c r="T77" s="1" t="s">
        <v>1346</v>
      </c>
      <c r="U77" s="595">
        <v>45058</v>
      </c>
      <c r="V77" s="595" t="s">
        <v>660</v>
      </c>
      <c r="W77" s="1" t="s">
        <v>954</v>
      </c>
      <c r="X77" s="595"/>
      <c r="Y77" s="1" t="b">
        <v>1</v>
      </c>
      <c r="Z77" s="6">
        <v>11562.880000000005</v>
      </c>
      <c r="AA77" s="6">
        <v>11552</v>
      </c>
      <c r="AB77" s="6">
        <v>-10.880000000004657</v>
      </c>
      <c r="AC77" s="107"/>
      <c r="AE77" s="107"/>
      <c r="AG77" s="1" t="s">
        <v>1082</v>
      </c>
      <c r="AH77" s="597"/>
      <c r="AI77" s="605"/>
      <c r="AJ77" s="6" t="s">
        <v>671</v>
      </c>
      <c r="AK77" s="6" t="b">
        <v>1</v>
      </c>
      <c r="AM77" s="6"/>
      <c r="AN77" s="6"/>
      <c r="AO77" s="6"/>
      <c r="AP77" s="595"/>
      <c r="AQ77" s="598" t="s">
        <v>246</v>
      </c>
      <c r="AR77" s="598" t="s">
        <v>247</v>
      </c>
      <c r="AS77" s="598" t="s">
        <v>248</v>
      </c>
      <c r="AT77" s="598"/>
      <c r="AU77" s="597" t="s">
        <v>1384</v>
      </c>
    </row>
    <row r="78" spans="1:47" x14ac:dyDescent="0.35">
      <c r="A78" s="1">
        <v>53</v>
      </c>
      <c r="B78" s="595">
        <v>45436</v>
      </c>
      <c r="C78" s="1" t="s">
        <v>293</v>
      </c>
      <c r="D78" s="1" t="s">
        <v>235</v>
      </c>
      <c r="E78" s="148"/>
      <c r="F78" s="1">
        <v>30</v>
      </c>
      <c r="G78" s="1" t="s">
        <v>327</v>
      </c>
      <c r="H78" s="6" t="s">
        <v>1092</v>
      </c>
      <c r="I78" s="107"/>
      <c r="J78" s="115"/>
      <c r="K78" s="115"/>
      <c r="L78" s="115">
        <v>284</v>
      </c>
      <c r="M78" s="115">
        <v>297</v>
      </c>
      <c r="N78" s="596">
        <v>0.51892499999999997</v>
      </c>
      <c r="O78" s="1" t="s">
        <v>929</v>
      </c>
      <c r="P78" s="6">
        <v>0</v>
      </c>
      <c r="R78" s="6" t="s">
        <v>1102</v>
      </c>
      <c r="S78" s="6"/>
      <c r="T78" s="1" t="s">
        <v>1234</v>
      </c>
      <c r="U78" s="595">
        <v>45436</v>
      </c>
      <c r="V78" s="595" t="s">
        <v>660</v>
      </c>
      <c r="W78" s="1" t="s">
        <v>923</v>
      </c>
      <c r="X78" s="595"/>
      <c r="Y78" s="1" t="b">
        <v>1</v>
      </c>
      <c r="Z78" s="6">
        <v>8409.6</v>
      </c>
      <c r="AA78" s="6">
        <v>8409.6</v>
      </c>
      <c r="AB78" s="6">
        <v>0</v>
      </c>
      <c r="AC78" s="107">
        <v>0</v>
      </c>
      <c r="AD78" s="6">
        <v>0</v>
      </c>
      <c r="AE78" s="107"/>
      <c r="AG78" s="1" t="s">
        <v>1082</v>
      </c>
      <c r="AH78" s="597"/>
      <c r="AI78" s="605" t="s">
        <v>1272</v>
      </c>
      <c r="AJ78" s="6" t="s">
        <v>1091</v>
      </c>
      <c r="AK78" s="6" t="b">
        <v>1</v>
      </c>
      <c r="AL78" s="6" t="s">
        <v>861</v>
      </c>
      <c r="AM78" s="6"/>
      <c r="AN78" s="6"/>
      <c r="AO78" s="6"/>
      <c r="AP78" s="595">
        <v>45436</v>
      </c>
      <c r="AQ78" s="598"/>
      <c r="AR78" s="598"/>
      <c r="AS78" s="598"/>
      <c r="AT78" s="598"/>
      <c r="AU78" s="597" t="s">
        <v>1384</v>
      </c>
    </row>
    <row r="79" spans="1:47" x14ac:dyDescent="0.35">
      <c r="A79" s="1">
        <v>34</v>
      </c>
      <c r="B79" s="595">
        <v>45397</v>
      </c>
      <c r="C79" s="1" t="s">
        <v>697</v>
      </c>
      <c r="D79" s="1" t="s">
        <v>235</v>
      </c>
      <c r="E79" s="148"/>
      <c r="F79" s="1">
        <v>52</v>
      </c>
      <c r="G79" s="1" t="s">
        <v>335</v>
      </c>
      <c r="H79" s="6" t="s">
        <v>1092</v>
      </c>
      <c r="I79" s="107"/>
      <c r="J79" s="115" t="s">
        <v>1125</v>
      </c>
      <c r="K79" s="115"/>
      <c r="L79" s="115">
        <v>448</v>
      </c>
      <c r="M79" s="115">
        <v>468</v>
      </c>
      <c r="N79" s="596">
        <v>0.82204031249999998</v>
      </c>
      <c r="O79" s="1" t="s">
        <v>1126</v>
      </c>
      <c r="P79" s="6">
        <v>460</v>
      </c>
      <c r="R79" s="6" t="s">
        <v>1102</v>
      </c>
      <c r="S79" s="6"/>
      <c r="T79" s="1" t="s">
        <v>1235</v>
      </c>
      <c r="U79" s="595">
        <v>45435</v>
      </c>
      <c r="V79" s="595" t="s">
        <v>660</v>
      </c>
      <c r="W79" s="1" t="s">
        <v>919</v>
      </c>
      <c r="X79" s="595"/>
      <c r="Y79" s="1" t="b">
        <v>1</v>
      </c>
      <c r="Z79" s="6">
        <v>13303.52</v>
      </c>
      <c r="AA79" s="6">
        <v>12825</v>
      </c>
      <c r="AB79" s="6">
        <v>-478.52</v>
      </c>
      <c r="AC79" s="107">
        <v>0</v>
      </c>
      <c r="AD79" s="6">
        <v>0</v>
      </c>
      <c r="AE79" s="107"/>
      <c r="AG79" s="1" t="s">
        <v>1082</v>
      </c>
      <c r="AH79" s="597"/>
      <c r="AI79" s="605" t="s">
        <v>1127</v>
      </c>
      <c r="AJ79" s="6" t="s">
        <v>671</v>
      </c>
      <c r="AK79" s="6" t="b">
        <v>1</v>
      </c>
      <c r="AM79" s="6"/>
      <c r="AN79" s="6"/>
      <c r="AO79" s="6"/>
      <c r="AP79" s="595">
        <v>45435</v>
      </c>
      <c r="AQ79" s="598"/>
      <c r="AR79" s="598"/>
      <c r="AS79" s="598"/>
      <c r="AT79" s="598"/>
      <c r="AU79" s="597" t="s">
        <v>1384</v>
      </c>
    </row>
    <row r="80" spans="1:47" x14ac:dyDescent="0.35">
      <c r="A80" s="1">
        <v>38</v>
      </c>
      <c r="B80" s="595">
        <v>45411</v>
      </c>
      <c r="C80" s="1" t="s">
        <v>708</v>
      </c>
      <c r="D80" s="1" t="s">
        <v>235</v>
      </c>
      <c r="E80" s="148"/>
      <c r="F80" s="1">
        <v>9</v>
      </c>
      <c r="G80" s="1" t="s">
        <v>234</v>
      </c>
      <c r="H80" s="6" t="s">
        <v>1092</v>
      </c>
      <c r="I80" s="107"/>
      <c r="J80" s="115"/>
      <c r="K80" s="115"/>
      <c r="L80" s="115">
        <v>0</v>
      </c>
      <c r="M80" s="115">
        <v>0</v>
      </c>
      <c r="N80" s="596">
        <v>0</v>
      </c>
      <c r="O80" s="1" t="s">
        <v>924</v>
      </c>
      <c r="P80" s="6">
        <v>0</v>
      </c>
      <c r="R80" s="6" t="s">
        <v>1102</v>
      </c>
      <c r="S80" s="6"/>
      <c r="T80" s="1" t="s">
        <v>1236</v>
      </c>
      <c r="U80" s="595">
        <v>45435</v>
      </c>
      <c r="V80" s="595" t="s">
        <v>660</v>
      </c>
      <c r="W80" s="1" t="s">
        <v>925</v>
      </c>
      <c r="X80" s="595"/>
      <c r="Y80" s="1" t="b">
        <v>1</v>
      </c>
      <c r="Z80" s="6">
        <v>0</v>
      </c>
      <c r="AA80" s="6">
        <v>10225.799999999999</v>
      </c>
      <c r="AB80" s="6">
        <v>10225.799999999999</v>
      </c>
      <c r="AC80" s="107">
        <v>0</v>
      </c>
      <c r="AD80" s="6">
        <v>0</v>
      </c>
      <c r="AE80" s="107"/>
      <c r="AG80" s="1" t="s">
        <v>1082</v>
      </c>
      <c r="AH80" s="597"/>
      <c r="AI80" s="605" t="s">
        <v>1273</v>
      </c>
      <c r="AJ80" s="6" t="s">
        <v>671</v>
      </c>
      <c r="AK80" s="6" t="b">
        <v>1</v>
      </c>
      <c r="AM80" s="6"/>
      <c r="AN80" s="6"/>
      <c r="AO80" s="6"/>
      <c r="AP80" s="595">
        <v>45435</v>
      </c>
      <c r="AQ80" s="598"/>
      <c r="AR80" s="598"/>
      <c r="AS80" s="598"/>
      <c r="AT80" s="598"/>
      <c r="AU80" s="597" t="s">
        <v>1384</v>
      </c>
    </row>
    <row r="81" spans="1:47" x14ac:dyDescent="0.35">
      <c r="A81" s="1">
        <v>41</v>
      </c>
      <c r="B81" s="595">
        <v>45420</v>
      </c>
      <c r="C81" s="1" t="s">
        <v>708</v>
      </c>
      <c r="D81" s="1" t="s">
        <v>235</v>
      </c>
      <c r="E81" s="148">
        <v>0.85175000000000001</v>
      </c>
      <c r="F81" s="1">
        <v>20</v>
      </c>
      <c r="G81" s="1" t="s">
        <v>234</v>
      </c>
      <c r="H81" s="6" t="s">
        <v>1094</v>
      </c>
      <c r="I81" s="107"/>
      <c r="J81" s="115"/>
      <c r="K81" s="115"/>
      <c r="L81" s="115">
        <v>187</v>
      </c>
      <c r="M81" s="115">
        <v>195</v>
      </c>
      <c r="N81" s="596">
        <v>0.34875499999999998</v>
      </c>
      <c r="O81" s="1" t="s">
        <v>924</v>
      </c>
      <c r="P81" s="6">
        <v>0</v>
      </c>
      <c r="R81" s="6" t="s">
        <v>1102</v>
      </c>
      <c r="S81" s="6"/>
      <c r="T81" s="1" t="s">
        <v>1237</v>
      </c>
      <c r="U81" s="595">
        <v>45435</v>
      </c>
      <c r="V81" s="595" t="s">
        <v>660</v>
      </c>
      <c r="W81" s="1" t="s">
        <v>925</v>
      </c>
      <c r="X81" s="595"/>
      <c r="Y81" s="1" t="b">
        <v>1</v>
      </c>
      <c r="Z81" s="6">
        <v>5606.4</v>
      </c>
      <c r="AA81" s="6">
        <v>7607.87</v>
      </c>
      <c r="AB81" s="6">
        <v>2001.47</v>
      </c>
      <c r="AC81" s="107">
        <v>0</v>
      </c>
      <c r="AD81" s="6">
        <v>0</v>
      </c>
      <c r="AE81" s="107"/>
      <c r="AG81" s="1" t="s">
        <v>1082</v>
      </c>
      <c r="AH81" s="597"/>
      <c r="AI81" s="605" t="s">
        <v>1274</v>
      </c>
      <c r="AJ81" s="6" t="s">
        <v>671</v>
      </c>
      <c r="AK81" s="6" t="b">
        <v>1</v>
      </c>
      <c r="AM81" s="6"/>
      <c r="AN81" s="6"/>
      <c r="AO81" s="6"/>
      <c r="AP81" s="595">
        <v>45435</v>
      </c>
      <c r="AQ81" s="598"/>
      <c r="AR81" s="598"/>
      <c r="AS81" s="598"/>
      <c r="AT81" s="598"/>
      <c r="AU81" s="597" t="s">
        <v>1385</v>
      </c>
    </row>
    <row r="82" spans="1:47" ht="33.5" x14ac:dyDescent="0.35">
      <c r="A82" s="1">
        <v>37</v>
      </c>
      <c r="B82" s="595">
        <v>45408</v>
      </c>
      <c r="C82" s="1" t="s">
        <v>343</v>
      </c>
      <c r="D82" s="1" t="s">
        <v>235</v>
      </c>
      <c r="E82" s="148">
        <v>0.85660000000000003</v>
      </c>
      <c r="F82" s="1">
        <v>75</v>
      </c>
      <c r="G82" s="1" t="s">
        <v>327</v>
      </c>
      <c r="H82" s="6" t="s">
        <v>1094</v>
      </c>
      <c r="I82" s="107"/>
      <c r="J82" s="115"/>
      <c r="K82" s="115"/>
      <c r="L82" s="115">
        <v>548</v>
      </c>
      <c r="M82" s="115">
        <v>600</v>
      </c>
      <c r="N82" s="596">
        <v>1.6366875000000001</v>
      </c>
      <c r="O82" s="1" t="s">
        <v>1703</v>
      </c>
      <c r="P82" s="6">
        <v>0</v>
      </c>
      <c r="R82" s="6" t="s">
        <v>1102</v>
      </c>
      <c r="S82" s="6"/>
      <c r="T82" s="1" t="s">
        <v>1238</v>
      </c>
      <c r="U82" s="595">
        <v>45418</v>
      </c>
      <c r="V82" s="595" t="s">
        <v>660</v>
      </c>
      <c r="W82" s="1" t="s">
        <v>1122</v>
      </c>
      <c r="X82" s="595"/>
      <c r="Y82" s="1" t="b">
        <v>1</v>
      </c>
      <c r="Z82" s="6">
        <v>8750</v>
      </c>
      <c r="AA82" s="6">
        <v>9193.33</v>
      </c>
      <c r="AB82" s="6">
        <v>443.33</v>
      </c>
      <c r="AC82" s="107">
        <v>0</v>
      </c>
      <c r="AD82" s="6">
        <v>0</v>
      </c>
      <c r="AE82" s="107"/>
      <c r="AG82" s="1" t="s">
        <v>1082</v>
      </c>
      <c r="AH82" s="597"/>
      <c r="AI82" s="617" t="s">
        <v>1704</v>
      </c>
      <c r="AJ82" s="6" t="s">
        <v>671</v>
      </c>
      <c r="AK82" s="6" t="b">
        <v>1</v>
      </c>
      <c r="AM82" s="6"/>
      <c r="AN82" s="6"/>
      <c r="AO82" s="6"/>
      <c r="AP82" s="595">
        <v>0</v>
      </c>
      <c r="AQ82" s="598"/>
      <c r="AR82" s="598"/>
      <c r="AS82" s="598"/>
      <c r="AT82" s="598"/>
      <c r="AU82" s="597" t="s">
        <v>1384</v>
      </c>
    </row>
    <row r="83" spans="1:47" x14ac:dyDescent="0.35">
      <c r="A83" s="1">
        <v>94</v>
      </c>
      <c r="B83" s="595">
        <v>45395</v>
      </c>
      <c r="C83" s="1" t="s">
        <v>1022</v>
      </c>
      <c r="D83" s="1" t="s">
        <v>235</v>
      </c>
      <c r="E83" s="148"/>
      <c r="F83" s="1">
        <v>375</v>
      </c>
      <c r="G83" s="1" t="s">
        <v>1023</v>
      </c>
      <c r="H83" s="6"/>
      <c r="I83" s="107"/>
      <c r="J83" s="115"/>
      <c r="K83" s="115"/>
      <c r="L83" s="115">
        <v>2632.1554166666665</v>
      </c>
      <c r="M83" s="115">
        <v>2888.2183333333332</v>
      </c>
      <c r="N83" s="596">
        <v>8.7048393750000024</v>
      </c>
      <c r="R83" s="6" t="s">
        <v>1102</v>
      </c>
      <c r="S83" s="6"/>
      <c r="T83" s="1" t="s">
        <v>1177</v>
      </c>
      <c r="U83" s="595">
        <v>45029</v>
      </c>
      <c r="V83" s="595" t="s">
        <v>660</v>
      </c>
      <c r="W83" s="1" t="s">
        <v>919</v>
      </c>
      <c r="X83" s="595"/>
      <c r="Y83" s="1" t="b">
        <v>1</v>
      </c>
      <c r="Z83" s="6">
        <v>40000</v>
      </c>
      <c r="AA83" s="6">
        <v>59440</v>
      </c>
      <c r="AB83" s="6">
        <v>19440</v>
      </c>
      <c r="AC83" s="107"/>
      <c r="AE83" s="107"/>
      <c r="AG83" s="1" t="s">
        <v>1082</v>
      </c>
      <c r="AH83" s="597"/>
      <c r="AI83" s="605"/>
      <c r="AJ83" s="6" t="s">
        <v>671</v>
      </c>
      <c r="AK83" s="6" t="b">
        <v>1</v>
      </c>
      <c r="AM83" s="6"/>
      <c r="AN83" s="6"/>
      <c r="AO83" s="6"/>
      <c r="AP83" s="595"/>
      <c r="AQ83" s="598"/>
      <c r="AR83" s="598"/>
      <c r="AS83" s="598"/>
      <c r="AT83" s="598"/>
      <c r="AU83" s="597" t="s">
        <v>1384</v>
      </c>
    </row>
    <row r="84" spans="1:47" x14ac:dyDescent="0.35">
      <c r="A84" s="1">
        <v>93</v>
      </c>
      <c r="B84" s="595" t="s">
        <v>1345</v>
      </c>
      <c r="C84" s="1" t="s">
        <v>692</v>
      </c>
      <c r="D84" s="1" t="s">
        <v>235</v>
      </c>
      <c r="E84" s="148"/>
      <c r="F84" s="1">
        <v>152</v>
      </c>
      <c r="G84" s="1" t="s">
        <v>696</v>
      </c>
      <c r="H84" s="6"/>
      <c r="I84" s="107"/>
      <c r="J84" s="115"/>
      <c r="K84" s="115"/>
      <c r="L84" s="115">
        <v>1368</v>
      </c>
      <c r="M84" s="115">
        <v>1425</v>
      </c>
      <c r="N84" s="596">
        <v>2.6296875000000002</v>
      </c>
      <c r="R84" s="6" t="s">
        <v>1102</v>
      </c>
      <c r="S84" s="6" t="s">
        <v>695</v>
      </c>
      <c r="T84" s="1" t="s">
        <v>1344</v>
      </c>
      <c r="U84" s="595">
        <v>45028</v>
      </c>
      <c r="V84" s="595" t="s">
        <v>660</v>
      </c>
      <c r="W84" s="1" t="s">
        <v>919</v>
      </c>
      <c r="X84" s="595"/>
      <c r="Y84" s="1" t="b">
        <v>1</v>
      </c>
      <c r="Z84" s="6">
        <v>27062.559999999998</v>
      </c>
      <c r="AA84" s="6">
        <v>34287.5</v>
      </c>
      <c r="AB84" s="6">
        <v>7224.9400000000023</v>
      </c>
      <c r="AC84" s="107"/>
      <c r="AE84" s="107"/>
      <c r="AG84" s="1" t="s">
        <v>1082</v>
      </c>
      <c r="AH84" s="597"/>
      <c r="AI84" s="605"/>
      <c r="AJ84" s="6" t="s">
        <v>671</v>
      </c>
      <c r="AK84" s="6" t="b">
        <v>1</v>
      </c>
      <c r="AM84" s="6"/>
      <c r="AN84" s="6"/>
      <c r="AO84" s="6"/>
      <c r="AP84" s="595"/>
      <c r="AQ84" s="598" t="s">
        <v>693</v>
      </c>
      <c r="AR84" s="598" t="s">
        <v>694</v>
      </c>
      <c r="AS84" s="598" t="s">
        <v>303</v>
      </c>
      <c r="AT84" s="598"/>
      <c r="AU84" s="597" t="s">
        <v>1384</v>
      </c>
    </row>
    <row r="85" spans="1:47" x14ac:dyDescent="0.35">
      <c r="A85" s="1">
        <v>92</v>
      </c>
      <c r="B85" s="595">
        <v>45022</v>
      </c>
      <c r="C85" s="1" t="s">
        <v>341</v>
      </c>
      <c r="D85" s="1" t="s">
        <v>235</v>
      </c>
      <c r="E85" s="148"/>
      <c r="F85" s="1">
        <v>16</v>
      </c>
      <c r="G85" s="1" t="s">
        <v>327</v>
      </c>
      <c r="H85" s="6"/>
      <c r="I85" s="107"/>
      <c r="J85" s="115"/>
      <c r="K85" s="115"/>
      <c r="L85" s="115">
        <v>76.690000000000012</v>
      </c>
      <c r="M85" s="115">
        <v>86.775000000000006</v>
      </c>
      <c r="N85" s="596">
        <v>0.43528650000000002</v>
      </c>
      <c r="R85" s="6" t="s">
        <v>1102</v>
      </c>
      <c r="S85" s="6"/>
      <c r="T85" s="1" t="s">
        <v>1343</v>
      </c>
      <c r="U85" s="595">
        <v>45022</v>
      </c>
      <c r="V85" s="595" t="s">
        <v>660</v>
      </c>
      <c r="W85" s="1" t="s">
        <v>954</v>
      </c>
      <c r="X85" s="595"/>
      <c r="Y85" s="1" t="b">
        <v>1</v>
      </c>
      <c r="Z85" s="6">
        <v>972.78000000000009</v>
      </c>
      <c r="AA85" s="6">
        <v>1305.7199999999998</v>
      </c>
      <c r="AB85" s="6">
        <v>332.93999999999971</v>
      </c>
      <c r="AC85" s="107"/>
      <c r="AE85" s="107"/>
      <c r="AG85" s="1" t="s">
        <v>1082</v>
      </c>
      <c r="AH85" s="597"/>
      <c r="AI85" s="605"/>
      <c r="AJ85" s="6" t="s">
        <v>671</v>
      </c>
      <c r="AK85" s="6" t="b">
        <v>1</v>
      </c>
      <c r="AM85" s="6"/>
      <c r="AN85" s="6"/>
      <c r="AO85" s="6"/>
      <c r="AP85" s="595"/>
      <c r="AQ85" s="598"/>
      <c r="AR85" s="598"/>
      <c r="AS85" s="598"/>
      <c r="AT85" s="598"/>
      <c r="AU85" s="597" t="s">
        <v>1384</v>
      </c>
    </row>
    <row r="86" spans="1:47" x14ac:dyDescent="0.35">
      <c r="A86" s="1">
        <v>25</v>
      </c>
      <c r="B86" s="595">
        <v>45390</v>
      </c>
      <c r="C86" s="1" t="s">
        <v>314</v>
      </c>
      <c r="D86" s="1" t="s">
        <v>235</v>
      </c>
      <c r="E86" s="148"/>
      <c r="F86" s="1">
        <v>60</v>
      </c>
      <c r="G86" s="1" t="s">
        <v>615</v>
      </c>
      <c r="H86" s="6" t="s">
        <v>1092</v>
      </c>
      <c r="I86" s="107"/>
      <c r="J86" s="115"/>
      <c r="K86" s="115"/>
      <c r="L86" s="115">
        <v>553</v>
      </c>
      <c r="M86" s="115">
        <v>577</v>
      </c>
      <c r="N86" s="596">
        <v>1.02192578125</v>
      </c>
      <c r="P86" s="6">
        <v>0</v>
      </c>
      <c r="R86" s="6" t="s">
        <v>1102</v>
      </c>
      <c r="S86" s="6"/>
      <c r="T86" s="1" t="s">
        <v>1239</v>
      </c>
      <c r="U86" s="595">
        <v>45392</v>
      </c>
      <c r="V86" s="595" t="s">
        <v>660</v>
      </c>
      <c r="W86" s="1" t="s">
        <v>1129</v>
      </c>
      <c r="X86" s="595"/>
      <c r="Y86" s="1" t="b">
        <v>1</v>
      </c>
      <c r="Z86" s="6">
        <v>16340.32</v>
      </c>
      <c r="AA86" s="6">
        <v>15300</v>
      </c>
      <c r="AB86" s="6">
        <v>-1040.32</v>
      </c>
      <c r="AC86" s="107">
        <v>0</v>
      </c>
      <c r="AD86" s="6">
        <v>0</v>
      </c>
      <c r="AE86" s="107"/>
      <c r="AG86" s="1" t="s">
        <v>1082</v>
      </c>
      <c r="AH86" s="597"/>
      <c r="AI86" s="605"/>
      <c r="AJ86" s="6" t="s">
        <v>671</v>
      </c>
      <c r="AK86" s="6" t="b">
        <v>1</v>
      </c>
      <c r="AM86" s="6"/>
      <c r="AN86" s="6"/>
      <c r="AO86" s="6"/>
      <c r="AP86" s="595"/>
      <c r="AQ86" s="598"/>
      <c r="AR86" s="598"/>
      <c r="AS86" s="598"/>
      <c r="AT86" s="598"/>
      <c r="AU86" s="597" t="s">
        <v>1384</v>
      </c>
    </row>
    <row r="87" spans="1:47" x14ac:dyDescent="0.35">
      <c r="A87" s="1">
        <v>24</v>
      </c>
      <c r="B87" s="595">
        <v>45390</v>
      </c>
      <c r="C87" s="1" t="s">
        <v>692</v>
      </c>
      <c r="D87" s="1" t="s">
        <v>235</v>
      </c>
      <c r="E87" s="148"/>
      <c r="F87" s="1">
        <v>150</v>
      </c>
      <c r="G87" s="1" t="s">
        <v>696</v>
      </c>
      <c r="H87" s="6" t="s">
        <v>1092</v>
      </c>
      <c r="I87" s="107"/>
      <c r="J87" s="115"/>
      <c r="K87" s="115"/>
      <c r="L87" s="115">
        <v>2190</v>
      </c>
      <c r="M87" s="115">
        <v>3075</v>
      </c>
      <c r="N87" s="596">
        <v>11.04</v>
      </c>
      <c r="O87" s="1" t="s">
        <v>1126</v>
      </c>
      <c r="P87" s="6">
        <v>1280</v>
      </c>
      <c r="R87" s="6" t="s">
        <v>1102</v>
      </c>
      <c r="S87" s="6"/>
      <c r="T87" s="1" t="s">
        <v>1240</v>
      </c>
      <c r="U87" s="595">
        <v>45386</v>
      </c>
      <c r="V87" s="595" t="s">
        <v>660</v>
      </c>
      <c r="W87" s="1" t="s">
        <v>919</v>
      </c>
      <c r="X87" s="595"/>
      <c r="Y87" s="1" t="b">
        <v>1</v>
      </c>
      <c r="Z87" s="6">
        <v>45000</v>
      </c>
      <c r="AA87" s="6">
        <v>67500</v>
      </c>
      <c r="AB87" s="6">
        <v>22500</v>
      </c>
      <c r="AC87" s="107">
        <v>0</v>
      </c>
      <c r="AD87" s="6" t="s">
        <v>1269</v>
      </c>
      <c r="AE87" s="107"/>
      <c r="AG87" s="1" t="s">
        <v>1082</v>
      </c>
      <c r="AH87" s="597"/>
      <c r="AI87" s="605"/>
      <c r="AJ87" s="6" t="s">
        <v>671</v>
      </c>
      <c r="AK87" s="6" t="b">
        <v>1</v>
      </c>
      <c r="AM87" s="6"/>
      <c r="AN87" s="6"/>
      <c r="AO87" s="6"/>
      <c r="AP87" s="595">
        <v>0</v>
      </c>
      <c r="AQ87" s="598"/>
      <c r="AR87" s="598"/>
      <c r="AS87" s="598"/>
      <c r="AT87" s="598"/>
      <c r="AU87" s="597" t="s">
        <v>1384</v>
      </c>
    </row>
    <row r="88" spans="1:47" x14ac:dyDescent="0.35">
      <c r="A88" s="1">
        <v>17</v>
      </c>
      <c r="B88" s="595">
        <v>45364</v>
      </c>
      <c r="C88" s="1" t="s">
        <v>711</v>
      </c>
      <c r="D88" s="1"/>
      <c r="E88" s="148"/>
      <c r="F88" s="1">
        <v>560</v>
      </c>
      <c r="G88" s="1"/>
      <c r="H88" s="6" t="s">
        <v>1094</v>
      </c>
      <c r="I88" s="107"/>
      <c r="J88" s="115"/>
      <c r="K88" s="115"/>
      <c r="L88" s="115">
        <v>3986</v>
      </c>
      <c r="M88" s="115">
        <v>4374</v>
      </c>
      <c r="N88" s="596">
        <v>13.185476999999999</v>
      </c>
      <c r="P88" s="6">
        <v>0</v>
      </c>
      <c r="R88" s="6" t="s">
        <v>1102</v>
      </c>
      <c r="S88" s="6"/>
      <c r="T88" s="1" t="s">
        <v>1241</v>
      </c>
      <c r="U88" s="595">
        <v>45386</v>
      </c>
      <c r="V88" s="595" t="s">
        <v>660</v>
      </c>
      <c r="W88" s="1" t="s">
        <v>923</v>
      </c>
      <c r="X88" s="595"/>
      <c r="Y88" s="1" t="b">
        <v>1</v>
      </c>
      <c r="Z88" s="6">
        <v>66480</v>
      </c>
      <c r="AA88" s="6">
        <v>72576</v>
      </c>
      <c r="AB88" s="6">
        <v>6096</v>
      </c>
      <c r="AC88" s="107">
        <v>0</v>
      </c>
      <c r="AD88" s="6">
        <v>0</v>
      </c>
      <c r="AE88" s="107"/>
      <c r="AG88" s="1" t="s">
        <v>1082</v>
      </c>
      <c r="AH88" s="597"/>
      <c r="AI88" s="605" t="s">
        <v>1137</v>
      </c>
      <c r="AJ88" s="6" t="s">
        <v>1108</v>
      </c>
      <c r="AK88" s="6" t="b">
        <v>1</v>
      </c>
      <c r="AM88" s="6"/>
      <c r="AN88" s="6"/>
      <c r="AO88" s="6"/>
      <c r="AP88" s="595"/>
      <c r="AQ88" s="598"/>
      <c r="AR88" s="598"/>
      <c r="AS88" s="598"/>
      <c r="AT88" s="598"/>
      <c r="AU88" s="597" t="s">
        <v>1384</v>
      </c>
    </row>
    <row r="89" spans="1:47" x14ac:dyDescent="0.35">
      <c r="A89" s="1">
        <v>27</v>
      </c>
      <c r="B89" s="595">
        <v>45379</v>
      </c>
      <c r="C89" s="1" t="s">
        <v>225</v>
      </c>
      <c r="D89" s="1" t="s">
        <v>235</v>
      </c>
      <c r="E89" s="148"/>
      <c r="F89" s="1">
        <v>1906</v>
      </c>
      <c r="G89" s="1" t="s">
        <v>234</v>
      </c>
      <c r="H89" s="6" t="s">
        <v>1092</v>
      </c>
      <c r="I89" s="107"/>
      <c r="J89" s="115"/>
      <c r="K89" s="115"/>
      <c r="L89" s="115">
        <v>0</v>
      </c>
      <c r="M89" s="115">
        <v>0</v>
      </c>
      <c r="N89" s="596">
        <v>0</v>
      </c>
      <c r="P89" s="6">
        <v>0</v>
      </c>
      <c r="R89" s="6" t="s">
        <v>1102</v>
      </c>
      <c r="S89" s="6"/>
      <c r="T89" s="1" t="s">
        <v>1242</v>
      </c>
      <c r="U89" s="595">
        <v>45379</v>
      </c>
      <c r="V89" s="595" t="s">
        <v>660</v>
      </c>
      <c r="W89" s="1" t="s">
        <v>954</v>
      </c>
      <c r="X89" s="595"/>
      <c r="Y89" s="1" t="b">
        <v>1</v>
      </c>
      <c r="Z89" s="6">
        <v>84994.559999999998</v>
      </c>
      <c r="AA89" s="6">
        <v>91392</v>
      </c>
      <c r="AB89" s="6">
        <v>6397.44</v>
      </c>
      <c r="AC89" s="107">
        <v>0</v>
      </c>
      <c r="AD89" s="6">
        <v>0</v>
      </c>
      <c r="AE89" s="107"/>
      <c r="AG89" s="1" t="s">
        <v>1082</v>
      </c>
      <c r="AH89" s="597"/>
      <c r="AI89" s="605" t="s">
        <v>1134</v>
      </c>
      <c r="AJ89" s="6" t="s">
        <v>671</v>
      </c>
      <c r="AK89" s="6" t="b">
        <v>1</v>
      </c>
      <c r="AM89" s="6"/>
      <c r="AN89" s="6"/>
      <c r="AO89" s="6"/>
      <c r="AP89" s="595"/>
      <c r="AQ89" s="598"/>
      <c r="AR89" s="598"/>
      <c r="AS89" s="598"/>
      <c r="AT89" s="598"/>
      <c r="AU89" s="597" t="s">
        <v>1384</v>
      </c>
    </row>
    <row r="90" spans="1:47" x14ac:dyDescent="0.35">
      <c r="A90" s="1">
        <v>26</v>
      </c>
      <c r="B90" s="595">
        <v>45373</v>
      </c>
      <c r="C90" s="1" t="s">
        <v>225</v>
      </c>
      <c r="D90" s="1" t="s">
        <v>235</v>
      </c>
      <c r="E90" s="148"/>
      <c r="F90" s="1">
        <v>944</v>
      </c>
      <c r="G90" s="1" t="s">
        <v>234</v>
      </c>
      <c r="H90" s="6" t="s">
        <v>1092</v>
      </c>
      <c r="I90" s="107"/>
      <c r="J90" s="115"/>
      <c r="K90" s="115"/>
      <c r="L90" s="115">
        <v>6966</v>
      </c>
      <c r="M90" s="115">
        <v>7216</v>
      </c>
      <c r="N90" s="596">
        <v>31.515808</v>
      </c>
      <c r="P90" s="6">
        <v>0</v>
      </c>
      <c r="R90" s="6" t="s">
        <v>1102</v>
      </c>
      <c r="S90" s="6"/>
      <c r="T90" s="1" t="s">
        <v>1243</v>
      </c>
      <c r="U90" s="595">
        <v>45373</v>
      </c>
      <c r="V90" s="595" t="s">
        <v>660</v>
      </c>
      <c r="W90" s="1" t="s">
        <v>954</v>
      </c>
      <c r="X90" s="595"/>
      <c r="Y90" s="1" t="b">
        <v>1</v>
      </c>
      <c r="Z90" s="6">
        <v>51240.959999999999</v>
      </c>
      <c r="AA90" s="6">
        <v>47915.519999999997</v>
      </c>
      <c r="AB90" s="6">
        <v>-3325.44</v>
      </c>
      <c r="AC90" s="107">
        <v>0</v>
      </c>
      <c r="AD90" s="6">
        <v>0</v>
      </c>
      <c r="AE90" s="107"/>
      <c r="AG90" s="1" t="s">
        <v>1082</v>
      </c>
      <c r="AH90" s="597"/>
      <c r="AI90" s="605" t="s">
        <v>1134</v>
      </c>
      <c r="AJ90" s="6" t="s">
        <v>671</v>
      </c>
      <c r="AK90" s="6" t="b">
        <v>1</v>
      </c>
      <c r="AM90" s="6"/>
      <c r="AN90" s="6"/>
      <c r="AO90" s="6"/>
      <c r="AP90" s="595"/>
      <c r="AQ90" s="598"/>
      <c r="AR90" s="598"/>
      <c r="AS90" s="598"/>
      <c r="AT90" s="598"/>
      <c r="AU90" s="597" t="s">
        <v>1384</v>
      </c>
    </row>
    <row r="91" spans="1:47" x14ac:dyDescent="0.35">
      <c r="A91" s="1">
        <v>91</v>
      </c>
      <c r="B91" s="595">
        <v>45006</v>
      </c>
      <c r="C91" s="1" t="s">
        <v>312</v>
      </c>
      <c r="D91" s="1" t="s">
        <v>235</v>
      </c>
      <c r="E91" s="148"/>
      <c r="F91" s="1">
        <v>29</v>
      </c>
      <c r="G91" s="1" t="s">
        <v>327</v>
      </c>
      <c r="H91" s="6"/>
      <c r="I91" s="107"/>
      <c r="J91" s="115"/>
      <c r="K91" s="115"/>
      <c r="L91" s="115">
        <v>109.06933333333333</v>
      </c>
      <c r="M91" s="115">
        <v>121.36199999999999</v>
      </c>
      <c r="N91" s="596">
        <v>0.59794849999999988</v>
      </c>
      <c r="R91" s="6" t="s">
        <v>1102</v>
      </c>
      <c r="S91" s="6"/>
      <c r="T91" s="1" t="s">
        <v>1342</v>
      </c>
      <c r="U91" s="595">
        <v>45006</v>
      </c>
      <c r="V91" s="595" t="s">
        <v>660</v>
      </c>
      <c r="W91" s="1" t="s">
        <v>954</v>
      </c>
      <c r="X91" s="595"/>
      <c r="Y91" s="1" t="b">
        <v>1</v>
      </c>
      <c r="Z91" s="6">
        <v>1247.8520000000001</v>
      </c>
      <c r="AA91" s="6">
        <v>1602.5400000000002</v>
      </c>
      <c r="AB91" s="6">
        <v>354.6880000000001</v>
      </c>
      <c r="AC91" s="107"/>
      <c r="AE91" s="107"/>
      <c r="AG91" s="1" t="s">
        <v>1082</v>
      </c>
      <c r="AH91" s="597"/>
      <c r="AI91" s="605"/>
      <c r="AJ91" s="6" t="s">
        <v>671</v>
      </c>
      <c r="AK91" s="6" t="b">
        <v>1</v>
      </c>
      <c r="AM91" s="6"/>
      <c r="AN91" s="6"/>
      <c r="AO91" s="6"/>
      <c r="AP91" s="595"/>
      <c r="AQ91" s="598" t="s">
        <v>613</v>
      </c>
      <c r="AR91" s="598" t="s">
        <v>614</v>
      </c>
      <c r="AS91" s="598" t="s">
        <v>288</v>
      </c>
      <c r="AT91" s="598"/>
      <c r="AU91" s="597" t="s">
        <v>1384</v>
      </c>
    </row>
    <row r="92" spans="1:47" x14ac:dyDescent="0.35">
      <c r="A92" s="1">
        <v>11</v>
      </c>
      <c r="B92" s="595">
        <v>45352</v>
      </c>
      <c r="C92" s="1" t="s">
        <v>225</v>
      </c>
      <c r="D92" s="1" t="s">
        <v>235</v>
      </c>
      <c r="E92" s="148"/>
      <c r="F92" s="1">
        <v>144</v>
      </c>
      <c r="G92" s="1"/>
      <c r="H92" s="6" t="s">
        <v>1094</v>
      </c>
      <c r="I92" s="107"/>
      <c r="J92" s="115"/>
      <c r="K92" s="115"/>
      <c r="L92" s="115">
        <v>902</v>
      </c>
      <c r="M92" s="115">
        <v>1010</v>
      </c>
      <c r="N92" s="596">
        <v>3.7654399999999999</v>
      </c>
      <c r="O92" s="1" t="s">
        <v>1126</v>
      </c>
      <c r="P92" s="6">
        <v>620</v>
      </c>
      <c r="R92" s="6" t="s">
        <v>1102</v>
      </c>
      <c r="S92" s="6"/>
      <c r="T92" s="1" t="s">
        <v>1244</v>
      </c>
      <c r="U92" s="595">
        <v>45364</v>
      </c>
      <c r="V92" s="595" t="s">
        <v>660</v>
      </c>
      <c r="X92" s="595"/>
      <c r="Y92" s="1" t="b">
        <v>1</v>
      </c>
      <c r="Z92" s="6">
        <v>5620.61</v>
      </c>
      <c r="AA92" s="6">
        <v>7094.64</v>
      </c>
      <c r="AB92" s="6">
        <v>1474.03</v>
      </c>
      <c r="AC92" s="107">
        <v>0</v>
      </c>
      <c r="AD92" s="6">
        <v>0</v>
      </c>
      <c r="AE92" s="107"/>
      <c r="AG92" s="1" t="s">
        <v>1082</v>
      </c>
      <c r="AH92" s="597"/>
      <c r="AI92" s="605"/>
      <c r="AJ92" s="6" t="s">
        <v>671</v>
      </c>
      <c r="AK92" s="6" t="b">
        <v>1</v>
      </c>
      <c r="AM92" s="6"/>
      <c r="AN92" s="6"/>
      <c r="AO92" s="6"/>
      <c r="AP92" s="595"/>
      <c r="AQ92" s="598"/>
      <c r="AR92" s="598"/>
      <c r="AS92" s="598"/>
      <c r="AT92" s="598"/>
      <c r="AU92" s="597" t="s">
        <v>1384</v>
      </c>
    </row>
    <row r="93" spans="1:47" x14ac:dyDescent="0.35">
      <c r="A93" s="1">
        <v>90</v>
      </c>
      <c r="B93" s="595">
        <v>44991</v>
      </c>
      <c r="C93" s="1" t="s">
        <v>697</v>
      </c>
      <c r="D93" s="1" t="s">
        <v>235</v>
      </c>
      <c r="E93" s="148"/>
      <c r="F93" s="1">
        <v>98</v>
      </c>
      <c r="G93" s="1" t="s">
        <v>335</v>
      </c>
      <c r="H93" s="6"/>
      <c r="I93" s="107"/>
      <c r="J93" s="115"/>
      <c r="K93" s="115"/>
      <c r="L93" s="115">
        <v>868.36000000000013</v>
      </c>
      <c r="M93" s="115">
        <v>906.2083333333336</v>
      </c>
      <c r="N93" s="596">
        <v>1.6075182291666665</v>
      </c>
      <c r="R93" s="6" t="s">
        <v>1102</v>
      </c>
      <c r="S93" s="6" t="s">
        <v>700</v>
      </c>
      <c r="T93" s="1" t="s">
        <v>1341</v>
      </c>
      <c r="U93" s="595">
        <v>44991</v>
      </c>
      <c r="V93" s="595" t="s">
        <v>660</v>
      </c>
      <c r="W93" s="1" t="s">
        <v>919</v>
      </c>
      <c r="X93" s="595"/>
      <c r="Y93" s="1" t="b">
        <v>1</v>
      </c>
      <c r="Z93" s="6">
        <v>21841.599999999999</v>
      </c>
      <c r="AA93" s="6">
        <v>22750</v>
      </c>
      <c r="AB93" s="6">
        <v>908.40000000000146</v>
      </c>
      <c r="AC93" s="107"/>
      <c r="AE93" s="107"/>
      <c r="AG93" s="1" t="s">
        <v>1082</v>
      </c>
      <c r="AH93" s="597"/>
      <c r="AI93" s="605"/>
      <c r="AJ93" s="6" t="s">
        <v>671</v>
      </c>
      <c r="AK93" s="6" t="b">
        <v>1</v>
      </c>
      <c r="AM93" s="6"/>
      <c r="AN93" s="6"/>
      <c r="AO93" s="6"/>
      <c r="AP93" s="595"/>
      <c r="AQ93" s="598" t="s">
        <v>698</v>
      </c>
      <c r="AR93" s="598" t="s">
        <v>699</v>
      </c>
      <c r="AS93" s="598" t="s">
        <v>303</v>
      </c>
      <c r="AT93" s="598"/>
      <c r="AU93" s="597" t="s">
        <v>1384</v>
      </c>
    </row>
    <row r="94" spans="1:47" x14ac:dyDescent="0.35">
      <c r="A94" s="1">
        <v>12</v>
      </c>
      <c r="B94" s="595">
        <v>45355</v>
      </c>
      <c r="C94" s="1" t="s">
        <v>314</v>
      </c>
      <c r="D94" s="1" t="s">
        <v>235</v>
      </c>
      <c r="E94" s="148"/>
      <c r="F94" s="1">
        <v>91</v>
      </c>
      <c r="G94" s="1" t="s">
        <v>615</v>
      </c>
      <c r="H94" s="6" t="s">
        <v>861</v>
      </c>
      <c r="I94" s="107"/>
      <c r="J94" s="115"/>
      <c r="K94" s="115"/>
      <c r="L94" s="115">
        <v>806</v>
      </c>
      <c r="M94" s="115">
        <v>842</v>
      </c>
      <c r="N94" s="596">
        <v>1.49541296875</v>
      </c>
      <c r="O94" s="1" t="s">
        <v>1126</v>
      </c>
      <c r="P94" s="6">
        <v>480</v>
      </c>
      <c r="R94" s="6" t="s">
        <v>1102</v>
      </c>
      <c r="S94" s="6"/>
      <c r="T94" s="1" t="s">
        <v>1245</v>
      </c>
      <c r="U94" s="595">
        <v>45359</v>
      </c>
      <c r="V94" s="595" t="s">
        <v>660</v>
      </c>
      <c r="W94" s="1" t="s">
        <v>920</v>
      </c>
      <c r="X94" s="595"/>
      <c r="Y94" s="1" t="b">
        <v>1</v>
      </c>
      <c r="Z94" s="6">
        <v>23758.07</v>
      </c>
      <c r="AA94" s="6">
        <v>22200</v>
      </c>
      <c r="AB94" s="6">
        <v>-1558.07</v>
      </c>
      <c r="AC94" s="107">
        <v>0</v>
      </c>
      <c r="AD94" s="6">
        <v>0</v>
      </c>
      <c r="AE94" s="107"/>
      <c r="AG94" s="1" t="s">
        <v>1082</v>
      </c>
      <c r="AH94" s="597"/>
      <c r="AI94" s="605" t="s">
        <v>861</v>
      </c>
      <c r="AJ94" s="6" t="s">
        <v>671</v>
      </c>
      <c r="AK94" s="6" t="b">
        <v>1</v>
      </c>
      <c r="AM94" s="6"/>
      <c r="AN94" s="6"/>
      <c r="AO94" s="6"/>
      <c r="AP94" s="595">
        <v>0</v>
      </c>
      <c r="AQ94" s="598"/>
      <c r="AR94" s="598"/>
      <c r="AS94" s="598"/>
      <c r="AT94" s="598"/>
      <c r="AU94" s="597" t="s">
        <v>1384</v>
      </c>
    </row>
    <row r="95" spans="1:47" x14ac:dyDescent="0.35">
      <c r="A95" s="1">
        <v>89</v>
      </c>
      <c r="B95" s="595">
        <v>44977</v>
      </c>
      <c r="C95" s="1" t="s">
        <v>225</v>
      </c>
      <c r="D95" s="1" t="s">
        <v>235</v>
      </c>
      <c r="E95" s="148"/>
      <c r="F95" s="1">
        <v>1172</v>
      </c>
      <c r="G95" s="1" t="s">
        <v>234</v>
      </c>
      <c r="H95" s="6"/>
      <c r="I95" s="107"/>
      <c r="J95" s="115"/>
      <c r="K95" s="115"/>
      <c r="L95" s="115">
        <v>4335.0399999999991</v>
      </c>
      <c r="M95" s="115">
        <v>4662.5200000000004</v>
      </c>
      <c r="N95" s="596">
        <v>13.745949599999999</v>
      </c>
      <c r="R95" s="6" t="s">
        <v>1102</v>
      </c>
      <c r="S95" s="6" t="s">
        <v>710</v>
      </c>
      <c r="T95" s="1" t="s">
        <v>1340</v>
      </c>
      <c r="U95" s="595">
        <v>44977</v>
      </c>
      <c r="V95" s="595" t="s">
        <v>660</v>
      </c>
      <c r="W95" s="1" t="s">
        <v>954</v>
      </c>
      <c r="X95" s="595"/>
      <c r="Y95" s="1" t="b">
        <v>1</v>
      </c>
      <c r="Z95" s="6">
        <v>54025.919999999984</v>
      </c>
      <c r="AA95" s="6">
        <v>44592</v>
      </c>
      <c r="AB95" s="6">
        <v>-9433.9199999999837</v>
      </c>
      <c r="AC95" s="107"/>
      <c r="AE95" s="107"/>
      <c r="AG95" s="1" t="s">
        <v>1082</v>
      </c>
      <c r="AH95" s="597"/>
      <c r="AI95" s="605"/>
      <c r="AJ95" s="6" t="s">
        <v>671</v>
      </c>
      <c r="AK95" s="6" t="b">
        <v>1</v>
      </c>
      <c r="AM95" s="6"/>
      <c r="AN95" s="6"/>
      <c r="AO95" s="6"/>
      <c r="AP95" s="595"/>
      <c r="AQ95" s="598" t="s">
        <v>228</v>
      </c>
      <c r="AR95" s="598" t="s">
        <v>229</v>
      </c>
      <c r="AS95" s="598" t="s">
        <v>230</v>
      </c>
      <c r="AT95" s="598"/>
      <c r="AU95" s="597" t="s">
        <v>1384</v>
      </c>
    </row>
    <row r="96" spans="1:47" x14ac:dyDescent="0.35">
      <c r="A96" s="1">
        <v>10</v>
      </c>
      <c r="B96" s="595">
        <v>45299</v>
      </c>
      <c r="C96" s="1" t="s">
        <v>344</v>
      </c>
      <c r="D96" s="1" t="s">
        <v>235</v>
      </c>
      <c r="E96" s="148"/>
      <c r="F96" s="1">
        <v>82</v>
      </c>
      <c r="G96" s="1" t="s">
        <v>327</v>
      </c>
      <c r="H96" s="6" t="s">
        <v>1092</v>
      </c>
      <c r="I96" s="107"/>
      <c r="J96" s="115"/>
      <c r="K96" s="115"/>
      <c r="L96" s="115">
        <v>438</v>
      </c>
      <c r="M96" s="115">
        <v>491</v>
      </c>
      <c r="N96" s="596">
        <v>2.2234808233333325</v>
      </c>
      <c r="P96" s="6">
        <v>0</v>
      </c>
      <c r="R96" s="6" t="s">
        <v>1102</v>
      </c>
      <c r="S96" s="6"/>
      <c r="T96" s="1" t="s">
        <v>1246</v>
      </c>
      <c r="U96" s="595">
        <v>45349</v>
      </c>
      <c r="V96" s="595" t="s">
        <v>660</v>
      </c>
      <c r="W96" s="1" t="s">
        <v>233</v>
      </c>
      <c r="X96" s="595"/>
      <c r="Y96" s="1" t="b">
        <v>1</v>
      </c>
      <c r="Z96" s="6">
        <v>1635</v>
      </c>
      <c r="AA96" s="6">
        <v>5252.8</v>
      </c>
      <c r="AB96" s="6">
        <v>3617.8</v>
      </c>
      <c r="AC96" s="107">
        <v>20</v>
      </c>
      <c r="AD96" s="6">
        <v>23</v>
      </c>
      <c r="AE96" s="107"/>
      <c r="AG96" s="1" t="s">
        <v>1082</v>
      </c>
      <c r="AH96" s="597"/>
      <c r="AI96" s="605"/>
      <c r="AJ96" s="6" t="s">
        <v>671</v>
      </c>
      <c r="AK96" s="6" t="b">
        <v>1</v>
      </c>
      <c r="AM96" s="6"/>
      <c r="AN96" s="6"/>
      <c r="AO96" s="6"/>
      <c r="AP96" s="595"/>
      <c r="AQ96" s="598"/>
      <c r="AR96" s="598"/>
      <c r="AS96" s="598"/>
      <c r="AT96" s="598"/>
      <c r="AU96" s="597" t="s">
        <v>1384</v>
      </c>
    </row>
    <row r="97" spans="1:47" x14ac:dyDescent="0.35">
      <c r="A97" s="1">
        <v>9</v>
      </c>
      <c r="B97" s="595">
        <v>45328</v>
      </c>
      <c r="C97" s="1" t="s">
        <v>619</v>
      </c>
      <c r="D97" s="1" t="s">
        <v>235</v>
      </c>
      <c r="E97" s="148"/>
      <c r="F97" s="1">
        <v>206</v>
      </c>
      <c r="G97" s="1" t="s">
        <v>327</v>
      </c>
      <c r="H97" s="6" t="s">
        <v>1094</v>
      </c>
      <c r="I97" s="107"/>
      <c r="J97" s="115"/>
      <c r="K97" s="115"/>
      <c r="L97" s="115">
        <v>1198</v>
      </c>
      <c r="M97" s="115">
        <v>1314</v>
      </c>
      <c r="N97" s="596">
        <v>4.8548981875000008</v>
      </c>
      <c r="P97" s="6">
        <v>0</v>
      </c>
      <c r="R97" s="6" t="s">
        <v>1102</v>
      </c>
      <c r="S97" s="6"/>
      <c r="T97" s="1">
        <v>55</v>
      </c>
      <c r="U97" s="595">
        <v>45349</v>
      </c>
      <c r="V97" s="595" t="s">
        <v>660</v>
      </c>
      <c r="W97" s="1" t="s">
        <v>233</v>
      </c>
      <c r="X97" s="595"/>
      <c r="Y97" s="1" t="b">
        <v>1</v>
      </c>
      <c r="Z97" s="6">
        <v>19516.560000000001</v>
      </c>
      <c r="AA97" s="6">
        <v>28778.48</v>
      </c>
      <c r="AB97" s="6">
        <v>9261.92</v>
      </c>
      <c r="AC97" s="107">
        <v>0</v>
      </c>
      <c r="AD97" s="6">
        <v>0</v>
      </c>
      <c r="AE97" s="107"/>
      <c r="AG97" s="1" t="s">
        <v>1082</v>
      </c>
      <c r="AH97" s="597"/>
      <c r="AI97" s="605" t="s">
        <v>1194</v>
      </c>
      <c r="AJ97" s="6" t="s">
        <v>671</v>
      </c>
      <c r="AK97" s="6" t="b">
        <v>1</v>
      </c>
      <c r="AM97" s="6"/>
      <c r="AN97" s="6"/>
      <c r="AO97" s="6"/>
      <c r="AP97" s="595"/>
      <c r="AQ97" s="598"/>
      <c r="AR97" s="598"/>
      <c r="AS97" s="598"/>
      <c r="AT97" s="598"/>
      <c r="AU97" s="597" t="s">
        <v>1384</v>
      </c>
    </row>
    <row r="98" spans="1:47" x14ac:dyDescent="0.35">
      <c r="A98" s="1">
        <v>8</v>
      </c>
      <c r="B98" s="595">
        <v>45344</v>
      </c>
      <c r="C98" s="1" t="s">
        <v>306</v>
      </c>
      <c r="D98" s="1" t="s">
        <v>235</v>
      </c>
      <c r="E98" s="148"/>
      <c r="F98" s="1">
        <v>31</v>
      </c>
      <c r="G98" s="1" t="s">
        <v>327</v>
      </c>
      <c r="H98" s="6" t="s">
        <v>1094</v>
      </c>
      <c r="I98" s="107"/>
      <c r="J98" s="115"/>
      <c r="K98" s="115"/>
      <c r="L98" s="115">
        <v>159</v>
      </c>
      <c r="M98" s="115">
        <v>174</v>
      </c>
      <c r="N98" s="596">
        <v>0.58448512500000016</v>
      </c>
      <c r="P98" s="6">
        <v>0</v>
      </c>
      <c r="R98" s="6" t="s">
        <v>1102</v>
      </c>
      <c r="S98" s="6"/>
      <c r="T98" s="1" t="s">
        <v>1247</v>
      </c>
      <c r="U98" s="595">
        <v>45344</v>
      </c>
      <c r="V98" s="595" t="s">
        <v>660</v>
      </c>
      <c r="W98" s="1" t="s">
        <v>233</v>
      </c>
      <c r="X98" s="595"/>
      <c r="Y98" s="1" t="b">
        <v>1</v>
      </c>
      <c r="Z98" s="6">
        <v>3074.88</v>
      </c>
      <c r="AA98" s="6">
        <v>3495.96</v>
      </c>
      <c r="AB98" s="6">
        <v>421.08</v>
      </c>
      <c r="AC98" s="107">
        <v>0</v>
      </c>
      <c r="AD98" s="6">
        <v>0</v>
      </c>
      <c r="AE98" s="107"/>
      <c r="AG98" s="1" t="s">
        <v>1082</v>
      </c>
      <c r="AH98" s="597"/>
      <c r="AI98" s="605"/>
      <c r="AJ98" s="6" t="s">
        <v>671</v>
      </c>
      <c r="AK98" s="6" t="b">
        <v>1</v>
      </c>
      <c r="AM98" s="6"/>
      <c r="AN98" s="6"/>
      <c r="AO98" s="6"/>
      <c r="AP98" s="595"/>
      <c r="AQ98" s="598"/>
      <c r="AR98" s="598"/>
      <c r="AS98" s="598"/>
      <c r="AT98" s="598"/>
      <c r="AU98" s="597" t="s">
        <v>1384</v>
      </c>
    </row>
    <row r="99" spans="1:47" x14ac:dyDescent="0.35">
      <c r="A99" s="1">
        <v>7</v>
      </c>
      <c r="B99" s="595">
        <v>45343</v>
      </c>
      <c r="C99" s="1" t="s">
        <v>697</v>
      </c>
      <c r="D99" s="1" t="s">
        <v>235</v>
      </c>
      <c r="E99" s="148"/>
      <c r="F99" s="1">
        <v>79</v>
      </c>
      <c r="G99" s="1" t="s">
        <v>335</v>
      </c>
      <c r="H99" s="6" t="s">
        <v>1092</v>
      </c>
      <c r="I99" s="107"/>
      <c r="J99" s="115"/>
      <c r="K99" s="115"/>
      <c r="L99" s="115">
        <v>687</v>
      </c>
      <c r="M99" s="115">
        <v>717</v>
      </c>
      <c r="N99" s="596">
        <v>1.2660289583333335</v>
      </c>
      <c r="O99" s="1" t="s">
        <v>926</v>
      </c>
      <c r="P99" s="6">
        <v>480</v>
      </c>
      <c r="R99" s="6" t="s">
        <v>1102</v>
      </c>
      <c r="S99" s="6"/>
      <c r="T99" s="1" t="s">
        <v>1248</v>
      </c>
      <c r="U99" s="595">
        <v>45343</v>
      </c>
      <c r="V99" s="595" t="s">
        <v>660</v>
      </c>
      <c r="W99" s="1" t="s">
        <v>1142</v>
      </c>
      <c r="X99" s="595"/>
      <c r="Y99" s="1" t="b">
        <v>1</v>
      </c>
      <c r="Z99" s="6">
        <v>20358.240000000002</v>
      </c>
      <c r="AA99" s="6">
        <v>13787.5</v>
      </c>
      <c r="AB99" s="6">
        <v>-6570.74</v>
      </c>
      <c r="AC99" s="107">
        <v>0</v>
      </c>
      <c r="AD99" s="6">
        <v>0</v>
      </c>
      <c r="AE99" s="107"/>
      <c r="AG99" s="1" t="s">
        <v>1082</v>
      </c>
      <c r="AH99" s="597" t="s">
        <v>1143</v>
      </c>
      <c r="AI99" s="605"/>
      <c r="AJ99" s="6" t="s">
        <v>671</v>
      </c>
      <c r="AK99" s="6" t="b">
        <v>1</v>
      </c>
      <c r="AM99" s="6"/>
      <c r="AN99" s="6"/>
      <c r="AO99" s="6"/>
      <c r="AP99" s="595">
        <v>0</v>
      </c>
      <c r="AQ99" s="598"/>
      <c r="AR99" s="598"/>
      <c r="AS99" s="598"/>
      <c r="AT99" s="598"/>
      <c r="AU99" s="597" t="s">
        <v>1384</v>
      </c>
    </row>
    <row r="100" spans="1:47" x14ac:dyDescent="0.35">
      <c r="A100" s="1">
        <v>54</v>
      </c>
      <c r="B100" s="595">
        <v>45446</v>
      </c>
      <c r="C100" s="1" t="s">
        <v>293</v>
      </c>
      <c r="D100" s="1" t="s">
        <v>235</v>
      </c>
      <c r="E100" s="148"/>
      <c r="F100" s="1">
        <v>10</v>
      </c>
      <c r="G100" s="1" t="s">
        <v>327</v>
      </c>
      <c r="H100" s="6" t="s">
        <v>1092</v>
      </c>
      <c r="I100" s="107">
        <v>1</v>
      </c>
      <c r="J100" s="115"/>
      <c r="K100" s="115"/>
      <c r="L100" s="115">
        <v>93</v>
      </c>
      <c r="M100" s="115">
        <v>97</v>
      </c>
      <c r="N100" s="596"/>
      <c r="P100" s="6">
        <v>0</v>
      </c>
      <c r="R100" s="6" t="s">
        <v>1083</v>
      </c>
      <c r="S100" s="6"/>
      <c r="T100" s="1" t="s">
        <v>1113</v>
      </c>
      <c r="U100" s="595">
        <v>45426</v>
      </c>
      <c r="V100" s="595" t="s">
        <v>1084</v>
      </c>
      <c r="W100" s="1" t="s">
        <v>923</v>
      </c>
      <c r="X100" s="595"/>
      <c r="Y100" s="1" t="b">
        <v>1</v>
      </c>
      <c r="Z100" s="6">
        <v>0</v>
      </c>
      <c r="AA100" s="6">
        <v>0</v>
      </c>
      <c r="AB100" s="6">
        <v>0</v>
      </c>
      <c r="AC100" s="107">
        <v>0</v>
      </c>
      <c r="AD100" s="6">
        <v>0</v>
      </c>
      <c r="AE100" s="107"/>
      <c r="AH100" s="597"/>
      <c r="AI100" s="605" t="s">
        <v>1114</v>
      </c>
      <c r="AJ100" s="6" t="s">
        <v>671</v>
      </c>
      <c r="AK100" s="6" t="b">
        <v>1</v>
      </c>
      <c r="AM100" s="6"/>
      <c r="AN100" s="6"/>
      <c r="AO100" s="6"/>
      <c r="AP100" s="595">
        <v>0</v>
      </c>
      <c r="AQ100" s="598"/>
      <c r="AR100" s="598"/>
      <c r="AS100" s="598"/>
      <c r="AT100" s="598"/>
      <c r="AU100" s="597" t="s">
        <v>1384</v>
      </c>
    </row>
    <row r="101" spans="1:47" x14ac:dyDescent="0.35">
      <c r="A101" s="1">
        <v>6</v>
      </c>
      <c r="B101" s="595">
        <v>45342</v>
      </c>
      <c r="C101" s="1" t="s">
        <v>343</v>
      </c>
      <c r="D101" s="1" t="s">
        <v>607</v>
      </c>
      <c r="E101" s="148">
        <v>0.85660000000000003</v>
      </c>
      <c r="F101" s="1">
        <v>110</v>
      </c>
      <c r="G101" s="1" t="s">
        <v>327</v>
      </c>
      <c r="H101" s="6" t="s">
        <v>1094</v>
      </c>
      <c r="I101" s="107"/>
      <c r="J101" s="115"/>
      <c r="K101" s="115"/>
      <c r="L101" s="115">
        <v>756</v>
      </c>
      <c r="M101" s="115">
        <v>832</v>
      </c>
      <c r="N101" s="596">
        <v>2.7670499999999998</v>
      </c>
      <c r="P101" s="6">
        <v>0</v>
      </c>
      <c r="R101" s="6" t="s">
        <v>1102</v>
      </c>
      <c r="S101" s="6"/>
      <c r="T101" s="1" t="s">
        <v>1249</v>
      </c>
      <c r="U101" s="595">
        <v>45342</v>
      </c>
      <c r="V101" s="595" t="s">
        <v>660</v>
      </c>
      <c r="W101" s="1" t="s">
        <v>1122</v>
      </c>
      <c r="X101" s="595"/>
      <c r="Y101" s="1" t="b">
        <v>1</v>
      </c>
      <c r="Z101" s="6">
        <v>13200</v>
      </c>
      <c r="AA101" s="6">
        <v>13868.78</v>
      </c>
      <c r="AB101" s="6">
        <v>668.78</v>
      </c>
      <c r="AC101" s="107">
        <v>0</v>
      </c>
      <c r="AD101" s="6">
        <v>0</v>
      </c>
      <c r="AE101" s="107"/>
      <c r="AG101" s="1" t="s">
        <v>1082</v>
      </c>
      <c r="AH101" s="597"/>
      <c r="AI101" s="605"/>
      <c r="AJ101" s="6" t="s">
        <v>671</v>
      </c>
      <c r="AK101" s="6" t="b">
        <v>1</v>
      </c>
      <c r="AM101" s="6"/>
      <c r="AN101" s="6"/>
      <c r="AO101" s="6"/>
      <c r="AP101" s="595"/>
      <c r="AQ101" s="598"/>
      <c r="AR101" s="598"/>
      <c r="AS101" s="598"/>
      <c r="AT101" s="598"/>
      <c r="AU101" s="597" t="s">
        <v>1384</v>
      </c>
    </row>
    <row r="102" spans="1:47" x14ac:dyDescent="0.35">
      <c r="A102" s="1">
        <v>5</v>
      </c>
      <c r="B102" s="595">
        <v>45335</v>
      </c>
      <c r="C102" s="1" t="s">
        <v>692</v>
      </c>
      <c r="D102" s="1" t="s">
        <v>235</v>
      </c>
      <c r="E102" s="148"/>
      <c r="F102" s="1">
        <v>302</v>
      </c>
      <c r="G102" s="1" t="s">
        <v>335</v>
      </c>
      <c r="H102" s="6" t="s">
        <v>1092</v>
      </c>
      <c r="I102" s="107"/>
      <c r="J102" s="115"/>
      <c r="K102" s="115"/>
      <c r="L102" s="115">
        <v>2863</v>
      </c>
      <c r="M102" s="115">
        <v>2990</v>
      </c>
      <c r="N102" s="596">
        <v>5.2944374999999999</v>
      </c>
      <c r="O102" s="1" t="s">
        <v>1126</v>
      </c>
      <c r="P102" s="6">
        <v>1120</v>
      </c>
      <c r="R102" s="6" t="s">
        <v>1102</v>
      </c>
      <c r="S102" s="6"/>
      <c r="T102" s="1" t="s">
        <v>1250</v>
      </c>
      <c r="U102" s="595">
        <v>45335</v>
      </c>
      <c r="V102" s="595" t="s">
        <v>660</v>
      </c>
      <c r="W102" s="1" t="s">
        <v>1142</v>
      </c>
      <c r="X102" s="595"/>
      <c r="Y102" s="1" t="b">
        <v>1</v>
      </c>
      <c r="Z102" s="6">
        <v>84656.639999999999</v>
      </c>
      <c r="AA102" s="6">
        <v>79200</v>
      </c>
      <c r="AB102" s="6">
        <v>-5456.64</v>
      </c>
      <c r="AC102" s="107">
        <v>32</v>
      </c>
      <c r="AD102" s="6">
        <v>22</v>
      </c>
      <c r="AE102" s="107"/>
      <c r="AG102" s="1" t="s">
        <v>1082</v>
      </c>
      <c r="AH102" s="597"/>
      <c r="AI102" s="605"/>
      <c r="AJ102" s="6" t="s">
        <v>671</v>
      </c>
      <c r="AK102" s="6" t="b">
        <v>1</v>
      </c>
      <c r="AM102" s="6"/>
      <c r="AN102" s="6"/>
      <c r="AO102" s="6"/>
      <c r="AP102" s="595"/>
      <c r="AQ102" s="598"/>
      <c r="AR102" s="598"/>
      <c r="AS102" s="598"/>
      <c r="AT102" s="598"/>
      <c r="AU102" s="597" t="s">
        <v>1384</v>
      </c>
    </row>
    <row r="103" spans="1:47" x14ac:dyDescent="0.35">
      <c r="A103" s="1">
        <v>129</v>
      </c>
      <c r="B103" s="595">
        <v>45586</v>
      </c>
      <c r="C103" s="1" t="s">
        <v>293</v>
      </c>
      <c r="D103" s="1" t="s">
        <v>235</v>
      </c>
      <c r="E103" s="148"/>
      <c r="F103" s="1" t="s">
        <v>1130</v>
      </c>
      <c r="G103" s="1" t="s">
        <v>327</v>
      </c>
      <c r="H103" s="6" t="s">
        <v>1094</v>
      </c>
      <c r="I103" s="107" t="s">
        <v>1085</v>
      </c>
      <c r="J103" s="115" t="s">
        <v>1105</v>
      </c>
      <c r="K103" s="115" t="s">
        <v>1380</v>
      </c>
      <c r="L103" s="115">
        <v>155.83333333333334</v>
      </c>
      <c r="M103" s="115">
        <v>160.41666666666666</v>
      </c>
      <c r="N103" s="596">
        <v>0.70931250000000001</v>
      </c>
      <c r="O103" s="1" t="s">
        <v>1701</v>
      </c>
      <c r="P103" s="6">
        <v>0</v>
      </c>
      <c r="Q103" s="6">
        <v>0</v>
      </c>
      <c r="R103" s="6" t="s">
        <v>1083</v>
      </c>
      <c r="S103" s="6" t="s">
        <v>928</v>
      </c>
      <c r="T103" s="1" t="s">
        <v>1702</v>
      </c>
      <c r="U103" s="595">
        <v>45585</v>
      </c>
      <c r="V103" s="595" t="s">
        <v>1084</v>
      </c>
      <c r="W103" s="1" t="s">
        <v>923</v>
      </c>
      <c r="X103" s="595"/>
      <c r="Y103" s="1" t="b">
        <v>0</v>
      </c>
      <c r="Z103" s="6">
        <v>0</v>
      </c>
      <c r="AA103" s="6">
        <v>0</v>
      </c>
      <c r="AB103" s="6">
        <v>0</v>
      </c>
      <c r="AC103" s="107" t="s">
        <v>1105</v>
      </c>
      <c r="AD103" s="6" t="s">
        <v>1089</v>
      </c>
      <c r="AE103" s="107"/>
      <c r="AG103" s="1" t="b">
        <v>0</v>
      </c>
      <c r="AH103" s="597"/>
      <c r="AI103" s="605" t="s">
        <v>1411</v>
      </c>
      <c r="AJ103" s="6" t="s">
        <v>1091</v>
      </c>
      <c r="AK103" s="6" t="b">
        <v>1</v>
      </c>
      <c r="AM103" s="6"/>
      <c r="AN103" s="6"/>
      <c r="AO103" s="6"/>
      <c r="AP103" s="595" t="s">
        <v>1672</v>
      </c>
      <c r="AQ103" s="598" t="s">
        <v>294</v>
      </c>
      <c r="AR103" s="598" t="s">
        <v>295</v>
      </c>
      <c r="AS103" s="598" t="s">
        <v>296</v>
      </c>
      <c r="AT103" s="598" t="s">
        <v>297</v>
      </c>
      <c r="AU103" s="597" t="s">
        <v>1385</v>
      </c>
    </row>
    <row r="104" spans="1:47" x14ac:dyDescent="0.35">
      <c r="A104" s="1">
        <v>78</v>
      </c>
      <c r="B104" s="595">
        <v>45489</v>
      </c>
      <c r="C104" s="1" t="s">
        <v>707</v>
      </c>
      <c r="D104" s="1" t="s">
        <v>235</v>
      </c>
      <c r="E104" s="148"/>
      <c r="F104" s="1">
        <v>587</v>
      </c>
      <c r="G104" s="1"/>
      <c r="H104" s="6"/>
      <c r="I104" s="107"/>
      <c r="J104" s="115"/>
      <c r="K104" s="115"/>
      <c r="L104" s="115">
        <v>739</v>
      </c>
      <c r="M104" s="115">
        <v>739</v>
      </c>
      <c r="N104" s="596">
        <v>1.80077625</v>
      </c>
      <c r="R104" s="6" t="s">
        <v>1083</v>
      </c>
      <c r="S104" s="6" t="s">
        <v>951</v>
      </c>
      <c r="T104" s="1" t="s">
        <v>1168</v>
      </c>
      <c r="U104" s="595">
        <v>45483</v>
      </c>
      <c r="V104" s="595" t="s">
        <v>1084</v>
      </c>
      <c r="X104" s="595"/>
      <c r="Y104" s="1" t="b">
        <v>0</v>
      </c>
      <c r="Z104" s="6">
        <v>6543.48</v>
      </c>
      <c r="AA104" s="6">
        <v>6543.48</v>
      </c>
      <c r="AB104" s="6">
        <v>0</v>
      </c>
      <c r="AC104" s="107"/>
      <c r="AE104" s="107"/>
      <c r="AG104" s="1" t="b">
        <v>0</v>
      </c>
      <c r="AH104" s="597"/>
      <c r="AI104" s="605"/>
      <c r="AJ104" s="6" t="s">
        <v>671</v>
      </c>
      <c r="AK104" s="6" t="b">
        <v>1</v>
      </c>
      <c r="AM104" s="6"/>
      <c r="AN104" s="6"/>
      <c r="AO104" s="6"/>
      <c r="AP104" s="595"/>
      <c r="AQ104" s="598" t="s">
        <v>949</v>
      </c>
      <c r="AR104" s="598" t="s">
        <v>950</v>
      </c>
      <c r="AS104" s="598" t="s">
        <v>22</v>
      </c>
      <c r="AT104" s="598"/>
      <c r="AU104" s="597" t="s">
        <v>1384</v>
      </c>
    </row>
    <row r="105" spans="1:47" x14ac:dyDescent="0.35">
      <c r="A105" s="1">
        <v>79</v>
      </c>
      <c r="B105" s="595">
        <v>45489</v>
      </c>
      <c r="C105" s="1" t="s">
        <v>707</v>
      </c>
      <c r="D105" s="1" t="s">
        <v>235</v>
      </c>
      <c r="E105" s="148"/>
      <c r="F105" s="1">
        <v>15</v>
      </c>
      <c r="G105" s="1"/>
      <c r="H105" s="6" t="s">
        <v>1094</v>
      </c>
      <c r="I105" s="107" t="s">
        <v>1085</v>
      </c>
      <c r="J105" s="115"/>
      <c r="K105" s="115"/>
      <c r="L105" s="115">
        <v>68</v>
      </c>
      <c r="M105" s="115">
        <v>74</v>
      </c>
      <c r="N105" s="596">
        <v>0.205734375</v>
      </c>
      <c r="P105" s="6">
        <v>0</v>
      </c>
      <c r="Q105" s="6">
        <v>0</v>
      </c>
      <c r="R105" s="6" t="s">
        <v>1083</v>
      </c>
      <c r="S105" s="6" t="s">
        <v>951</v>
      </c>
      <c r="T105" s="1" t="s">
        <v>1124</v>
      </c>
      <c r="U105" s="595">
        <v>45481</v>
      </c>
      <c r="V105" s="595" t="s">
        <v>1084</v>
      </c>
      <c r="W105" s="1" t="s">
        <v>590</v>
      </c>
      <c r="X105" s="595"/>
      <c r="Y105" s="1" t="b">
        <v>0</v>
      </c>
      <c r="Z105" s="6">
        <v>0</v>
      </c>
      <c r="AA105" s="6">
        <v>1509.59</v>
      </c>
      <c r="AB105" s="6">
        <v>0</v>
      </c>
      <c r="AC105" s="107" t="s">
        <v>1105</v>
      </c>
      <c r="AD105" s="6" t="s">
        <v>1089</v>
      </c>
      <c r="AE105" s="107"/>
      <c r="AG105" s="1" t="b">
        <v>0</v>
      </c>
      <c r="AH105" s="597"/>
      <c r="AI105" s="605"/>
      <c r="AJ105" s="6" t="s">
        <v>671</v>
      </c>
      <c r="AK105" s="6" t="b">
        <v>1</v>
      </c>
      <c r="AM105" s="6"/>
      <c r="AN105" s="6"/>
      <c r="AO105" s="6"/>
      <c r="AP105" s="595"/>
      <c r="AQ105" s="598" t="s">
        <v>949</v>
      </c>
      <c r="AR105" s="598" t="s">
        <v>950</v>
      </c>
      <c r="AS105" s="598" t="s">
        <v>22</v>
      </c>
      <c r="AT105" s="598"/>
      <c r="AU105" s="597" t="s">
        <v>1384</v>
      </c>
    </row>
    <row r="106" spans="1:47" x14ac:dyDescent="0.35">
      <c r="A106" s="1">
        <v>81</v>
      </c>
      <c r="B106" s="595" t="s">
        <v>1167</v>
      </c>
      <c r="C106" s="1" t="s">
        <v>707</v>
      </c>
      <c r="D106" s="1" t="s">
        <v>235</v>
      </c>
      <c r="E106" s="148"/>
      <c r="F106" s="1">
        <v>15</v>
      </c>
      <c r="G106" s="1"/>
      <c r="H106" s="6"/>
      <c r="I106" s="107" t="s">
        <v>1085</v>
      </c>
      <c r="J106" s="115"/>
      <c r="K106" s="115"/>
      <c r="L106" s="115">
        <v>68</v>
      </c>
      <c r="M106" s="115">
        <v>74</v>
      </c>
      <c r="N106" s="596">
        <v>0.205734375</v>
      </c>
      <c r="R106" s="6" t="s">
        <v>1083</v>
      </c>
      <c r="S106" s="6" t="s">
        <v>951</v>
      </c>
      <c r="T106" s="1" t="s">
        <v>1124</v>
      </c>
      <c r="U106" s="595">
        <v>45482</v>
      </c>
      <c r="V106" s="595" t="s">
        <v>1084</v>
      </c>
      <c r="X106" s="595"/>
      <c r="Y106" s="1" t="b">
        <v>0</v>
      </c>
      <c r="Z106" s="6">
        <v>0</v>
      </c>
      <c r="AA106" s="6">
        <v>1509.59</v>
      </c>
      <c r="AB106" s="6">
        <v>0</v>
      </c>
      <c r="AC106" s="107"/>
      <c r="AE106" s="107"/>
      <c r="AG106" s="1" t="b">
        <v>0</v>
      </c>
      <c r="AH106" s="597"/>
      <c r="AI106" s="605"/>
      <c r="AJ106" s="6" t="s">
        <v>671</v>
      </c>
      <c r="AK106" s="6" t="b">
        <v>1</v>
      </c>
      <c r="AM106" s="6"/>
      <c r="AN106" s="6"/>
      <c r="AO106" s="6"/>
      <c r="AP106" s="595"/>
      <c r="AQ106" s="598" t="s">
        <v>949</v>
      </c>
      <c r="AR106" s="598" t="s">
        <v>950</v>
      </c>
      <c r="AS106" s="598" t="s">
        <v>22</v>
      </c>
      <c r="AT106" s="598"/>
      <c r="AU106" s="597" t="s">
        <v>1384</v>
      </c>
    </row>
    <row r="107" spans="1:47" x14ac:dyDescent="0.35">
      <c r="A107" s="1">
        <v>19</v>
      </c>
      <c r="B107" s="595">
        <v>45401</v>
      </c>
      <c r="C107" s="1" t="s">
        <v>707</v>
      </c>
      <c r="D107" s="1" t="s">
        <v>235</v>
      </c>
      <c r="E107" s="148"/>
      <c r="F107" s="1">
        <v>1120</v>
      </c>
      <c r="G107" s="1"/>
      <c r="H107" s="6" t="s">
        <v>1094</v>
      </c>
      <c r="I107" s="107">
        <v>0</v>
      </c>
      <c r="J107" s="115"/>
      <c r="K107" s="115"/>
      <c r="L107" s="115">
        <v>7112</v>
      </c>
      <c r="M107" s="115">
        <v>7840</v>
      </c>
      <c r="N107" s="596"/>
      <c r="P107" s="6">
        <v>0</v>
      </c>
      <c r="R107" s="6" t="s">
        <v>1083</v>
      </c>
      <c r="S107" s="6"/>
      <c r="T107" s="1" t="s">
        <v>1124</v>
      </c>
      <c r="U107" s="595">
        <v>45340</v>
      </c>
      <c r="V107" s="595" t="s">
        <v>1084</v>
      </c>
      <c r="X107" s="595"/>
      <c r="Y107" s="1" t="b">
        <v>1</v>
      </c>
      <c r="Z107" s="6">
        <v>0</v>
      </c>
      <c r="AA107" s="6">
        <v>55104</v>
      </c>
      <c r="AB107" s="6">
        <v>0</v>
      </c>
      <c r="AC107" s="107">
        <v>0</v>
      </c>
      <c r="AD107" s="6">
        <v>0</v>
      </c>
      <c r="AE107" s="107"/>
      <c r="AH107" s="597"/>
      <c r="AI107" s="605"/>
      <c r="AJ107" s="6" t="s">
        <v>671</v>
      </c>
      <c r="AK107" s="6" t="b">
        <v>1</v>
      </c>
      <c r="AM107" s="6"/>
      <c r="AN107" s="6"/>
      <c r="AO107" s="6"/>
      <c r="AP107" s="595"/>
      <c r="AQ107" s="598"/>
      <c r="AR107" s="598"/>
      <c r="AS107" s="598"/>
      <c r="AT107" s="598"/>
      <c r="AU107" s="597" t="s">
        <v>1384</v>
      </c>
    </row>
    <row r="108" spans="1:47" x14ac:dyDescent="0.35">
      <c r="A108" s="1">
        <v>58</v>
      </c>
      <c r="B108" s="595">
        <v>45449</v>
      </c>
      <c r="C108" s="1" t="s">
        <v>707</v>
      </c>
      <c r="D108" s="1" t="s">
        <v>235</v>
      </c>
      <c r="E108" s="148"/>
      <c r="F108" s="1">
        <v>441</v>
      </c>
      <c r="G108" s="1"/>
      <c r="H108" s="6" t="s">
        <v>1094</v>
      </c>
      <c r="I108" s="107" t="s">
        <v>1191</v>
      </c>
      <c r="J108" s="115"/>
      <c r="K108" s="115"/>
      <c r="L108" s="115">
        <v>4024.6099999999997</v>
      </c>
      <c r="M108" s="115">
        <v>4194.3625000000002</v>
      </c>
      <c r="N108" s="596">
        <v>7.6601530729166676</v>
      </c>
      <c r="P108" s="6">
        <v>0</v>
      </c>
      <c r="R108" s="6" t="s">
        <v>1083</v>
      </c>
      <c r="S108" s="6"/>
      <c r="T108" s="1" t="s">
        <v>1110</v>
      </c>
      <c r="U108" s="595">
        <v>45447</v>
      </c>
      <c r="V108" s="595" t="s">
        <v>1084</v>
      </c>
      <c r="X108" s="595"/>
      <c r="Y108" s="1" t="b">
        <v>0</v>
      </c>
      <c r="Z108" s="6">
        <v>0</v>
      </c>
      <c r="AA108" s="6">
        <v>117325.59999999999</v>
      </c>
      <c r="AB108" s="6">
        <v>0</v>
      </c>
      <c r="AC108" s="107">
        <v>0</v>
      </c>
      <c r="AD108" s="6">
        <v>0</v>
      </c>
      <c r="AE108" s="107"/>
      <c r="AH108" s="597"/>
      <c r="AI108" s="605"/>
      <c r="AJ108" s="6" t="s">
        <v>671</v>
      </c>
      <c r="AK108" s="6" t="b">
        <v>1</v>
      </c>
      <c r="AM108" s="6"/>
      <c r="AN108" s="6"/>
      <c r="AO108" s="6"/>
      <c r="AP108" s="595">
        <v>0</v>
      </c>
      <c r="AQ108" s="598"/>
      <c r="AR108" s="598"/>
      <c r="AS108" s="598"/>
      <c r="AT108" s="598"/>
      <c r="AU108" s="597" t="s">
        <v>1384</v>
      </c>
    </row>
    <row r="109" spans="1:47" x14ac:dyDescent="0.35">
      <c r="A109" s="1">
        <v>57</v>
      </c>
      <c r="B109" s="595">
        <v>45449</v>
      </c>
      <c r="C109" s="1" t="s">
        <v>707</v>
      </c>
      <c r="D109" s="1" t="s">
        <v>235</v>
      </c>
      <c r="E109" s="148"/>
      <c r="F109" s="1">
        <v>493</v>
      </c>
      <c r="G109" s="1"/>
      <c r="H109" s="6" t="s">
        <v>1094</v>
      </c>
      <c r="I109" s="107"/>
      <c r="J109" s="115"/>
      <c r="K109" s="115"/>
      <c r="L109" s="115">
        <v>5657.4467187499995</v>
      </c>
      <c r="M109" s="115">
        <v>5937.1296874999998</v>
      </c>
      <c r="N109" s="596">
        <v>12.762866140624999</v>
      </c>
      <c r="P109" s="6">
        <v>0</v>
      </c>
      <c r="R109" s="6" t="s">
        <v>1083</v>
      </c>
      <c r="S109" s="6"/>
      <c r="T109" s="1" t="s">
        <v>1111</v>
      </c>
      <c r="U109" s="595">
        <v>45447</v>
      </c>
      <c r="V109" s="595" t="s">
        <v>1084</v>
      </c>
      <c r="X109" s="595"/>
      <c r="Y109" s="1" t="b">
        <v>1</v>
      </c>
      <c r="Z109" s="6">
        <v>0</v>
      </c>
      <c r="AA109" s="6">
        <v>137615.27799999999</v>
      </c>
      <c r="AB109" s="6">
        <v>0</v>
      </c>
      <c r="AC109" s="107">
        <v>0</v>
      </c>
      <c r="AD109" s="6">
        <v>0</v>
      </c>
      <c r="AE109" s="107"/>
      <c r="AH109" s="597"/>
      <c r="AI109" s="605"/>
      <c r="AJ109" s="6" t="s">
        <v>671</v>
      </c>
      <c r="AK109" s="6" t="b">
        <v>1</v>
      </c>
      <c r="AM109" s="6"/>
      <c r="AN109" s="6"/>
      <c r="AO109" s="6"/>
      <c r="AP109" s="595">
        <v>0</v>
      </c>
      <c r="AQ109" s="598"/>
      <c r="AR109" s="598"/>
      <c r="AS109" s="598"/>
      <c r="AT109" s="598"/>
      <c r="AU109" s="597" t="s">
        <v>1384</v>
      </c>
    </row>
    <row r="110" spans="1:47" x14ac:dyDescent="0.35">
      <c r="A110" s="1">
        <v>43</v>
      </c>
      <c r="B110" s="595">
        <v>45422</v>
      </c>
      <c r="C110" s="1" t="s">
        <v>707</v>
      </c>
      <c r="D110" s="1" t="s">
        <v>235</v>
      </c>
      <c r="E110" s="148"/>
      <c r="F110" s="1">
        <v>29</v>
      </c>
      <c r="G110" s="1"/>
      <c r="H110" s="6" t="s">
        <v>1094</v>
      </c>
      <c r="I110" s="107">
        <v>1</v>
      </c>
      <c r="J110" s="115"/>
      <c r="K110" s="115"/>
      <c r="L110" s="115">
        <v>259</v>
      </c>
      <c r="M110" s="115">
        <v>270</v>
      </c>
      <c r="N110" s="596"/>
      <c r="P110" s="6">
        <v>0</v>
      </c>
      <c r="R110" s="6" t="s">
        <v>1083</v>
      </c>
      <c r="S110" s="6"/>
      <c r="T110" s="1" t="s">
        <v>1120</v>
      </c>
      <c r="U110" s="595">
        <v>45419</v>
      </c>
      <c r="V110" s="595" t="s">
        <v>1084</v>
      </c>
      <c r="X110" s="595"/>
      <c r="Y110" s="1" t="b">
        <v>1</v>
      </c>
      <c r="Z110" s="6">
        <v>0</v>
      </c>
      <c r="AA110" s="6">
        <v>0</v>
      </c>
      <c r="AB110" s="6">
        <v>0</v>
      </c>
      <c r="AC110" s="107">
        <v>0</v>
      </c>
      <c r="AD110" s="6">
        <v>0</v>
      </c>
      <c r="AE110" s="107"/>
      <c r="AH110" s="597"/>
      <c r="AI110" s="605"/>
      <c r="AJ110" s="6" t="s">
        <v>671</v>
      </c>
      <c r="AK110" s="6" t="b">
        <v>1</v>
      </c>
      <c r="AM110" s="6"/>
      <c r="AN110" s="6"/>
      <c r="AO110" s="6"/>
      <c r="AP110" s="595"/>
      <c r="AQ110" s="598"/>
      <c r="AR110" s="598"/>
      <c r="AS110" s="598"/>
      <c r="AT110" s="598"/>
      <c r="AU110" s="597" t="s">
        <v>1384</v>
      </c>
    </row>
    <row r="111" spans="1:47" x14ac:dyDescent="0.35">
      <c r="A111" s="1">
        <v>42</v>
      </c>
      <c r="B111" s="595">
        <v>45422</v>
      </c>
      <c r="C111" s="1" t="s">
        <v>707</v>
      </c>
      <c r="D111" s="1" t="s">
        <v>235</v>
      </c>
      <c r="E111" s="148"/>
      <c r="F111" s="1">
        <v>322</v>
      </c>
      <c r="G111" s="1"/>
      <c r="H111" s="6" t="s">
        <v>1094</v>
      </c>
      <c r="I111" s="107">
        <v>5</v>
      </c>
      <c r="J111" s="115"/>
      <c r="K111" s="115"/>
      <c r="L111" s="115">
        <v>1534</v>
      </c>
      <c r="M111" s="115">
        <v>1662</v>
      </c>
      <c r="N111" s="596"/>
      <c r="P111" s="6">
        <v>0</v>
      </c>
      <c r="R111" s="6" t="s">
        <v>1083</v>
      </c>
      <c r="S111" s="6"/>
      <c r="T111" s="1" t="s">
        <v>1121</v>
      </c>
      <c r="U111" s="595">
        <v>45419</v>
      </c>
      <c r="V111" s="595" t="s">
        <v>1084</v>
      </c>
      <c r="X111" s="595"/>
      <c r="Y111" s="1" t="b">
        <v>1</v>
      </c>
      <c r="Z111" s="6">
        <v>0</v>
      </c>
      <c r="AA111" s="6">
        <v>33846.550000000003</v>
      </c>
      <c r="AB111" s="6">
        <v>0</v>
      </c>
      <c r="AC111" s="107">
        <v>0</v>
      </c>
      <c r="AD111" s="6">
        <v>0</v>
      </c>
      <c r="AE111" s="107"/>
      <c r="AH111" s="597"/>
      <c r="AI111" s="605"/>
      <c r="AJ111" s="6" t="s">
        <v>671</v>
      </c>
      <c r="AK111" s="6" t="b">
        <v>1</v>
      </c>
      <c r="AM111" s="6"/>
      <c r="AN111" s="6"/>
      <c r="AO111" s="6"/>
      <c r="AP111" s="595"/>
      <c r="AQ111" s="598"/>
      <c r="AR111" s="598"/>
      <c r="AS111" s="598"/>
      <c r="AT111" s="598"/>
      <c r="AU111" s="597" t="s">
        <v>1384</v>
      </c>
    </row>
    <row r="112" spans="1:47" x14ac:dyDescent="0.35">
      <c r="A112" s="1">
        <v>46</v>
      </c>
      <c r="B112" s="595">
        <v>45379</v>
      </c>
      <c r="C112" s="1" t="s">
        <v>293</v>
      </c>
      <c r="D112" s="1" t="s">
        <v>235</v>
      </c>
      <c r="E112" s="148"/>
      <c r="F112" s="1">
        <v>1906</v>
      </c>
      <c r="G112" s="1" t="s">
        <v>327</v>
      </c>
      <c r="H112" s="6" t="s">
        <v>1092</v>
      </c>
      <c r="I112" s="107">
        <v>0</v>
      </c>
      <c r="J112" s="115"/>
      <c r="K112" s="115"/>
      <c r="L112" s="115">
        <v>0</v>
      </c>
      <c r="M112" s="115">
        <v>0</v>
      </c>
      <c r="N112" s="596"/>
      <c r="P112" s="6">
        <v>0</v>
      </c>
      <c r="R112" s="6" t="s">
        <v>1083</v>
      </c>
      <c r="S112" s="6"/>
      <c r="T112" s="1" t="s">
        <v>1132</v>
      </c>
      <c r="U112" s="595">
        <v>45379</v>
      </c>
      <c r="V112" s="595" t="s">
        <v>1084</v>
      </c>
      <c r="W112" s="1" t="s">
        <v>1117</v>
      </c>
      <c r="X112" s="595"/>
      <c r="Y112" s="1" t="b">
        <v>1</v>
      </c>
      <c r="Z112" s="6">
        <v>0</v>
      </c>
      <c r="AA112" s="6">
        <v>84994.559999999998</v>
      </c>
      <c r="AB112" s="6">
        <v>0</v>
      </c>
      <c r="AC112" s="107">
        <v>0</v>
      </c>
      <c r="AD112" s="6">
        <v>0</v>
      </c>
      <c r="AE112" s="107"/>
      <c r="AH112" s="597"/>
      <c r="AI112" s="605" t="s">
        <v>1133</v>
      </c>
      <c r="AJ112" s="6" t="s">
        <v>671</v>
      </c>
      <c r="AK112" s="6" t="b">
        <v>1</v>
      </c>
      <c r="AM112" s="6"/>
      <c r="AN112" s="6"/>
      <c r="AO112" s="6"/>
      <c r="AP112" s="595">
        <v>0</v>
      </c>
      <c r="AQ112" s="598"/>
      <c r="AR112" s="598"/>
      <c r="AS112" s="598"/>
      <c r="AT112" s="598"/>
      <c r="AU112" s="597" t="s">
        <v>1384</v>
      </c>
    </row>
    <row r="113" spans="1:47" x14ac:dyDescent="0.35">
      <c r="A113" s="1">
        <v>30</v>
      </c>
      <c r="B113" s="595">
        <v>45386</v>
      </c>
      <c r="C113" s="1" t="s">
        <v>707</v>
      </c>
      <c r="D113" s="1" t="s">
        <v>235</v>
      </c>
      <c r="E113" s="148"/>
      <c r="F113" s="1">
        <v>450</v>
      </c>
      <c r="G113" s="1"/>
      <c r="H113" s="6" t="s">
        <v>1094</v>
      </c>
      <c r="I113" s="107">
        <v>10</v>
      </c>
      <c r="J113" s="115"/>
      <c r="K113" s="115"/>
      <c r="L113" s="115">
        <v>3271</v>
      </c>
      <c r="M113" s="115">
        <v>3412</v>
      </c>
      <c r="N113" s="596"/>
      <c r="P113" s="6">
        <v>0</v>
      </c>
      <c r="R113" s="6" t="s">
        <v>1083</v>
      </c>
      <c r="S113" s="6"/>
      <c r="T113" s="1" t="s">
        <v>1130</v>
      </c>
      <c r="U113" s="595">
        <v>45391</v>
      </c>
      <c r="V113" s="595" t="s">
        <v>1084</v>
      </c>
      <c r="X113" s="595"/>
      <c r="Y113" s="1" t="b">
        <v>1</v>
      </c>
      <c r="Z113" s="6">
        <v>0</v>
      </c>
      <c r="AA113" s="6">
        <v>17625.599999999999</v>
      </c>
      <c r="AB113" s="6">
        <v>0</v>
      </c>
      <c r="AC113" s="107">
        <v>0</v>
      </c>
      <c r="AD113" s="6">
        <v>0</v>
      </c>
      <c r="AE113" s="107"/>
      <c r="AH113" s="597"/>
      <c r="AI113" s="605"/>
      <c r="AJ113" s="6" t="s">
        <v>671</v>
      </c>
      <c r="AK113" s="6" t="b">
        <v>1</v>
      </c>
      <c r="AM113" s="6"/>
      <c r="AN113" s="6"/>
      <c r="AO113" s="6"/>
      <c r="AP113" s="595"/>
      <c r="AQ113" s="598"/>
      <c r="AR113" s="598"/>
      <c r="AS113" s="598"/>
      <c r="AT113" s="598"/>
      <c r="AU113" s="597" t="s">
        <v>1384</v>
      </c>
    </row>
    <row r="114" spans="1:47" x14ac:dyDescent="0.35">
      <c r="A114" s="1">
        <v>88</v>
      </c>
      <c r="B114" s="595">
        <v>44946</v>
      </c>
      <c r="C114" s="1" t="s">
        <v>697</v>
      </c>
      <c r="D114" s="1" t="s">
        <v>235</v>
      </c>
      <c r="E114" s="148"/>
      <c r="F114" s="1">
        <v>130</v>
      </c>
      <c r="G114" s="1" t="s">
        <v>335</v>
      </c>
      <c r="H114" s="6"/>
      <c r="I114" s="107"/>
      <c r="J114" s="115"/>
      <c r="K114" s="115"/>
      <c r="L114" s="115">
        <v>1097.1899999999998</v>
      </c>
      <c r="M114" s="115">
        <v>1144.7625</v>
      </c>
      <c r="N114" s="596">
        <v>2.0403745312499999</v>
      </c>
      <c r="R114" s="6" t="s">
        <v>1102</v>
      </c>
      <c r="S114" s="6" t="s">
        <v>700</v>
      </c>
      <c r="T114" s="1" t="s">
        <v>1130</v>
      </c>
      <c r="U114" s="595">
        <v>44946</v>
      </c>
      <c r="V114" s="595" t="s">
        <v>660</v>
      </c>
      <c r="W114" s="1" t="s">
        <v>919</v>
      </c>
      <c r="X114" s="595"/>
      <c r="Y114" s="1" t="b">
        <v>1</v>
      </c>
      <c r="Z114" s="6">
        <v>25812.799999999999</v>
      </c>
      <c r="AA114" s="6">
        <v>23262.5</v>
      </c>
      <c r="AB114" s="6">
        <v>-2550.2999999999993</v>
      </c>
      <c r="AC114" s="107"/>
      <c r="AE114" s="107"/>
      <c r="AG114" s="1" t="s">
        <v>1082</v>
      </c>
      <c r="AH114" s="597"/>
      <c r="AI114" s="605"/>
      <c r="AJ114" s="6" t="s">
        <v>671</v>
      </c>
      <c r="AK114" s="6" t="b">
        <v>1</v>
      </c>
      <c r="AM114" s="6"/>
      <c r="AN114" s="6"/>
      <c r="AO114" s="6"/>
      <c r="AP114" s="595"/>
      <c r="AQ114" s="598" t="s">
        <v>698</v>
      </c>
      <c r="AR114" s="598" t="s">
        <v>699</v>
      </c>
      <c r="AS114" s="598" t="s">
        <v>303</v>
      </c>
      <c r="AT114" s="598"/>
      <c r="AU114" s="597" t="s">
        <v>1384</v>
      </c>
    </row>
    <row r="115" spans="1:47" x14ac:dyDescent="0.35">
      <c r="A115" s="1">
        <v>47</v>
      </c>
      <c r="B115" s="595">
        <v>0</v>
      </c>
      <c r="C115" s="1" t="s">
        <v>293</v>
      </c>
      <c r="D115" s="1" t="s">
        <v>235</v>
      </c>
      <c r="E115" s="148"/>
      <c r="F115" s="1">
        <v>1160</v>
      </c>
      <c r="G115" s="1" t="s">
        <v>327</v>
      </c>
      <c r="H115" s="6" t="s">
        <v>1092</v>
      </c>
      <c r="I115" s="107">
        <v>21</v>
      </c>
      <c r="J115" s="115"/>
      <c r="K115" s="115"/>
      <c r="L115" s="115">
        <v>8599</v>
      </c>
      <c r="M115" s="115">
        <v>9108</v>
      </c>
      <c r="N115" s="596"/>
      <c r="P115" s="6">
        <v>0</v>
      </c>
      <c r="R115" s="6" t="s">
        <v>1083</v>
      </c>
      <c r="S115" s="6"/>
      <c r="T115" s="1" t="s">
        <v>1145</v>
      </c>
      <c r="U115" s="595">
        <v>45373</v>
      </c>
      <c r="V115" s="595" t="s">
        <v>1084</v>
      </c>
      <c r="W115" s="1" t="s">
        <v>1117</v>
      </c>
      <c r="X115" s="595"/>
      <c r="Y115" s="1" t="b">
        <v>1</v>
      </c>
      <c r="Z115" s="6">
        <v>0</v>
      </c>
      <c r="AA115" s="6">
        <v>36974.589999999997</v>
      </c>
      <c r="AB115" s="6">
        <v>0</v>
      </c>
      <c r="AC115" s="107">
        <v>0</v>
      </c>
      <c r="AD115" s="6">
        <v>0</v>
      </c>
      <c r="AE115" s="107"/>
      <c r="AH115" s="597"/>
      <c r="AI115" s="605" t="s">
        <v>1146</v>
      </c>
      <c r="AJ115" s="6" t="s">
        <v>671</v>
      </c>
      <c r="AK115" s="6" t="b">
        <v>1</v>
      </c>
      <c r="AM115" s="6"/>
      <c r="AN115" s="6"/>
      <c r="AO115" s="6"/>
      <c r="AP115" s="595"/>
      <c r="AQ115" s="598"/>
      <c r="AR115" s="598"/>
      <c r="AS115" s="598"/>
      <c r="AT115" s="598"/>
      <c r="AU115" s="597" t="s">
        <v>1384</v>
      </c>
    </row>
    <row r="116" spans="1:47" x14ac:dyDescent="0.35">
      <c r="A116" s="1">
        <v>49</v>
      </c>
      <c r="B116" s="595">
        <v>45427</v>
      </c>
      <c r="C116" s="1" t="s">
        <v>293</v>
      </c>
      <c r="D116" s="1" t="s">
        <v>235</v>
      </c>
      <c r="E116" s="148"/>
      <c r="F116" s="1">
        <v>1043</v>
      </c>
      <c r="G116" s="1" t="s">
        <v>327</v>
      </c>
      <c r="H116" s="6" t="s">
        <v>1094</v>
      </c>
      <c r="I116" s="107">
        <v>19</v>
      </c>
      <c r="J116" s="115"/>
      <c r="K116" s="115"/>
      <c r="L116" s="115">
        <v>6528</v>
      </c>
      <c r="M116" s="115">
        <v>7213</v>
      </c>
      <c r="N116" s="596"/>
      <c r="P116" s="6">
        <v>0</v>
      </c>
      <c r="R116" s="6" t="s">
        <v>1083</v>
      </c>
      <c r="S116" s="6"/>
      <c r="T116" s="1" t="s">
        <v>1116</v>
      </c>
      <c r="U116" s="595">
        <v>45316</v>
      </c>
      <c r="V116" s="595" t="s">
        <v>1084</v>
      </c>
      <c r="W116" s="1" t="s">
        <v>1117</v>
      </c>
      <c r="X116" s="595"/>
      <c r="Y116" s="1" t="b">
        <v>1</v>
      </c>
      <c r="Z116" s="6">
        <v>0</v>
      </c>
      <c r="AA116" s="6">
        <v>110036.24</v>
      </c>
      <c r="AB116" s="6">
        <v>0</v>
      </c>
      <c r="AC116" s="107">
        <v>0</v>
      </c>
      <c r="AD116" s="6">
        <v>0</v>
      </c>
      <c r="AE116" s="107"/>
      <c r="AH116" s="597"/>
      <c r="AI116" s="605"/>
      <c r="AJ116" s="6" t="s">
        <v>671</v>
      </c>
      <c r="AK116" s="6" t="b">
        <v>1</v>
      </c>
      <c r="AM116" s="6"/>
      <c r="AN116" s="6"/>
      <c r="AO116" s="6"/>
      <c r="AP116" s="595"/>
      <c r="AQ116" s="598"/>
      <c r="AR116" s="598"/>
      <c r="AS116" s="598"/>
      <c r="AT116" s="598"/>
      <c r="AU116" s="597" t="s">
        <v>1384</v>
      </c>
    </row>
    <row r="117" spans="1:47" x14ac:dyDescent="0.35">
      <c r="A117" s="1">
        <v>45</v>
      </c>
      <c r="B117" s="595">
        <v>45422</v>
      </c>
      <c r="C117" s="1" t="s">
        <v>707</v>
      </c>
      <c r="D117" s="1" t="s">
        <v>235</v>
      </c>
      <c r="E117" s="148"/>
      <c r="F117" s="1">
        <v>81</v>
      </c>
      <c r="G117" s="1"/>
      <c r="H117" s="6" t="s">
        <v>1092</v>
      </c>
      <c r="I117" s="107">
        <v>2</v>
      </c>
      <c r="J117" s="115"/>
      <c r="K117" s="115"/>
      <c r="L117" s="115">
        <v>758</v>
      </c>
      <c r="M117" s="115">
        <v>791</v>
      </c>
      <c r="N117" s="596"/>
      <c r="P117" s="6">
        <v>0</v>
      </c>
      <c r="R117" s="6" t="s">
        <v>1083</v>
      </c>
      <c r="S117" s="6"/>
      <c r="T117" s="1" t="s">
        <v>1116</v>
      </c>
      <c r="U117" s="595">
        <v>45373</v>
      </c>
      <c r="V117" s="595" t="s">
        <v>1084</v>
      </c>
      <c r="X117" s="595"/>
      <c r="Y117" s="1" t="b">
        <v>1</v>
      </c>
      <c r="Z117" s="6">
        <v>0</v>
      </c>
      <c r="AA117" s="6">
        <v>22402.240000000002</v>
      </c>
      <c r="AB117" s="6">
        <v>0</v>
      </c>
      <c r="AC117" s="107">
        <v>0</v>
      </c>
      <c r="AD117" s="6">
        <v>0</v>
      </c>
      <c r="AE117" s="107"/>
      <c r="AH117" s="597"/>
      <c r="AI117" s="605"/>
      <c r="AJ117" s="6" t="s">
        <v>671</v>
      </c>
      <c r="AK117" s="6" t="b">
        <v>1</v>
      </c>
      <c r="AM117" s="6"/>
      <c r="AN117" s="6"/>
      <c r="AO117" s="6"/>
      <c r="AP117" s="595"/>
      <c r="AQ117" s="598"/>
      <c r="AR117" s="598"/>
      <c r="AS117" s="598"/>
      <c r="AT117" s="598"/>
      <c r="AU117" s="597" t="s">
        <v>1384</v>
      </c>
    </row>
    <row r="118" spans="1:47" x14ac:dyDescent="0.35">
      <c r="A118" s="1">
        <v>29</v>
      </c>
      <c r="B118" s="595">
        <v>45386</v>
      </c>
      <c r="C118" s="1" t="s">
        <v>707</v>
      </c>
      <c r="D118" s="1" t="s">
        <v>235</v>
      </c>
      <c r="E118" s="148"/>
      <c r="F118" s="1">
        <v>1043</v>
      </c>
      <c r="G118" s="1"/>
      <c r="H118" s="6" t="s">
        <v>1094</v>
      </c>
      <c r="I118" s="107">
        <v>19</v>
      </c>
      <c r="J118" s="115"/>
      <c r="K118" s="115"/>
      <c r="L118" s="115">
        <v>6528</v>
      </c>
      <c r="M118" s="115">
        <v>7213</v>
      </c>
      <c r="N118" s="596"/>
      <c r="P118" s="6">
        <v>0</v>
      </c>
      <c r="R118" s="6" t="s">
        <v>1083</v>
      </c>
      <c r="S118" s="6"/>
      <c r="T118" s="1" t="s">
        <v>1116</v>
      </c>
      <c r="U118" s="595">
        <v>45316</v>
      </c>
      <c r="V118" s="595" t="s">
        <v>1084</v>
      </c>
      <c r="X118" s="595"/>
      <c r="Y118" s="1" t="b">
        <v>1</v>
      </c>
      <c r="Z118" s="6">
        <v>0</v>
      </c>
      <c r="AA118" s="6">
        <v>110036.24</v>
      </c>
      <c r="AB118" s="6">
        <v>0</v>
      </c>
      <c r="AC118" s="107">
        <v>0</v>
      </c>
      <c r="AD118" s="6">
        <v>0</v>
      </c>
      <c r="AE118" s="107"/>
      <c r="AH118" s="597"/>
      <c r="AI118" s="605" t="s">
        <v>1131</v>
      </c>
      <c r="AJ118" s="6" t="s">
        <v>671</v>
      </c>
      <c r="AK118" s="6" t="b">
        <v>1</v>
      </c>
      <c r="AM118" s="6"/>
      <c r="AN118" s="6"/>
      <c r="AO118" s="6"/>
      <c r="AP118" s="595"/>
      <c r="AQ118" s="598"/>
      <c r="AR118" s="598"/>
      <c r="AS118" s="598"/>
      <c r="AT118" s="598"/>
      <c r="AU118" s="597" t="s">
        <v>1384</v>
      </c>
    </row>
    <row r="119" spans="1:47" x14ac:dyDescent="0.35">
      <c r="A119" s="1">
        <v>4</v>
      </c>
      <c r="B119" s="595">
        <v>45300</v>
      </c>
      <c r="C119" s="1" t="s">
        <v>314</v>
      </c>
      <c r="D119" s="1" t="s">
        <v>235</v>
      </c>
      <c r="E119" s="148"/>
      <c r="F119" s="1">
        <v>150</v>
      </c>
      <c r="G119" s="1" t="s">
        <v>615</v>
      </c>
      <c r="H119" s="6" t="s">
        <v>1092</v>
      </c>
      <c r="I119" s="107"/>
      <c r="J119" s="115"/>
      <c r="K119" s="115"/>
      <c r="L119" s="115">
        <v>2190</v>
      </c>
      <c r="M119" s="115">
        <v>3075</v>
      </c>
      <c r="N119" s="596">
        <v>11.04</v>
      </c>
      <c r="O119" s="1" t="s">
        <v>1126</v>
      </c>
      <c r="P119" s="6">
        <v>1060</v>
      </c>
      <c r="R119" s="6" t="s">
        <v>1102</v>
      </c>
      <c r="S119" s="6"/>
      <c r="T119" s="1" t="s">
        <v>1116</v>
      </c>
      <c r="U119" s="595">
        <v>45300</v>
      </c>
      <c r="V119" s="595" t="s">
        <v>660</v>
      </c>
      <c r="W119" s="1" t="s">
        <v>1129</v>
      </c>
      <c r="X119" s="595"/>
      <c r="Y119" s="1" t="b">
        <v>1</v>
      </c>
      <c r="Z119" s="6">
        <v>45000</v>
      </c>
      <c r="AA119" s="6">
        <v>51000</v>
      </c>
      <c r="AB119" s="6">
        <v>6000</v>
      </c>
      <c r="AC119" s="107">
        <v>80</v>
      </c>
      <c r="AD119" s="6">
        <v>22</v>
      </c>
      <c r="AE119" s="107"/>
      <c r="AG119" s="1" t="s">
        <v>1082</v>
      </c>
      <c r="AH119" s="597"/>
      <c r="AI119" s="605"/>
      <c r="AJ119" s="6" t="s">
        <v>671</v>
      </c>
      <c r="AK119" s="6" t="b">
        <v>1</v>
      </c>
      <c r="AM119" s="6"/>
      <c r="AN119" s="6"/>
      <c r="AO119" s="6"/>
      <c r="AP119" s="595"/>
      <c r="AQ119" s="598"/>
      <c r="AR119" s="598"/>
      <c r="AS119" s="598"/>
      <c r="AT119" s="598"/>
      <c r="AU119" s="597" t="s">
        <v>1384</v>
      </c>
    </row>
    <row r="120" spans="1:47" x14ac:dyDescent="0.35">
      <c r="A120" s="1">
        <v>44</v>
      </c>
      <c r="B120" s="595">
        <v>45422</v>
      </c>
      <c r="C120" s="1" t="s">
        <v>707</v>
      </c>
      <c r="D120" s="1" t="s">
        <v>235</v>
      </c>
      <c r="E120" s="148"/>
      <c r="F120" s="1">
        <v>1178</v>
      </c>
      <c r="G120" s="1"/>
      <c r="H120" s="6" t="s">
        <v>1092</v>
      </c>
      <c r="I120" s="107">
        <v>18</v>
      </c>
      <c r="J120" s="115"/>
      <c r="K120" s="115"/>
      <c r="L120" s="115">
        <v>5541</v>
      </c>
      <c r="M120" s="115">
        <v>6011</v>
      </c>
      <c r="N120" s="596"/>
      <c r="P120" s="6">
        <v>0</v>
      </c>
      <c r="R120" s="6" t="s">
        <v>1083</v>
      </c>
      <c r="S120" s="6"/>
      <c r="T120" s="1" t="s">
        <v>1118</v>
      </c>
      <c r="U120" s="595">
        <v>45373</v>
      </c>
      <c r="V120" s="595" t="s">
        <v>1084</v>
      </c>
      <c r="X120" s="595"/>
      <c r="Y120" s="1" t="b">
        <v>1</v>
      </c>
      <c r="Z120" s="6">
        <v>0</v>
      </c>
      <c r="AA120" s="6">
        <v>118780.74</v>
      </c>
      <c r="AB120" s="6">
        <v>0</v>
      </c>
      <c r="AC120" s="107">
        <v>0</v>
      </c>
      <c r="AD120" s="6">
        <v>0</v>
      </c>
      <c r="AE120" s="107"/>
      <c r="AH120" s="597"/>
      <c r="AI120" s="605"/>
      <c r="AJ120" s="6" t="s">
        <v>671</v>
      </c>
      <c r="AK120" s="6" t="b">
        <v>1</v>
      </c>
      <c r="AM120" s="6"/>
      <c r="AN120" s="6"/>
      <c r="AO120" s="6"/>
      <c r="AP120" s="595"/>
      <c r="AQ120" s="598"/>
      <c r="AR120" s="598"/>
      <c r="AS120" s="598"/>
      <c r="AT120" s="598"/>
      <c r="AU120" s="597" t="s">
        <v>1384</v>
      </c>
    </row>
    <row r="121" spans="1:47" x14ac:dyDescent="0.35">
      <c r="A121" s="1">
        <v>3</v>
      </c>
      <c r="B121" s="595">
        <v>45300</v>
      </c>
      <c r="C121" s="1" t="s">
        <v>333</v>
      </c>
      <c r="D121" s="1" t="s">
        <v>235</v>
      </c>
      <c r="E121" s="148"/>
      <c r="F121" s="1">
        <v>184</v>
      </c>
      <c r="G121" s="1" t="s">
        <v>327</v>
      </c>
      <c r="H121" s="6" t="s">
        <v>1094</v>
      </c>
      <c r="I121" s="107"/>
      <c r="J121" s="115"/>
      <c r="K121" s="115"/>
      <c r="L121" s="115">
        <v>1674</v>
      </c>
      <c r="M121" s="115">
        <v>1746</v>
      </c>
      <c r="N121" s="596">
        <v>3.1345875000000003</v>
      </c>
      <c r="P121" s="6">
        <v>0</v>
      </c>
      <c r="R121" s="6" t="s">
        <v>1102</v>
      </c>
      <c r="S121" s="6"/>
      <c r="T121" s="1" t="s">
        <v>1118</v>
      </c>
      <c r="U121" s="595">
        <v>45300</v>
      </c>
      <c r="V121" s="595" t="s">
        <v>660</v>
      </c>
      <c r="W121" s="1" t="s">
        <v>233</v>
      </c>
      <c r="X121" s="595"/>
      <c r="Y121" s="1" t="b">
        <v>1</v>
      </c>
      <c r="Z121" s="6">
        <v>50457.599999999999</v>
      </c>
      <c r="AA121" s="6">
        <v>53721.599999999999</v>
      </c>
      <c r="AB121" s="6">
        <v>3264</v>
      </c>
      <c r="AC121" s="107">
        <v>0</v>
      </c>
      <c r="AD121" s="6">
        <v>0</v>
      </c>
      <c r="AE121" s="107"/>
      <c r="AG121" s="1" t="s">
        <v>1082</v>
      </c>
      <c r="AH121" s="597"/>
      <c r="AI121" s="605"/>
      <c r="AJ121" s="6" t="s">
        <v>671</v>
      </c>
      <c r="AK121" s="6" t="b">
        <v>1</v>
      </c>
      <c r="AM121" s="6"/>
      <c r="AN121" s="6"/>
      <c r="AO121" s="6"/>
      <c r="AP121" s="595"/>
      <c r="AQ121" s="598"/>
      <c r="AR121" s="598"/>
      <c r="AS121" s="598"/>
      <c r="AT121" s="598"/>
      <c r="AU121" s="597" t="s">
        <v>1384</v>
      </c>
    </row>
    <row r="122" spans="1:47" x14ac:dyDescent="0.35">
      <c r="A122" s="1">
        <v>28</v>
      </c>
      <c r="B122" s="595">
        <v>45376</v>
      </c>
      <c r="C122" s="1" t="s">
        <v>707</v>
      </c>
      <c r="D122" s="1" t="s">
        <v>235</v>
      </c>
      <c r="E122" s="148"/>
      <c r="F122" s="1">
        <v>342</v>
      </c>
      <c r="G122" s="1"/>
      <c r="H122" s="6" t="s">
        <v>1094</v>
      </c>
      <c r="I122" s="107">
        <v>8</v>
      </c>
      <c r="J122" s="115"/>
      <c r="K122" s="115"/>
      <c r="L122" s="115">
        <v>3191</v>
      </c>
      <c r="M122" s="115">
        <v>3336</v>
      </c>
      <c r="N122" s="596"/>
      <c r="P122" s="6">
        <v>0</v>
      </c>
      <c r="R122" s="6" t="s">
        <v>1083</v>
      </c>
      <c r="S122" s="6"/>
      <c r="T122" s="1" t="s">
        <v>1100</v>
      </c>
      <c r="U122" s="595">
        <v>45373</v>
      </c>
      <c r="V122" s="595" t="s">
        <v>1084</v>
      </c>
      <c r="X122" s="595"/>
      <c r="Y122" s="1" t="b">
        <v>1</v>
      </c>
      <c r="Z122" s="6">
        <v>0</v>
      </c>
      <c r="AA122" s="6">
        <v>60404.32</v>
      </c>
      <c r="AB122" s="6">
        <v>0</v>
      </c>
      <c r="AC122" s="107">
        <v>0</v>
      </c>
      <c r="AD122" s="6">
        <v>0</v>
      </c>
      <c r="AE122" s="107"/>
      <c r="AH122" s="597"/>
      <c r="AI122" s="605"/>
      <c r="AJ122" s="6" t="s">
        <v>671</v>
      </c>
      <c r="AK122" s="6" t="b">
        <v>1</v>
      </c>
      <c r="AM122" s="6"/>
      <c r="AN122" s="6"/>
      <c r="AO122" s="6"/>
      <c r="AP122" s="595"/>
      <c r="AQ122" s="598"/>
      <c r="AR122" s="598"/>
      <c r="AS122" s="598"/>
      <c r="AT122" s="598"/>
      <c r="AU122" s="597" t="s">
        <v>1384</v>
      </c>
    </row>
    <row r="123" spans="1:47" x14ac:dyDescent="0.35">
      <c r="A123" s="1">
        <v>2</v>
      </c>
      <c r="B123" s="595">
        <v>45299</v>
      </c>
      <c r="C123" s="1" t="s">
        <v>225</v>
      </c>
      <c r="D123" s="1" t="s">
        <v>235</v>
      </c>
      <c r="E123" s="148"/>
      <c r="F123" s="1">
        <v>280</v>
      </c>
      <c r="G123" s="1" t="s">
        <v>234</v>
      </c>
      <c r="H123" s="6" t="s">
        <v>1092</v>
      </c>
      <c r="I123" s="107"/>
      <c r="J123" s="115"/>
      <c r="K123" s="115"/>
      <c r="L123" s="115">
        <v>2542</v>
      </c>
      <c r="M123" s="115">
        <v>2651</v>
      </c>
      <c r="N123" s="596">
        <v>4.7599291666666668</v>
      </c>
      <c r="P123" s="6">
        <v>0</v>
      </c>
      <c r="R123" s="6" t="s">
        <v>1102</v>
      </c>
      <c r="S123" s="6"/>
      <c r="T123" s="1" t="s">
        <v>1251</v>
      </c>
      <c r="U123" s="595">
        <v>45299</v>
      </c>
      <c r="V123" s="595" t="s">
        <v>660</v>
      </c>
      <c r="W123" s="1" t="s">
        <v>233</v>
      </c>
      <c r="X123" s="595"/>
      <c r="Y123" s="1" t="b">
        <v>1</v>
      </c>
      <c r="Z123" s="6">
        <v>76620.800000000003</v>
      </c>
      <c r="AA123" s="6">
        <v>83692.800000000003</v>
      </c>
      <c r="AB123" s="6">
        <v>7072</v>
      </c>
      <c r="AC123" s="107">
        <v>0</v>
      </c>
      <c r="AD123" s="6">
        <v>0</v>
      </c>
      <c r="AE123" s="107"/>
      <c r="AG123" s="1" t="s">
        <v>1082</v>
      </c>
      <c r="AH123" s="597"/>
      <c r="AI123" s="605"/>
      <c r="AJ123" s="6" t="s">
        <v>671</v>
      </c>
      <c r="AK123" s="6" t="b">
        <v>1</v>
      </c>
      <c r="AM123" s="6"/>
      <c r="AN123" s="6"/>
      <c r="AO123" s="6"/>
      <c r="AP123" s="595"/>
      <c r="AQ123" s="598"/>
      <c r="AR123" s="598"/>
      <c r="AS123" s="598"/>
      <c r="AT123" s="598"/>
      <c r="AU123" s="597" t="s">
        <v>1384</v>
      </c>
    </row>
    <row r="124" spans="1:47" x14ac:dyDescent="0.35">
      <c r="A124" s="1">
        <v>87</v>
      </c>
      <c r="B124" s="595">
        <v>44937</v>
      </c>
      <c r="C124" s="1" t="s">
        <v>692</v>
      </c>
      <c r="D124" s="1" t="s">
        <v>235</v>
      </c>
      <c r="E124" s="148"/>
      <c r="F124" s="1">
        <v>149</v>
      </c>
      <c r="G124" s="1" t="s">
        <v>696</v>
      </c>
      <c r="H124" s="6"/>
      <c r="I124" s="107"/>
      <c r="J124" s="115"/>
      <c r="K124" s="115"/>
      <c r="L124" s="115">
        <v>1400.54</v>
      </c>
      <c r="M124" s="115">
        <v>1462.3166666666668</v>
      </c>
      <c r="N124" s="596">
        <v>2.5655620833333335</v>
      </c>
      <c r="R124" s="6" t="s">
        <v>1102</v>
      </c>
      <c r="S124" s="6" t="s">
        <v>695</v>
      </c>
      <c r="T124" s="1" t="s">
        <v>1119</v>
      </c>
      <c r="U124" s="595">
        <v>44937</v>
      </c>
      <c r="V124" s="595" t="s">
        <v>660</v>
      </c>
      <c r="W124" s="1" t="s">
        <v>919</v>
      </c>
      <c r="X124" s="595"/>
      <c r="Y124" s="1" t="b">
        <v>1</v>
      </c>
      <c r="Z124" s="6">
        <v>36394.879999999997</v>
      </c>
      <c r="AA124" s="6">
        <v>35975</v>
      </c>
      <c r="AB124" s="6">
        <v>-419.87999999999738</v>
      </c>
      <c r="AC124" s="107"/>
      <c r="AE124" s="107"/>
      <c r="AG124" s="1" t="s">
        <v>1082</v>
      </c>
      <c r="AH124" s="597"/>
      <c r="AI124" s="605"/>
      <c r="AJ124" s="6" t="s">
        <v>671</v>
      </c>
      <c r="AK124" s="6" t="b">
        <v>1</v>
      </c>
      <c r="AM124" s="6"/>
      <c r="AN124" s="6"/>
      <c r="AO124" s="6"/>
      <c r="AP124" s="595"/>
      <c r="AQ124" s="598" t="s">
        <v>693</v>
      </c>
      <c r="AR124" s="598" t="s">
        <v>694</v>
      </c>
      <c r="AS124" s="598" t="s">
        <v>303</v>
      </c>
      <c r="AT124" s="598"/>
      <c r="AU124" s="597" t="s">
        <v>1384</v>
      </c>
    </row>
    <row r="125" spans="1:47" ht="33.5" x14ac:dyDescent="0.35">
      <c r="A125" s="1">
        <v>136</v>
      </c>
      <c r="B125" s="595">
        <v>45588</v>
      </c>
      <c r="C125" s="1" t="s">
        <v>314</v>
      </c>
      <c r="D125" s="1" t="s">
        <v>235</v>
      </c>
      <c r="E125" s="148"/>
      <c r="F125" s="1">
        <v>70</v>
      </c>
      <c r="G125" s="1" t="s">
        <v>615</v>
      </c>
      <c r="H125" s="6"/>
      <c r="I125" s="107"/>
      <c r="J125" s="115"/>
      <c r="K125" s="115" t="s">
        <v>1380</v>
      </c>
      <c r="L125" s="115">
        <v>736.28000000000009</v>
      </c>
      <c r="M125" s="115">
        <v>768.89999999999986</v>
      </c>
      <c r="N125" s="618">
        <v>1.3484647916666666</v>
      </c>
      <c r="R125" s="6" t="s">
        <v>882</v>
      </c>
      <c r="S125" s="6" t="s">
        <v>842</v>
      </c>
      <c r="T125" s="1"/>
      <c r="U125" s="595"/>
      <c r="V125" s="595" t="s">
        <v>660</v>
      </c>
      <c r="W125" s="1" t="s">
        <v>920</v>
      </c>
      <c r="X125" s="595"/>
      <c r="Y125" s="1" t="b">
        <v>0</v>
      </c>
      <c r="Z125" s="6">
        <v>19388.8</v>
      </c>
      <c r="AA125" s="6">
        <v>20750</v>
      </c>
      <c r="AB125" s="6">
        <v>1361.2000000000007</v>
      </c>
      <c r="AC125" s="107"/>
      <c r="AE125" s="107"/>
      <c r="AG125" s="1" t="b">
        <v>0</v>
      </c>
      <c r="AH125" s="619"/>
      <c r="AI125" s="621" t="s">
        <v>1411</v>
      </c>
      <c r="AJ125" s="6" t="s">
        <v>671</v>
      </c>
      <c r="AK125" s="6" t="b">
        <v>1</v>
      </c>
      <c r="AM125" s="6"/>
      <c r="AN125" s="6"/>
      <c r="AO125" s="6"/>
      <c r="AP125" s="595"/>
      <c r="AQ125" s="620" t="s">
        <v>316</v>
      </c>
      <c r="AR125" s="620" t="s">
        <v>669</v>
      </c>
      <c r="AS125" s="620" t="s">
        <v>670</v>
      </c>
      <c r="AT125" s="620" t="s">
        <v>319</v>
      </c>
      <c r="AU125" s="619"/>
    </row>
    <row r="126" spans="1:47" x14ac:dyDescent="0.35">
      <c r="A126" s="1">
        <v>70</v>
      </c>
      <c r="B126" s="595" t="s">
        <v>1164</v>
      </c>
      <c r="C126" s="1" t="s">
        <v>707</v>
      </c>
      <c r="D126" s="1" t="s">
        <v>235</v>
      </c>
      <c r="E126" s="148"/>
      <c r="F126" s="1">
        <v>7036</v>
      </c>
      <c r="G126" s="1"/>
      <c r="H126" s="6" t="s">
        <v>1094</v>
      </c>
      <c r="I126" s="107" t="s">
        <v>1124</v>
      </c>
      <c r="J126" s="115"/>
      <c r="K126" s="115"/>
      <c r="L126" s="115">
        <v>30957</v>
      </c>
      <c r="M126" s="115">
        <v>33771</v>
      </c>
      <c r="N126" s="596">
        <v>0</v>
      </c>
      <c r="O126" s="1" t="s">
        <v>1093</v>
      </c>
      <c r="R126" s="6" t="s">
        <v>1083</v>
      </c>
      <c r="S126" s="6"/>
      <c r="T126" s="1"/>
      <c r="U126" s="595"/>
      <c r="V126" s="595" t="s">
        <v>1084</v>
      </c>
      <c r="X126" s="595"/>
      <c r="Y126" s="1" t="b">
        <v>0</v>
      </c>
      <c r="Z126" s="6">
        <v>0</v>
      </c>
      <c r="AA126" s="6">
        <v>0</v>
      </c>
      <c r="AB126" s="6">
        <v>0</v>
      </c>
      <c r="AC126" s="107"/>
      <c r="AE126" s="107"/>
      <c r="AH126" s="597"/>
      <c r="AI126" s="605" t="s">
        <v>1165</v>
      </c>
      <c r="AJ126" s="6" t="s">
        <v>671</v>
      </c>
      <c r="AK126" s="6" t="b">
        <v>1</v>
      </c>
      <c r="AM126" s="6"/>
      <c r="AN126" s="6"/>
      <c r="AO126" s="6"/>
      <c r="AP126" s="595" t="s">
        <v>1166</v>
      </c>
      <c r="AQ126" s="598"/>
      <c r="AR126" s="598"/>
      <c r="AS126" s="598"/>
      <c r="AT126" s="598"/>
      <c r="AU126" s="597" t="s">
        <v>1384</v>
      </c>
    </row>
    <row r="127" spans="1:47" x14ac:dyDescent="0.35">
      <c r="A127" s="1">
        <v>15</v>
      </c>
      <c r="B127" s="595">
        <v>45358</v>
      </c>
      <c r="C127" s="1" t="s">
        <v>708</v>
      </c>
      <c r="D127" s="1" t="s">
        <v>607</v>
      </c>
      <c r="E127" s="148"/>
      <c r="F127" s="1">
        <v>1</v>
      </c>
      <c r="G127" s="1"/>
      <c r="H127" s="6" t="s">
        <v>1092</v>
      </c>
      <c r="I127" s="107">
        <v>2</v>
      </c>
      <c r="J127" s="115"/>
      <c r="K127" s="115"/>
      <c r="L127" s="115">
        <v>592</v>
      </c>
      <c r="M127" s="115">
        <v>619</v>
      </c>
      <c r="N127" s="596"/>
      <c r="P127" s="6">
        <v>0</v>
      </c>
      <c r="R127" s="6" t="s">
        <v>1112</v>
      </c>
      <c r="S127" s="6"/>
      <c r="T127" s="1"/>
      <c r="U127" s="595">
        <v>0</v>
      </c>
      <c r="V127" s="595" t="s">
        <v>660</v>
      </c>
      <c r="X127" s="595"/>
      <c r="Y127" s="1" t="b">
        <v>0</v>
      </c>
      <c r="Z127" s="6">
        <v>17520</v>
      </c>
      <c r="AA127" s="6">
        <v>20250</v>
      </c>
      <c r="AB127" s="6">
        <v>2730</v>
      </c>
      <c r="AC127" s="107">
        <v>0</v>
      </c>
      <c r="AD127" s="6">
        <v>0</v>
      </c>
      <c r="AE127" s="107"/>
      <c r="AG127" s="1" t="b">
        <v>0</v>
      </c>
      <c r="AH127" s="597"/>
      <c r="AI127" s="605" t="s">
        <v>1140</v>
      </c>
      <c r="AJ127" s="6" t="s">
        <v>671</v>
      </c>
      <c r="AK127" s="6" t="b">
        <v>1</v>
      </c>
      <c r="AM127" s="6"/>
      <c r="AN127" s="6"/>
      <c r="AO127" s="6"/>
      <c r="AP127" s="595">
        <v>0</v>
      </c>
      <c r="AQ127" s="598"/>
      <c r="AR127" s="598"/>
      <c r="AS127" s="598"/>
      <c r="AT127" s="598"/>
      <c r="AU127" s="597" t="s">
        <v>1384</v>
      </c>
    </row>
    <row r="128" spans="1:47" x14ac:dyDescent="0.35">
      <c r="A128" s="1">
        <v>14</v>
      </c>
      <c r="B128" s="595">
        <v>45358</v>
      </c>
      <c r="C128" s="1" t="s">
        <v>708</v>
      </c>
      <c r="D128" s="1" t="s">
        <v>607</v>
      </c>
      <c r="E128" s="148"/>
      <c r="F128" s="1">
        <v>150</v>
      </c>
      <c r="G128" s="1"/>
      <c r="H128" s="6" t="s">
        <v>1092</v>
      </c>
      <c r="I128" s="107">
        <v>7</v>
      </c>
      <c r="J128" s="115"/>
      <c r="K128" s="115"/>
      <c r="L128" s="115">
        <v>592</v>
      </c>
      <c r="M128" s="115">
        <v>619</v>
      </c>
      <c r="N128" s="596"/>
      <c r="P128" s="6">
        <v>0</v>
      </c>
      <c r="R128" s="6" t="s">
        <v>1112</v>
      </c>
      <c r="S128" s="6"/>
      <c r="T128" s="1"/>
      <c r="U128" s="595">
        <v>0</v>
      </c>
      <c r="V128" s="595" t="s">
        <v>660</v>
      </c>
      <c r="X128" s="595"/>
      <c r="Y128" s="1" t="b">
        <v>0</v>
      </c>
      <c r="Z128" s="6">
        <v>17520</v>
      </c>
      <c r="AA128" s="6">
        <v>20250</v>
      </c>
      <c r="AB128" s="6">
        <v>2730</v>
      </c>
      <c r="AC128" s="107">
        <v>0</v>
      </c>
      <c r="AD128" s="6">
        <v>0</v>
      </c>
      <c r="AE128" s="107"/>
      <c r="AG128" s="1" t="b">
        <v>0</v>
      </c>
      <c r="AH128" s="597"/>
      <c r="AI128" s="605" t="s">
        <v>1141</v>
      </c>
      <c r="AJ128" s="6" t="s">
        <v>671</v>
      </c>
      <c r="AK128" s="6" t="b">
        <v>1</v>
      </c>
      <c r="AM128" s="6"/>
      <c r="AN128" s="6"/>
      <c r="AO128" s="6"/>
      <c r="AP128" s="595">
        <v>0</v>
      </c>
      <c r="AQ128" s="598"/>
      <c r="AR128" s="598"/>
      <c r="AS128" s="598"/>
      <c r="AT128" s="598"/>
      <c r="AU128" s="597" t="s">
        <v>1384</v>
      </c>
    </row>
  </sheetData>
  <dataConsolidate/>
  <phoneticPr fontId="5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AA1520"/>
  <sheetViews>
    <sheetView zoomScaleNormal="100" workbookViewId="0">
      <pane ySplit="1" topLeftCell="A2" activePane="bottomLeft" state="frozen"/>
      <selection activeCell="B1258" sqref="B1258:V1305"/>
      <selection pane="bottomLeft" activeCell="B1516" sqref="B1516:V1520"/>
    </sheetView>
  </sheetViews>
  <sheetFormatPr defaultRowHeight="14.5" x14ac:dyDescent="0.35"/>
  <cols>
    <col min="1" max="1" width="11.54296875" style="2" customWidth="1"/>
    <col min="2" max="2" width="11.54296875" style="109" customWidth="1"/>
    <col min="3" max="3" width="57.1796875" style="110" bestFit="1" customWidth="1"/>
    <col min="4" max="4" width="11.54296875" style="248" customWidth="1"/>
    <col min="5" max="5" width="10.453125" customWidth="1"/>
    <col min="6" max="6" width="11.54296875" style="2" customWidth="1"/>
    <col min="7" max="7" width="11.54296875" style="51" customWidth="1"/>
    <col min="8" max="8" width="14.7265625" style="105" customWidth="1"/>
    <col min="9" max="10" width="14.7265625" style="2" customWidth="1"/>
    <col min="11" max="11" width="11.54296875" style="2" customWidth="1"/>
    <col min="12" max="12" width="11.54296875" style="106" customWidth="1"/>
    <col min="13" max="13" width="14.54296875" style="115" customWidth="1"/>
    <col min="14" max="14" width="14.54296875" style="245" customWidth="1"/>
    <col min="15" max="15" width="14.54296875" style="107" customWidth="1"/>
    <col min="16" max="18" width="14.54296875" style="101" customWidth="1"/>
    <col min="19" max="19" width="19.54296875" style="101" bestFit="1" customWidth="1"/>
    <col min="20" max="20" width="13.1796875" style="399" bestFit="1" customWidth="1"/>
    <col min="21" max="21" width="12.54296875" style="61" bestFit="1" customWidth="1"/>
    <col min="22" max="22" width="12.1796875" style="61" customWidth="1"/>
    <col min="23" max="23" width="15.453125" bestFit="1" customWidth="1"/>
  </cols>
  <sheetData>
    <row r="1" spans="1:27" s="59" customFormat="1" ht="42" customHeight="1" x14ac:dyDescent="0.35">
      <c r="A1" s="104" t="s">
        <v>350</v>
      </c>
      <c r="B1" s="108" t="s">
        <v>0</v>
      </c>
      <c r="C1" s="108" t="s">
        <v>5</v>
      </c>
      <c r="D1" s="247" t="s">
        <v>351</v>
      </c>
      <c r="E1" s="62" t="s">
        <v>876</v>
      </c>
      <c r="F1" s="104" t="s">
        <v>352</v>
      </c>
      <c r="G1" s="62" t="s">
        <v>353</v>
      </c>
      <c r="H1" s="104" t="s">
        <v>354</v>
      </c>
      <c r="I1" s="104" t="s">
        <v>553</v>
      </c>
      <c r="J1" s="104" t="s">
        <v>869</v>
      </c>
      <c r="K1" s="104" t="s">
        <v>554</v>
      </c>
      <c r="L1" s="103" t="s">
        <v>13</v>
      </c>
      <c r="M1" s="103" t="s">
        <v>14</v>
      </c>
      <c r="N1" s="243" t="s">
        <v>16</v>
      </c>
      <c r="O1" s="104" t="s">
        <v>1</v>
      </c>
      <c r="P1" s="104" t="s">
        <v>349</v>
      </c>
      <c r="Q1" s="104" t="s">
        <v>4</v>
      </c>
      <c r="R1" s="104" t="s">
        <v>1059</v>
      </c>
      <c r="S1" s="104" t="s">
        <v>1002</v>
      </c>
      <c r="T1" s="397" t="s">
        <v>355</v>
      </c>
      <c r="U1" s="62" t="s">
        <v>877</v>
      </c>
      <c r="V1" s="62" t="s">
        <v>878</v>
      </c>
      <c r="W1" s="60" t="s">
        <v>667</v>
      </c>
      <c r="AA1" s="60">
        <f>SUBTOTAL(3,A:A)-1</f>
        <v>1511</v>
      </c>
    </row>
    <row r="2" spans="1:27" x14ac:dyDescent="0.35">
      <c r="A2" s="2">
        <v>2</v>
      </c>
      <c r="B2" s="109" t="s">
        <v>107</v>
      </c>
      <c r="C2" s="110" t="s">
        <v>109</v>
      </c>
      <c r="D2" s="2">
        <v>720</v>
      </c>
      <c r="E2" s="51">
        <v>14.53</v>
      </c>
      <c r="F2" s="105"/>
      <c r="H2" s="2">
        <v>100</v>
      </c>
      <c r="I2" s="2">
        <v>30</v>
      </c>
      <c r="J2" s="2">
        <v>0</v>
      </c>
      <c r="K2" s="2">
        <v>5</v>
      </c>
      <c r="L2" s="2">
        <v>323.89999999999998</v>
      </c>
      <c r="M2" s="2">
        <v>338.25</v>
      </c>
      <c r="N2" s="244">
        <v>0.59099791666666668</v>
      </c>
      <c r="O2" s="2" t="s">
        <v>108</v>
      </c>
      <c r="P2" s="2">
        <v>100</v>
      </c>
      <c r="Q2" s="2" t="s">
        <v>55</v>
      </c>
      <c r="R2" s="2" t="s">
        <v>107</v>
      </c>
      <c r="S2" s="2"/>
      <c r="T2" s="2">
        <v>11.68</v>
      </c>
      <c r="U2" s="398">
        <v>9577.6</v>
      </c>
      <c r="V2" s="7">
        <v>10461.6</v>
      </c>
      <c r="W2" s="7" t="s">
        <v>660</v>
      </c>
    </row>
    <row r="3" spans="1:27" x14ac:dyDescent="0.35">
      <c r="A3" s="2">
        <v>2</v>
      </c>
      <c r="B3" s="109" t="s">
        <v>110</v>
      </c>
      <c r="C3" s="110" t="s">
        <v>111</v>
      </c>
      <c r="D3" s="2">
        <v>720</v>
      </c>
      <c r="E3" s="51">
        <v>14.53</v>
      </c>
      <c r="F3" s="105"/>
      <c r="H3" s="2">
        <v>100</v>
      </c>
      <c r="I3" s="2">
        <v>30</v>
      </c>
      <c r="J3" s="2">
        <v>0</v>
      </c>
      <c r="K3" s="2">
        <v>5</v>
      </c>
      <c r="L3" s="2">
        <v>323.89999999999998</v>
      </c>
      <c r="M3" s="2">
        <v>338.25</v>
      </c>
      <c r="N3" s="244">
        <v>0.59099791666666668</v>
      </c>
      <c r="O3" s="2" t="s">
        <v>108</v>
      </c>
      <c r="P3" s="2">
        <v>100</v>
      </c>
      <c r="Q3" s="2" t="s">
        <v>55</v>
      </c>
      <c r="R3" s="2" t="s">
        <v>110</v>
      </c>
      <c r="S3" s="2"/>
      <c r="T3" s="2">
        <v>11.68</v>
      </c>
      <c r="U3" s="398">
        <v>9577.6</v>
      </c>
      <c r="V3" s="7">
        <v>10461.6</v>
      </c>
      <c r="W3" s="7" t="s">
        <v>660</v>
      </c>
    </row>
    <row r="4" spans="1:27" x14ac:dyDescent="0.35">
      <c r="A4" s="2">
        <v>2</v>
      </c>
      <c r="B4" s="109" t="s">
        <v>112</v>
      </c>
      <c r="C4" s="110" t="s">
        <v>648</v>
      </c>
      <c r="D4" s="2">
        <v>720</v>
      </c>
      <c r="E4" s="51">
        <v>14.53</v>
      </c>
      <c r="F4" s="105"/>
      <c r="H4" s="2">
        <v>100</v>
      </c>
      <c r="I4" s="2">
        <v>30</v>
      </c>
      <c r="J4" s="2">
        <v>0</v>
      </c>
      <c r="K4" s="2">
        <v>5</v>
      </c>
      <c r="L4" s="2">
        <v>323.89999999999998</v>
      </c>
      <c r="M4" s="2">
        <v>338.25</v>
      </c>
      <c r="N4" s="244">
        <v>0.59099791666666668</v>
      </c>
      <c r="O4" s="2" t="s">
        <v>108</v>
      </c>
      <c r="P4" s="2">
        <v>100</v>
      </c>
      <c r="Q4" s="2" t="s">
        <v>55</v>
      </c>
      <c r="R4" s="2" t="s">
        <v>112</v>
      </c>
      <c r="S4" s="2"/>
      <c r="T4" s="2">
        <v>11.68</v>
      </c>
      <c r="U4" s="398">
        <v>9577.6</v>
      </c>
      <c r="V4" s="7">
        <v>10461.6</v>
      </c>
      <c r="W4" s="7" t="s">
        <v>660</v>
      </c>
    </row>
    <row r="5" spans="1:27" x14ac:dyDescent="0.35">
      <c r="A5" s="2">
        <v>2</v>
      </c>
      <c r="B5" s="109" t="s">
        <v>114</v>
      </c>
      <c r="C5" s="110" t="s">
        <v>115</v>
      </c>
      <c r="D5" s="2">
        <v>720</v>
      </c>
      <c r="E5" s="51">
        <v>14.53</v>
      </c>
      <c r="F5" s="105"/>
      <c r="H5" s="2">
        <v>100</v>
      </c>
      <c r="I5" s="2">
        <v>30</v>
      </c>
      <c r="J5" s="2">
        <v>0</v>
      </c>
      <c r="K5" s="2">
        <v>5</v>
      </c>
      <c r="L5" s="2">
        <v>323.89999999999998</v>
      </c>
      <c r="M5" s="2">
        <v>338.25</v>
      </c>
      <c r="N5" s="244">
        <v>0.59099791666666668</v>
      </c>
      <c r="O5" s="2" t="s">
        <v>108</v>
      </c>
      <c r="P5" s="2">
        <v>100</v>
      </c>
      <c r="Q5" s="2" t="s">
        <v>55</v>
      </c>
      <c r="R5" s="2" t="s">
        <v>114</v>
      </c>
      <c r="S5" s="2"/>
      <c r="T5" s="2">
        <v>11.68</v>
      </c>
      <c r="U5" s="398">
        <v>9577.6</v>
      </c>
      <c r="V5" s="7">
        <v>10461.6</v>
      </c>
      <c r="W5" s="7" t="s">
        <v>660</v>
      </c>
    </row>
    <row r="6" spans="1:27" x14ac:dyDescent="0.35">
      <c r="A6" s="2">
        <v>2</v>
      </c>
      <c r="B6" s="109" t="s">
        <v>116</v>
      </c>
      <c r="C6" s="110" t="s">
        <v>117</v>
      </c>
      <c r="D6" s="2">
        <v>720</v>
      </c>
      <c r="E6" s="51">
        <v>14.53</v>
      </c>
      <c r="F6" s="105"/>
      <c r="H6" s="2">
        <v>100</v>
      </c>
      <c r="I6" s="2">
        <v>30</v>
      </c>
      <c r="J6" s="2">
        <v>0</v>
      </c>
      <c r="K6" s="2">
        <v>5</v>
      </c>
      <c r="L6" s="2">
        <v>311.59999999999997</v>
      </c>
      <c r="M6" s="2">
        <v>324.58333333333331</v>
      </c>
      <c r="N6" s="244">
        <v>0.59898437500000001</v>
      </c>
      <c r="O6" s="2" t="s">
        <v>108</v>
      </c>
      <c r="P6" s="2">
        <v>100</v>
      </c>
      <c r="Q6" s="2" t="s">
        <v>55</v>
      </c>
      <c r="R6" s="2" t="s">
        <v>116</v>
      </c>
      <c r="S6" s="2"/>
      <c r="T6" s="2">
        <v>11.68</v>
      </c>
      <c r="U6" s="398">
        <v>9577.6</v>
      </c>
      <c r="V6" s="7">
        <v>10461.6</v>
      </c>
      <c r="W6" s="7" t="s">
        <v>660</v>
      </c>
    </row>
    <row r="7" spans="1:27" x14ac:dyDescent="0.35">
      <c r="A7" s="2">
        <v>2</v>
      </c>
      <c r="B7" s="109" t="s">
        <v>118</v>
      </c>
      <c r="C7" s="110" t="s">
        <v>119</v>
      </c>
      <c r="D7" s="2">
        <v>720</v>
      </c>
      <c r="E7" s="51">
        <v>14.53</v>
      </c>
      <c r="F7" s="105"/>
      <c r="H7" s="2">
        <v>100</v>
      </c>
      <c r="I7" s="2">
        <v>30</v>
      </c>
      <c r="J7" s="2">
        <v>0</v>
      </c>
      <c r="K7" s="2">
        <v>5</v>
      </c>
      <c r="L7" s="2">
        <v>311.59999999999997</v>
      </c>
      <c r="M7" s="2">
        <v>324.58333333333331</v>
      </c>
      <c r="N7" s="244">
        <v>0.59898437500000001</v>
      </c>
      <c r="O7" s="2" t="s">
        <v>108</v>
      </c>
      <c r="P7" s="2">
        <v>100</v>
      </c>
      <c r="Q7" s="2" t="s">
        <v>55</v>
      </c>
      <c r="R7" s="2" t="s">
        <v>118</v>
      </c>
      <c r="S7" s="2"/>
      <c r="T7" s="2">
        <v>11.68</v>
      </c>
      <c r="U7" s="398">
        <v>9577.6</v>
      </c>
      <c r="V7" s="7">
        <v>10461.6</v>
      </c>
      <c r="W7" s="7" t="s">
        <v>660</v>
      </c>
    </row>
    <row r="8" spans="1:27" x14ac:dyDescent="0.35">
      <c r="A8" s="2">
        <v>2</v>
      </c>
      <c r="B8" s="109" t="s">
        <v>120</v>
      </c>
      <c r="C8" s="110" t="s">
        <v>121</v>
      </c>
      <c r="D8" s="2">
        <v>720</v>
      </c>
      <c r="E8" s="51">
        <v>14.53</v>
      </c>
      <c r="F8" s="105"/>
      <c r="H8" s="2">
        <v>100</v>
      </c>
      <c r="I8" s="2">
        <v>30</v>
      </c>
      <c r="J8" s="2">
        <v>0</v>
      </c>
      <c r="K8" s="2">
        <v>5</v>
      </c>
      <c r="L8" s="2">
        <v>311.59999999999997</v>
      </c>
      <c r="M8" s="2">
        <v>324.58333333333331</v>
      </c>
      <c r="N8" s="244">
        <v>0.59898437500000001</v>
      </c>
      <c r="O8" s="2" t="s">
        <v>108</v>
      </c>
      <c r="P8" s="2">
        <v>100</v>
      </c>
      <c r="Q8" s="2" t="s">
        <v>55</v>
      </c>
      <c r="R8" s="2" t="s">
        <v>120</v>
      </c>
      <c r="S8" s="2"/>
      <c r="T8" s="2">
        <v>11.68</v>
      </c>
      <c r="U8" s="398">
        <v>9577.6</v>
      </c>
      <c r="V8" s="7">
        <v>10461.6</v>
      </c>
      <c r="W8" s="7" t="s">
        <v>660</v>
      </c>
    </row>
    <row r="9" spans="1:27" x14ac:dyDescent="0.35">
      <c r="A9" s="2">
        <v>2</v>
      </c>
      <c r="B9" s="109" t="s">
        <v>122</v>
      </c>
      <c r="C9" s="110" t="s">
        <v>123</v>
      </c>
      <c r="D9" s="2">
        <v>720</v>
      </c>
      <c r="E9" s="51">
        <v>14.53</v>
      </c>
      <c r="F9" s="105"/>
      <c r="H9" s="2">
        <v>100</v>
      </c>
      <c r="I9" s="2">
        <v>30</v>
      </c>
      <c r="J9" s="2">
        <v>0</v>
      </c>
      <c r="K9" s="2">
        <v>5</v>
      </c>
      <c r="L9" s="2">
        <v>311.59999999999997</v>
      </c>
      <c r="M9" s="2">
        <v>324.58333333333331</v>
      </c>
      <c r="N9" s="244">
        <v>0.59898437500000001</v>
      </c>
      <c r="O9" s="2" t="s">
        <v>108</v>
      </c>
      <c r="P9" s="2">
        <v>100</v>
      </c>
      <c r="Q9" s="2" t="s">
        <v>55</v>
      </c>
      <c r="R9" s="2" t="s">
        <v>122</v>
      </c>
      <c r="S9" s="2"/>
      <c r="T9" s="2">
        <v>11.68</v>
      </c>
      <c r="U9" s="398">
        <v>9577.6</v>
      </c>
      <c r="V9" s="7">
        <v>10461.6</v>
      </c>
      <c r="W9" s="7" t="s">
        <v>660</v>
      </c>
    </row>
    <row r="10" spans="1:27" x14ac:dyDescent="0.35">
      <c r="A10" s="2">
        <v>3</v>
      </c>
      <c r="B10" s="109" t="s">
        <v>107</v>
      </c>
      <c r="C10" s="110" t="s">
        <v>109</v>
      </c>
      <c r="D10" s="2">
        <v>480</v>
      </c>
      <c r="E10" s="51">
        <v>13.99</v>
      </c>
      <c r="F10" s="105"/>
      <c r="H10" s="2">
        <v>60</v>
      </c>
      <c r="I10" s="2">
        <v>20</v>
      </c>
      <c r="J10" s="2">
        <v>0</v>
      </c>
      <c r="K10" s="2">
        <v>3</v>
      </c>
      <c r="L10" s="2">
        <v>213.3</v>
      </c>
      <c r="M10" s="2">
        <v>222.75</v>
      </c>
      <c r="N10" s="244">
        <v>0.38919375</v>
      </c>
      <c r="O10" s="2" t="s">
        <v>108</v>
      </c>
      <c r="P10" s="2">
        <v>100</v>
      </c>
      <c r="Q10" s="2" t="s">
        <v>55</v>
      </c>
      <c r="R10" s="2" t="s">
        <v>107</v>
      </c>
      <c r="S10" s="2"/>
      <c r="T10" s="2">
        <v>11.68</v>
      </c>
      <c r="U10" s="398">
        <v>6307.2</v>
      </c>
      <c r="V10" s="7">
        <v>6715.2</v>
      </c>
      <c r="W10" s="7" t="s">
        <v>660</v>
      </c>
    </row>
    <row r="11" spans="1:27" x14ac:dyDescent="0.35">
      <c r="A11" s="2">
        <v>3</v>
      </c>
      <c r="B11" s="109" t="s">
        <v>110</v>
      </c>
      <c r="C11" s="110" t="s">
        <v>111</v>
      </c>
      <c r="D11" s="2">
        <v>480</v>
      </c>
      <c r="E11" s="51">
        <v>13.99</v>
      </c>
      <c r="F11" s="105"/>
      <c r="H11" s="2">
        <v>60</v>
      </c>
      <c r="I11" s="2">
        <v>20</v>
      </c>
      <c r="J11" s="2">
        <v>0</v>
      </c>
      <c r="K11" s="2">
        <v>3</v>
      </c>
      <c r="L11" s="2">
        <v>213.3</v>
      </c>
      <c r="M11" s="2">
        <v>222.75</v>
      </c>
      <c r="N11" s="244">
        <v>0.38919375</v>
      </c>
      <c r="O11" s="2" t="s">
        <v>108</v>
      </c>
      <c r="P11" s="2">
        <v>100</v>
      </c>
      <c r="Q11" s="2" t="s">
        <v>55</v>
      </c>
      <c r="R11" s="2" t="s">
        <v>110</v>
      </c>
      <c r="S11" s="2"/>
      <c r="T11" s="2">
        <v>11.68</v>
      </c>
      <c r="U11" s="398">
        <v>6307.2</v>
      </c>
      <c r="V11" s="7">
        <v>6715.2</v>
      </c>
      <c r="W11" s="7" t="s">
        <v>660</v>
      </c>
    </row>
    <row r="12" spans="1:27" x14ac:dyDescent="0.35">
      <c r="A12" s="2">
        <v>3</v>
      </c>
      <c r="B12" s="109" t="s">
        <v>112</v>
      </c>
      <c r="C12" s="110" t="s">
        <v>648</v>
      </c>
      <c r="D12" s="2">
        <v>480</v>
      </c>
      <c r="E12" s="51">
        <v>13.99</v>
      </c>
      <c r="F12" s="105"/>
      <c r="H12" s="2">
        <v>60</v>
      </c>
      <c r="I12" s="2">
        <v>20</v>
      </c>
      <c r="J12" s="2">
        <v>0</v>
      </c>
      <c r="K12" s="2">
        <v>3</v>
      </c>
      <c r="L12" s="2">
        <v>213.3</v>
      </c>
      <c r="M12" s="2">
        <v>222.75</v>
      </c>
      <c r="N12" s="244">
        <v>0.38919375</v>
      </c>
      <c r="O12" s="2" t="s">
        <v>108</v>
      </c>
      <c r="P12" s="2">
        <v>100</v>
      </c>
      <c r="Q12" s="2" t="s">
        <v>55</v>
      </c>
      <c r="R12" s="2" t="s">
        <v>112</v>
      </c>
      <c r="S12" s="2"/>
      <c r="T12" s="2">
        <v>11.68</v>
      </c>
      <c r="U12" s="398">
        <v>6307.2</v>
      </c>
      <c r="V12" s="7">
        <v>6715.2</v>
      </c>
      <c r="W12" s="7" t="s">
        <v>660</v>
      </c>
    </row>
    <row r="13" spans="1:27" x14ac:dyDescent="0.35">
      <c r="A13" s="2">
        <v>3</v>
      </c>
      <c r="B13" s="109" t="s">
        <v>114</v>
      </c>
      <c r="C13" s="110" t="s">
        <v>115</v>
      </c>
      <c r="D13" s="2">
        <v>480</v>
      </c>
      <c r="E13" s="51">
        <v>13.99</v>
      </c>
      <c r="F13" s="105"/>
      <c r="H13" s="2">
        <v>60</v>
      </c>
      <c r="I13" s="2">
        <v>20</v>
      </c>
      <c r="J13" s="2">
        <v>0</v>
      </c>
      <c r="K13" s="2">
        <v>3</v>
      </c>
      <c r="L13" s="2">
        <v>213.3</v>
      </c>
      <c r="M13" s="2">
        <v>222.75</v>
      </c>
      <c r="N13" s="244">
        <v>0.38919375</v>
      </c>
      <c r="O13" s="2" t="s">
        <v>108</v>
      </c>
      <c r="P13" s="2">
        <v>100</v>
      </c>
      <c r="Q13" s="2" t="s">
        <v>55</v>
      </c>
      <c r="R13" s="2" t="s">
        <v>114</v>
      </c>
      <c r="S13" s="2"/>
      <c r="T13" s="2">
        <v>11.68</v>
      </c>
      <c r="U13" s="398">
        <v>6307.2</v>
      </c>
      <c r="V13" s="7">
        <v>6715.2</v>
      </c>
      <c r="W13" s="7" t="s">
        <v>660</v>
      </c>
    </row>
    <row r="14" spans="1:27" x14ac:dyDescent="0.35">
      <c r="A14" s="2">
        <v>3</v>
      </c>
      <c r="B14" s="109" t="s">
        <v>116</v>
      </c>
      <c r="C14" s="110" t="s">
        <v>117</v>
      </c>
      <c r="D14" s="2">
        <v>480</v>
      </c>
      <c r="E14" s="51">
        <v>13.99</v>
      </c>
      <c r="F14" s="105"/>
      <c r="H14" s="2">
        <v>60</v>
      </c>
      <c r="I14" s="2">
        <v>20</v>
      </c>
      <c r="J14" s="2">
        <v>0</v>
      </c>
      <c r="K14" s="2">
        <v>3</v>
      </c>
      <c r="L14" s="2">
        <v>205.2</v>
      </c>
      <c r="M14" s="2">
        <v>213.75</v>
      </c>
      <c r="N14" s="244">
        <v>0.39445312500000002</v>
      </c>
      <c r="O14" s="2" t="s">
        <v>108</v>
      </c>
      <c r="P14" s="2">
        <v>100</v>
      </c>
      <c r="Q14" s="2" t="s">
        <v>55</v>
      </c>
      <c r="R14" s="2" t="s">
        <v>116</v>
      </c>
      <c r="S14" s="2"/>
      <c r="T14" s="2">
        <v>11.68</v>
      </c>
      <c r="U14" s="398">
        <v>6307.2</v>
      </c>
      <c r="V14" s="7">
        <v>6715.2</v>
      </c>
      <c r="W14" s="7" t="s">
        <v>660</v>
      </c>
    </row>
    <row r="15" spans="1:27" x14ac:dyDescent="0.35">
      <c r="A15" s="2">
        <v>3</v>
      </c>
      <c r="B15" s="109" t="s">
        <v>118</v>
      </c>
      <c r="C15" s="110" t="s">
        <v>119</v>
      </c>
      <c r="D15" s="2">
        <v>480</v>
      </c>
      <c r="E15" s="51">
        <v>13.99</v>
      </c>
      <c r="F15" s="105"/>
      <c r="H15" s="2">
        <v>60</v>
      </c>
      <c r="I15" s="2">
        <v>20</v>
      </c>
      <c r="J15" s="2">
        <v>0</v>
      </c>
      <c r="K15" s="2">
        <v>3</v>
      </c>
      <c r="L15" s="2">
        <v>205.2</v>
      </c>
      <c r="M15" s="2">
        <v>213.75</v>
      </c>
      <c r="N15" s="244">
        <v>0.39445312500000002</v>
      </c>
      <c r="O15" s="2" t="s">
        <v>108</v>
      </c>
      <c r="P15" s="2">
        <v>100</v>
      </c>
      <c r="Q15" s="2" t="s">
        <v>55</v>
      </c>
      <c r="R15" s="2" t="s">
        <v>118</v>
      </c>
      <c r="S15" s="2"/>
      <c r="T15" s="2">
        <v>11.68</v>
      </c>
      <c r="U15" s="398">
        <v>6307.2</v>
      </c>
      <c r="V15" s="7">
        <v>6715.2</v>
      </c>
      <c r="W15" s="7" t="s">
        <v>660</v>
      </c>
    </row>
    <row r="16" spans="1:27" x14ac:dyDescent="0.35">
      <c r="A16" s="2">
        <v>3</v>
      </c>
      <c r="B16" s="109" t="s">
        <v>120</v>
      </c>
      <c r="C16" s="110" t="s">
        <v>121</v>
      </c>
      <c r="D16" s="2">
        <v>480</v>
      </c>
      <c r="E16" s="51">
        <v>13.99</v>
      </c>
      <c r="F16" s="105"/>
      <c r="H16" s="2">
        <v>60</v>
      </c>
      <c r="I16" s="2">
        <v>20</v>
      </c>
      <c r="J16" s="2">
        <v>0</v>
      </c>
      <c r="K16" s="2">
        <v>3</v>
      </c>
      <c r="L16" s="2">
        <v>205.2</v>
      </c>
      <c r="M16" s="2">
        <v>213.75</v>
      </c>
      <c r="N16" s="244">
        <v>0.39445312500000002</v>
      </c>
      <c r="O16" s="2" t="s">
        <v>108</v>
      </c>
      <c r="P16" s="2">
        <v>100</v>
      </c>
      <c r="Q16" s="2" t="s">
        <v>55</v>
      </c>
      <c r="R16" s="2" t="s">
        <v>120</v>
      </c>
      <c r="S16" s="2"/>
      <c r="T16" s="2">
        <v>11.68</v>
      </c>
      <c r="U16" s="398">
        <v>6307.2</v>
      </c>
      <c r="V16" s="7">
        <v>6715.2</v>
      </c>
      <c r="W16" s="7" t="s">
        <v>660</v>
      </c>
    </row>
    <row r="17" spans="1:23" x14ac:dyDescent="0.35">
      <c r="A17" s="2">
        <v>3</v>
      </c>
      <c r="B17" s="109" t="s">
        <v>122</v>
      </c>
      <c r="C17" s="110" t="s">
        <v>123</v>
      </c>
      <c r="D17" s="2">
        <v>480</v>
      </c>
      <c r="E17" s="51">
        <v>13.99</v>
      </c>
      <c r="F17" s="105"/>
      <c r="H17" s="2">
        <v>60</v>
      </c>
      <c r="I17" s="2">
        <v>20</v>
      </c>
      <c r="J17" s="2">
        <v>0</v>
      </c>
      <c r="K17" s="2">
        <v>3</v>
      </c>
      <c r="L17" s="2">
        <v>205.2</v>
      </c>
      <c r="M17" s="2">
        <v>213.75</v>
      </c>
      <c r="N17" s="244">
        <v>0.39445312500000002</v>
      </c>
      <c r="O17" s="2" t="s">
        <v>108</v>
      </c>
      <c r="P17" s="2">
        <v>100</v>
      </c>
      <c r="Q17" s="2" t="s">
        <v>55</v>
      </c>
      <c r="R17" s="2" t="s">
        <v>122</v>
      </c>
      <c r="S17" s="2"/>
      <c r="T17" s="2">
        <v>11.68</v>
      </c>
      <c r="U17" s="398">
        <v>6307.2</v>
      </c>
      <c r="V17" s="7">
        <v>6715.2</v>
      </c>
      <c r="W17" s="7" t="s">
        <v>660</v>
      </c>
    </row>
    <row r="18" spans="1:23" x14ac:dyDescent="0.35">
      <c r="A18" s="2">
        <v>4</v>
      </c>
      <c r="B18" s="109" t="s">
        <v>88</v>
      </c>
      <c r="C18" s="110" t="s">
        <v>89</v>
      </c>
      <c r="D18" s="2">
        <v>3000</v>
      </c>
      <c r="E18" s="51">
        <v>17</v>
      </c>
      <c r="F18" s="105"/>
      <c r="H18" s="2"/>
      <c r="I18" s="2">
        <v>150</v>
      </c>
      <c r="J18" s="2">
        <v>0</v>
      </c>
      <c r="K18" s="2">
        <v>0</v>
      </c>
      <c r="L18" s="2">
        <v>2190</v>
      </c>
      <c r="M18" s="2">
        <v>3075</v>
      </c>
      <c r="N18" s="244">
        <v>11.04</v>
      </c>
      <c r="O18" s="2" t="s">
        <v>18</v>
      </c>
      <c r="P18" s="2">
        <v>100</v>
      </c>
      <c r="Q18" s="2">
        <v>0</v>
      </c>
      <c r="R18" s="2" t="s">
        <v>88</v>
      </c>
      <c r="S18" s="2"/>
      <c r="T18" s="2">
        <v>15</v>
      </c>
      <c r="U18" s="398">
        <v>45000</v>
      </c>
      <c r="V18" s="7">
        <v>51000</v>
      </c>
      <c r="W18" s="7" t="s">
        <v>660</v>
      </c>
    </row>
    <row r="19" spans="1:23" x14ac:dyDescent="0.35">
      <c r="A19" s="2">
        <v>5</v>
      </c>
      <c r="B19" s="109" t="s">
        <v>141</v>
      </c>
      <c r="C19" s="110" t="s">
        <v>142</v>
      </c>
      <c r="D19" s="2">
        <v>2712</v>
      </c>
      <c r="E19" s="51">
        <v>12.5</v>
      </c>
      <c r="F19" s="105">
        <v>912</v>
      </c>
      <c r="G19" s="51">
        <v>6.25</v>
      </c>
      <c r="H19" s="2"/>
      <c r="I19" s="2">
        <v>113</v>
      </c>
      <c r="J19" s="2">
        <v>38</v>
      </c>
      <c r="K19" s="2">
        <v>0</v>
      </c>
      <c r="L19" s="2">
        <v>1431.48</v>
      </c>
      <c r="M19" s="2">
        <v>1494.9</v>
      </c>
      <c r="N19" s="244">
        <v>2.64721875</v>
      </c>
      <c r="O19" s="2" t="s">
        <v>108</v>
      </c>
      <c r="P19" s="2">
        <v>100</v>
      </c>
      <c r="Q19" s="2" t="s">
        <v>55</v>
      </c>
      <c r="R19" s="2" t="s">
        <v>141</v>
      </c>
      <c r="S19" s="2"/>
      <c r="T19" s="2">
        <v>11.68</v>
      </c>
      <c r="U19" s="398">
        <v>42328.32</v>
      </c>
      <c r="V19" s="7">
        <v>39600</v>
      </c>
      <c r="W19" s="7" t="s">
        <v>660</v>
      </c>
    </row>
    <row r="20" spans="1:23" x14ac:dyDescent="0.35">
      <c r="A20" s="2">
        <v>5</v>
      </c>
      <c r="B20" s="109" t="s">
        <v>143</v>
      </c>
      <c r="C20" s="110" t="s">
        <v>144</v>
      </c>
      <c r="D20" s="2">
        <v>2712</v>
      </c>
      <c r="E20" s="51">
        <v>12.5</v>
      </c>
      <c r="F20" s="105">
        <v>912</v>
      </c>
      <c r="G20" s="51">
        <v>6.25</v>
      </c>
      <c r="H20" s="2"/>
      <c r="I20" s="2">
        <v>113</v>
      </c>
      <c r="J20" s="2">
        <v>38</v>
      </c>
      <c r="K20" s="2">
        <v>0</v>
      </c>
      <c r="L20" s="2">
        <v>1431.48</v>
      </c>
      <c r="M20" s="2">
        <v>1494.9</v>
      </c>
      <c r="N20" s="244">
        <v>2.64721875</v>
      </c>
      <c r="O20" s="2" t="s">
        <v>108</v>
      </c>
      <c r="P20" s="2">
        <v>100</v>
      </c>
      <c r="Q20" s="2" t="s">
        <v>55</v>
      </c>
      <c r="R20" s="2" t="s">
        <v>143</v>
      </c>
      <c r="S20" s="2"/>
      <c r="T20" s="2">
        <v>11.68</v>
      </c>
      <c r="U20" s="398">
        <v>42328.32</v>
      </c>
      <c r="V20" s="7">
        <v>39600</v>
      </c>
      <c r="W20" s="7" t="s">
        <v>660</v>
      </c>
    </row>
    <row r="21" spans="1:23" x14ac:dyDescent="0.35">
      <c r="A21" s="2">
        <v>6</v>
      </c>
      <c r="B21" s="109" t="s">
        <v>101</v>
      </c>
      <c r="C21" s="110" t="s">
        <v>102</v>
      </c>
      <c r="D21" s="2">
        <v>2640</v>
      </c>
      <c r="E21" s="51">
        <v>5.2533271071678724</v>
      </c>
      <c r="F21" s="105"/>
      <c r="H21" s="2"/>
      <c r="I21" s="2">
        <v>110</v>
      </c>
      <c r="J21" s="2">
        <v>0</v>
      </c>
      <c r="K21" s="2">
        <v>0</v>
      </c>
      <c r="L21" s="2">
        <v>755.7</v>
      </c>
      <c r="M21" s="2">
        <v>831.59999999999991</v>
      </c>
      <c r="N21" s="244">
        <v>2.7670499999999998</v>
      </c>
      <c r="O21" s="2" t="s">
        <v>934</v>
      </c>
      <c r="P21" s="2">
        <v>100</v>
      </c>
      <c r="Q21" s="2" t="s">
        <v>55</v>
      </c>
      <c r="R21" s="2" t="s">
        <v>101</v>
      </c>
      <c r="S21" s="2"/>
      <c r="T21" s="2">
        <v>5</v>
      </c>
      <c r="U21" s="398">
        <v>13200</v>
      </c>
      <c r="V21" s="7">
        <v>13868.783562923183</v>
      </c>
      <c r="W21" s="7" t="s">
        <v>660</v>
      </c>
    </row>
    <row r="22" spans="1:23" x14ac:dyDescent="0.35">
      <c r="A22" s="2">
        <v>7</v>
      </c>
      <c r="B22" s="109" t="s">
        <v>107</v>
      </c>
      <c r="C22" s="110" t="s">
        <v>109</v>
      </c>
      <c r="D22" s="2">
        <v>450</v>
      </c>
      <c r="E22" s="51">
        <v>12.5</v>
      </c>
      <c r="F22" s="105"/>
      <c r="H22" s="2">
        <v>38</v>
      </c>
      <c r="I22" s="2">
        <v>19</v>
      </c>
      <c r="J22" s="2">
        <v>0</v>
      </c>
      <c r="K22" s="2">
        <v>2</v>
      </c>
      <c r="L22" s="2">
        <v>192.76</v>
      </c>
      <c r="M22" s="2">
        <v>201.29999999999998</v>
      </c>
      <c r="N22" s="244">
        <v>0.35171583333333334</v>
      </c>
      <c r="O22" s="2" t="s">
        <v>108</v>
      </c>
      <c r="P22" s="2">
        <v>100</v>
      </c>
      <c r="Q22" s="2" t="s">
        <v>55</v>
      </c>
      <c r="R22" s="2" t="s">
        <v>107</v>
      </c>
      <c r="S22" s="2"/>
      <c r="T22" s="2">
        <v>11.68</v>
      </c>
      <c r="U22" s="398">
        <v>5699.84</v>
      </c>
      <c r="V22" s="7">
        <v>5625</v>
      </c>
      <c r="W22" s="7" t="s">
        <v>660</v>
      </c>
    </row>
    <row r="23" spans="1:23" x14ac:dyDescent="0.35">
      <c r="A23" s="2">
        <v>7</v>
      </c>
      <c r="B23" s="109" t="s">
        <v>110</v>
      </c>
      <c r="C23" s="110" t="s">
        <v>111</v>
      </c>
      <c r="D23" s="2"/>
      <c r="E23" s="51"/>
      <c r="F23" s="105">
        <v>20</v>
      </c>
      <c r="G23" s="51">
        <v>6.25</v>
      </c>
      <c r="H23" s="2"/>
      <c r="I23" s="2">
        <v>0</v>
      </c>
      <c r="J23" s="2">
        <v>1</v>
      </c>
      <c r="K23" s="2">
        <v>0</v>
      </c>
      <c r="L23" s="2">
        <v>7.9</v>
      </c>
      <c r="M23" s="2">
        <v>8.25</v>
      </c>
      <c r="N23" s="244">
        <v>1.4414583333333335E-2</v>
      </c>
      <c r="O23" s="2" t="s">
        <v>108</v>
      </c>
      <c r="P23" s="2">
        <v>100</v>
      </c>
      <c r="Q23" s="2" t="s">
        <v>55</v>
      </c>
      <c r="R23" s="2" t="s">
        <v>110</v>
      </c>
      <c r="S23" s="2"/>
      <c r="T23" s="2">
        <v>11.68</v>
      </c>
      <c r="U23" s="398">
        <v>233.6</v>
      </c>
      <c r="V23" s="7">
        <v>125</v>
      </c>
      <c r="W23" s="7" t="s">
        <v>660</v>
      </c>
    </row>
    <row r="24" spans="1:23" x14ac:dyDescent="0.35">
      <c r="A24" s="2">
        <v>7</v>
      </c>
      <c r="B24" s="109" t="s">
        <v>112</v>
      </c>
      <c r="C24" s="110" t="s">
        <v>648</v>
      </c>
      <c r="D24" s="2"/>
      <c r="E24" s="51"/>
      <c r="F24" s="105">
        <v>66</v>
      </c>
      <c r="G24" s="51">
        <v>6.25</v>
      </c>
      <c r="H24" s="2"/>
      <c r="I24" s="2">
        <v>0</v>
      </c>
      <c r="J24" s="2">
        <v>3</v>
      </c>
      <c r="K24" s="2">
        <v>0</v>
      </c>
      <c r="L24" s="2">
        <v>26.07</v>
      </c>
      <c r="M24" s="2">
        <v>27.225000000000001</v>
      </c>
      <c r="N24" s="244">
        <v>4.7568125000000003E-2</v>
      </c>
      <c r="O24" s="2" t="s">
        <v>108</v>
      </c>
      <c r="P24" s="2">
        <v>100</v>
      </c>
      <c r="Q24" s="2" t="s">
        <v>55</v>
      </c>
      <c r="R24" s="2" t="s">
        <v>112</v>
      </c>
      <c r="S24" s="2"/>
      <c r="T24" s="2">
        <v>11.68</v>
      </c>
      <c r="U24" s="398">
        <v>770.88</v>
      </c>
      <c r="V24" s="7">
        <v>412.5</v>
      </c>
      <c r="W24" s="7" t="s">
        <v>660</v>
      </c>
    </row>
    <row r="25" spans="1:23" x14ac:dyDescent="0.35">
      <c r="A25" s="2">
        <v>7</v>
      </c>
      <c r="B25" s="109" t="s">
        <v>114</v>
      </c>
      <c r="C25" s="110" t="s">
        <v>115</v>
      </c>
      <c r="D25" s="2">
        <v>150</v>
      </c>
      <c r="E25" s="51">
        <v>12.5</v>
      </c>
      <c r="F25" s="105"/>
      <c r="H25" s="2">
        <v>13</v>
      </c>
      <c r="I25" s="2">
        <v>7</v>
      </c>
      <c r="J25" s="2">
        <v>0</v>
      </c>
      <c r="K25" s="2">
        <v>1</v>
      </c>
      <c r="L25" s="2">
        <v>64.385000000000005</v>
      </c>
      <c r="M25" s="2">
        <v>67.237500000000011</v>
      </c>
      <c r="N25" s="244">
        <v>0.11747885416666667</v>
      </c>
      <c r="O25" s="2" t="s">
        <v>108</v>
      </c>
      <c r="P25" s="2">
        <v>100</v>
      </c>
      <c r="Q25" s="2" t="s">
        <v>55</v>
      </c>
      <c r="R25" s="2" t="s">
        <v>114</v>
      </c>
      <c r="S25" s="2"/>
      <c r="T25" s="2">
        <v>11.68</v>
      </c>
      <c r="U25" s="398">
        <v>1903.84</v>
      </c>
      <c r="V25" s="7">
        <v>1875</v>
      </c>
      <c r="W25" s="7" t="s">
        <v>660</v>
      </c>
    </row>
    <row r="26" spans="1:23" x14ac:dyDescent="0.35">
      <c r="A26" s="2">
        <v>7</v>
      </c>
      <c r="B26" s="109" t="s">
        <v>120</v>
      </c>
      <c r="C26" s="110" t="s">
        <v>121</v>
      </c>
      <c r="D26" s="2"/>
      <c r="E26" s="51"/>
      <c r="F26" s="105">
        <v>30</v>
      </c>
      <c r="G26" s="51">
        <v>6.25</v>
      </c>
      <c r="H26" s="2"/>
      <c r="I26" s="2">
        <v>0</v>
      </c>
      <c r="J26" s="2">
        <v>2</v>
      </c>
      <c r="K26" s="2">
        <v>0</v>
      </c>
      <c r="L26" s="2">
        <v>11.399999999999999</v>
      </c>
      <c r="M26" s="2">
        <v>11.875</v>
      </c>
      <c r="N26" s="244">
        <v>2.1914062500000001E-2</v>
      </c>
      <c r="O26" s="2" t="s">
        <v>108</v>
      </c>
      <c r="P26" s="2">
        <v>100</v>
      </c>
      <c r="Q26" s="2" t="s">
        <v>55</v>
      </c>
      <c r="R26" s="2" t="s">
        <v>120</v>
      </c>
      <c r="S26" s="2"/>
      <c r="T26" s="2">
        <v>11.68</v>
      </c>
      <c r="U26" s="398">
        <v>350.4</v>
      </c>
      <c r="V26" s="7">
        <v>187.5</v>
      </c>
      <c r="W26" s="7" t="s">
        <v>660</v>
      </c>
    </row>
    <row r="27" spans="1:23" x14ac:dyDescent="0.35">
      <c r="A27" s="2">
        <v>7</v>
      </c>
      <c r="B27" s="109" t="s">
        <v>122</v>
      </c>
      <c r="C27" s="110" t="s">
        <v>123</v>
      </c>
      <c r="D27" s="2"/>
      <c r="E27" s="51"/>
      <c r="F27" s="105">
        <v>90</v>
      </c>
      <c r="G27" s="51">
        <v>6.25</v>
      </c>
      <c r="H27" s="2"/>
      <c r="I27" s="2">
        <v>0</v>
      </c>
      <c r="J27" s="2">
        <v>4</v>
      </c>
      <c r="K27" s="2">
        <v>0</v>
      </c>
      <c r="L27" s="2">
        <v>34.199999999999996</v>
      </c>
      <c r="M27" s="2">
        <v>35.625</v>
      </c>
      <c r="N27" s="244">
        <v>6.5742187499999993E-2</v>
      </c>
      <c r="O27" s="2" t="s">
        <v>108</v>
      </c>
      <c r="P27" s="2">
        <v>100</v>
      </c>
      <c r="Q27" s="2" t="s">
        <v>55</v>
      </c>
      <c r="R27" s="2" t="s">
        <v>122</v>
      </c>
      <c r="S27" s="2"/>
      <c r="T27" s="2">
        <v>11.68</v>
      </c>
      <c r="U27" s="398">
        <v>1051.2</v>
      </c>
      <c r="V27" s="7">
        <v>562.5</v>
      </c>
      <c r="W27" s="7" t="s">
        <v>660</v>
      </c>
    </row>
    <row r="28" spans="1:23" x14ac:dyDescent="0.35">
      <c r="A28" s="2">
        <v>7</v>
      </c>
      <c r="B28" s="109" t="s">
        <v>141</v>
      </c>
      <c r="C28" s="110" t="s">
        <v>142</v>
      </c>
      <c r="D28" s="2">
        <v>200</v>
      </c>
      <c r="E28" s="51">
        <v>12.5</v>
      </c>
      <c r="F28" s="105"/>
      <c r="H28" s="2">
        <v>243</v>
      </c>
      <c r="I28" s="2">
        <v>9</v>
      </c>
      <c r="J28" s="2">
        <v>0</v>
      </c>
      <c r="K28" s="2">
        <v>11</v>
      </c>
      <c r="L28" s="2">
        <v>174.98499999999999</v>
      </c>
      <c r="M28" s="2">
        <v>182.73749999999998</v>
      </c>
      <c r="N28" s="244">
        <v>0.32359765624999998</v>
      </c>
      <c r="O28" s="2" t="s">
        <v>108</v>
      </c>
      <c r="P28" s="2">
        <v>100</v>
      </c>
      <c r="Q28" s="2" t="s">
        <v>55</v>
      </c>
      <c r="R28" s="2" t="s">
        <v>141</v>
      </c>
      <c r="S28" s="2"/>
      <c r="T28" s="2">
        <v>11.68</v>
      </c>
      <c r="U28" s="398">
        <v>5174.24</v>
      </c>
      <c r="V28" s="7">
        <v>2500</v>
      </c>
      <c r="W28" s="7" t="s">
        <v>660</v>
      </c>
    </row>
    <row r="29" spans="1:23" x14ac:dyDescent="0.35">
      <c r="A29" s="2">
        <v>7</v>
      </c>
      <c r="B29" s="109" t="s">
        <v>143</v>
      </c>
      <c r="C29" s="110" t="s">
        <v>144</v>
      </c>
      <c r="D29" s="2">
        <v>200</v>
      </c>
      <c r="E29" s="51">
        <v>12.5</v>
      </c>
      <c r="F29" s="105"/>
      <c r="H29" s="2">
        <v>243</v>
      </c>
      <c r="I29" s="2">
        <v>9</v>
      </c>
      <c r="J29" s="2">
        <v>0</v>
      </c>
      <c r="K29" s="2">
        <v>11</v>
      </c>
      <c r="L29" s="2">
        <v>174.98499999999999</v>
      </c>
      <c r="M29" s="2">
        <v>182.73749999999998</v>
      </c>
      <c r="N29" s="244">
        <v>0.32359765624999998</v>
      </c>
      <c r="O29" s="2" t="s">
        <v>108</v>
      </c>
      <c r="P29" s="2">
        <v>100</v>
      </c>
      <c r="Q29" s="2" t="s">
        <v>55</v>
      </c>
      <c r="R29" s="2" t="s">
        <v>143</v>
      </c>
      <c r="S29" s="2"/>
      <c r="T29" s="2">
        <v>11.68</v>
      </c>
      <c r="U29" s="398">
        <v>5174.24</v>
      </c>
      <c r="V29" s="7">
        <v>2500</v>
      </c>
      <c r="W29" s="7" t="s">
        <v>660</v>
      </c>
    </row>
    <row r="30" spans="1:23" x14ac:dyDescent="0.35">
      <c r="A30" s="2">
        <v>8</v>
      </c>
      <c r="B30" s="109" t="s">
        <v>17</v>
      </c>
      <c r="C30" s="110" t="s">
        <v>20</v>
      </c>
      <c r="D30" s="2">
        <v>24</v>
      </c>
      <c r="E30" s="51">
        <v>5.78</v>
      </c>
      <c r="F30" s="105"/>
      <c r="H30" s="2"/>
      <c r="I30" s="2">
        <v>2</v>
      </c>
      <c r="J30" s="2">
        <v>0</v>
      </c>
      <c r="K30" s="2">
        <v>0</v>
      </c>
      <c r="L30" s="2">
        <v>10.08</v>
      </c>
      <c r="M30" s="2">
        <v>11.58</v>
      </c>
      <c r="N30" s="244">
        <v>5.6166000000000001E-2</v>
      </c>
      <c r="O30" s="2" t="s">
        <v>18</v>
      </c>
      <c r="P30" s="2">
        <v>50</v>
      </c>
      <c r="Q30" s="2">
        <v>0</v>
      </c>
      <c r="R30" s="2" t="s">
        <v>17</v>
      </c>
      <c r="S30" s="2"/>
      <c r="T30" s="2">
        <v>5.23</v>
      </c>
      <c r="U30" s="398">
        <v>125.52000000000001</v>
      </c>
      <c r="V30" s="7">
        <v>138.72</v>
      </c>
      <c r="W30" s="7" t="s">
        <v>660</v>
      </c>
    </row>
    <row r="31" spans="1:23" x14ac:dyDescent="0.35">
      <c r="A31" s="2">
        <v>8</v>
      </c>
      <c r="B31" s="109" t="s">
        <v>23</v>
      </c>
      <c r="C31" s="110" t="s">
        <v>24</v>
      </c>
      <c r="D31" s="2">
        <v>12</v>
      </c>
      <c r="E31" s="51">
        <v>2.89</v>
      </c>
      <c r="F31" s="105"/>
      <c r="H31" s="2"/>
      <c r="I31" s="2">
        <v>1</v>
      </c>
      <c r="J31" s="2">
        <v>0</v>
      </c>
      <c r="K31" s="2">
        <v>0</v>
      </c>
      <c r="L31" s="2">
        <v>5.04</v>
      </c>
      <c r="M31" s="2">
        <v>5.79</v>
      </c>
      <c r="N31" s="244">
        <v>2.8083E-2</v>
      </c>
      <c r="O31" s="2" t="s">
        <v>18</v>
      </c>
      <c r="P31" s="2">
        <v>50</v>
      </c>
      <c r="Q31" s="2">
        <v>0</v>
      </c>
      <c r="R31" s="2" t="s">
        <v>23</v>
      </c>
      <c r="S31" s="2"/>
      <c r="T31" s="2">
        <v>5.23</v>
      </c>
      <c r="U31" s="398">
        <v>62.760000000000005</v>
      </c>
      <c r="V31" s="7">
        <v>34.68</v>
      </c>
      <c r="W31" s="7" t="s">
        <v>660</v>
      </c>
    </row>
    <row r="32" spans="1:23" x14ac:dyDescent="0.35">
      <c r="A32" s="2">
        <v>8</v>
      </c>
      <c r="B32" s="109" t="s">
        <v>23</v>
      </c>
      <c r="C32" s="110" t="s">
        <v>24</v>
      </c>
      <c r="D32" s="2">
        <v>12</v>
      </c>
      <c r="E32" s="51">
        <v>5.78</v>
      </c>
      <c r="F32" s="105"/>
      <c r="H32" s="2"/>
      <c r="I32" s="2">
        <v>1</v>
      </c>
      <c r="J32" s="2">
        <v>0</v>
      </c>
      <c r="K32" s="2">
        <v>0</v>
      </c>
      <c r="L32" s="2">
        <v>5.04</v>
      </c>
      <c r="M32" s="2">
        <v>5.79</v>
      </c>
      <c r="N32" s="244">
        <v>2.8083E-2</v>
      </c>
      <c r="O32" s="2" t="s">
        <v>18</v>
      </c>
      <c r="P32" s="2">
        <v>50</v>
      </c>
      <c r="Q32" s="2">
        <v>0</v>
      </c>
      <c r="R32" s="2" t="s">
        <v>23</v>
      </c>
      <c r="S32" s="2"/>
      <c r="T32" s="2">
        <v>5.23</v>
      </c>
      <c r="U32" s="398">
        <v>62.760000000000005</v>
      </c>
      <c r="V32" s="7">
        <v>69.36</v>
      </c>
      <c r="W32" s="7" t="s">
        <v>660</v>
      </c>
    </row>
    <row r="33" spans="1:23" x14ac:dyDescent="0.35">
      <c r="A33" s="2">
        <v>8</v>
      </c>
      <c r="B33" s="109" t="s">
        <v>25</v>
      </c>
      <c r="C33" s="110" t="s">
        <v>26</v>
      </c>
      <c r="D33" s="2">
        <v>24</v>
      </c>
      <c r="E33" s="51">
        <v>5.78</v>
      </c>
      <c r="F33" s="105"/>
      <c r="H33" s="2"/>
      <c r="I33" s="2">
        <v>2</v>
      </c>
      <c r="J33" s="2">
        <v>0</v>
      </c>
      <c r="K33" s="2">
        <v>0</v>
      </c>
      <c r="L33" s="2">
        <v>10.08</v>
      </c>
      <c r="M33" s="2">
        <v>11.58</v>
      </c>
      <c r="N33" s="244">
        <v>5.6166000000000001E-2</v>
      </c>
      <c r="O33" s="2" t="s">
        <v>18</v>
      </c>
      <c r="P33" s="2">
        <v>50</v>
      </c>
      <c r="Q33" s="2">
        <v>0</v>
      </c>
      <c r="R33" s="2" t="s">
        <v>25</v>
      </c>
      <c r="S33" s="2"/>
      <c r="T33" s="2">
        <v>5.23</v>
      </c>
      <c r="U33" s="398">
        <v>125.52000000000001</v>
      </c>
      <c r="V33" s="7">
        <v>138.72</v>
      </c>
      <c r="W33" s="7" t="s">
        <v>660</v>
      </c>
    </row>
    <row r="34" spans="1:23" x14ac:dyDescent="0.35">
      <c r="A34" s="2">
        <v>8</v>
      </c>
      <c r="B34" s="109" t="s">
        <v>27</v>
      </c>
      <c r="C34" s="110" t="s">
        <v>28</v>
      </c>
      <c r="D34" s="2">
        <v>24</v>
      </c>
      <c r="E34" s="51">
        <v>5.78</v>
      </c>
      <c r="F34" s="105"/>
      <c r="H34" s="2"/>
      <c r="I34" s="2">
        <v>2</v>
      </c>
      <c r="J34" s="2">
        <v>0</v>
      </c>
      <c r="K34" s="2">
        <v>0</v>
      </c>
      <c r="L34" s="2">
        <v>10.08</v>
      </c>
      <c r="M34" s="2">
        <v>11.58</v>
      </c>
      <c r="N34" s="244">
        <v>5.6166000000000001E-2</v>
      </c>
      <c r="O34" s="2" t="s">
        <v>18</v>
      </c>
      <c r="P34" s="2">
        <v>50</v>
      </c>
      <c r="Q34" s="2">
        <v>0</v>
      </c>
      <c r="R34" s="2" t="s">
        <v>27</v>
      </c>
      <c r="S34" s="2"/>
      <c r="T34" s="2">
        <v>5.23</v>
      </c>
      <c r="U34" s="398">
        <v>125.52000000000001</v>
      </c>
      <c r="V34" s="7">
        <v>138.72</v>
      </c>
      <c r="W34" s="7" t="s">
        <v>660</v>
      </c>
    </row>
    <row r="35" spans="1:23" x14ac:dyDescent="0.35">
      <c r="A35" s="2">
        <v>8</v>
      </c>
      <c r="B35" s="109" t="s">
        <v>29</v>
      </c>
      <c r="C35" s="110" t="s">
        <v>31</v>
      </c>
      <c r="D35" s="2">
        <v>24</v>
      </c>
      <c r="E35" s="51">
        <v>5.78</v>
      </c>
      <c r="F35" s="105"/>
      <c r="H35" s="2"/>
      <c r="I35" s="2">
        <v>2</v>
      </c>
      <c r="J35" s="2">
        <v>0</v>
      </c>
      <c r="K35" s="2">
        <v>0</v>
      </c>
      <c r="L35" s="2">
        <v>9.56</v>
      </c>
      <c r="M35" s="2">
        <v>10.5</v>
      </c>
      <c r="N35" s="244">
        <v>5.6166000000000001E-2</v>
      </c>
      <c r="O35" s="2" t="s">
        <v>18</v>
      </c>
      <c r="P35" s="2">
        <v>50</v>
      </c>
      <c r="Q35" s="2">
        <v>0</v>
      </c>
      <c r="R35" s="2" t="s">
        <v>29</v>
      </c>
      <c r="S35" s="2"/>
      <c r="T35" s="2">
        <v>5.23</v>
      </c>
      <c r="U35" s="398">
        <v>125.52000000000001</v>
      </c>
      <c r="V35" s="7">
        <v>138.72</v>
      </c>
      <c r="W35" s="7" t="s">
        <v>660</v>
      </c>
    </row>
    <row r="36" spans="1:23" x14ac:dyDescent="0.35">
      <c r="A36" s="2">
        <v>8</v>
      </c>
      <c r="B36" s="109" t="s">
        <v>32</v>
      </c>
      <c r="C36" s="110" t="s">
        <v>33</v>
      </c>
      <c r="D36" s="2">
        <v>24</v>
      </c>
      <c r="E36" s="51">
        <v>5.78</v>
      </c>
      <c r="F36" s="105"/>
      <c r="H36" s="2"/>
      <c r="I36" s="2">
        <v>2</v>
      </c>
      <c r="J36" s="2">
        <v>0</v>
      </c>
      <c r="K36" s="2">
        <v>0</v>
      </c>
      <c r="L36" s="2">
        <v>9.56</v>
      </c>
      <c r="M36" s="2">
        <v>10.5</v>
      </c>
      <c r="N36" s="244">
        <v>5.6166000000000001E-2</v>
      </c>
      <c r="O36" s="2" t="s">
        <v>18</v>
      </c>
      <c r="P36" s="2">
        <v>50</v>
      </c>
      <c r="Q36" s="2">
        <v>0</v>
      </c>
      <c r="R36" s="2" t="s">
        <v>32</v>
      </c>
      <c r="S36" s="2"/>
      <c r="T36" s="2">
        <v>5.23</v>
      </c>
      <c r="U36" s="398">
        <v>125.52000000000001</v>
      </c>
      <c r="V36" s="7">
        <v>138.72</v>
      </c>
      <c r="W36" s="7" t="s">
        <v>660</v>
      </c>
    </row>
    <row r="37" spans="1:23" x14ac:dyDescent="0.35">
      <c r="A37" s="2">
        <v>8</v>
      </c>
      <c r="B37" s="109" t="s">
        <v>91</v>
      </c>
      <c r="C37" s="110" t="s">
        <v>92</v>
      </c>
      <c r="D37" s="2">
        <v>24</v>
      </c>
      <c r="E37" s="51">
        <v>5.78</v>
      </c>
      <c r="F37" s="105"/>
      <c r="H37" s="2">
        <v>2</v>
      </c>
      <c r="I37" s="2">
        <v>1</v>
      </c>
      <c r="J37" s="2">
        <v>0</v>
      </c>
      <c r="K37" s="2">
        <v>1</v>
      </c>
      <c r="L37" s="2">
        <v>8.1466666666666665</v>
      </c>
      <c r="M37" s="2">
        <v>8.9158333333333335</v>
      </c>
      <c r="N37" s="244">
        <v>2.4316500000000001E-2</v>
      </c>
      <c r="O37" s="2" t="s">
        <v>934</v>
      </c>
      <c r="P37" s="2">
        <v>100</v>
      </c>
      <c r="Q37" s="2" t="s">
        <v>55</v>
      </c>
      <c r="R37" s="2" t="s">
        <v>91</v>
      </c>
      <c r="S37" s="2"/>
      <c r="T37" s="2">
        <v>5</v>
      </c>
      <c r="U37" s="398">
        <v>130</v>
      </c>
      <c r="V37" s="7">
        <v>138.72</v>
      </c>
      <c r="W37" s="7" t="s">
        <v>660</v>
      </c>
    </row>
    <row r="38" spans="1:23" x14ac:dyDescent="0.35">
      <c r="A38" s="2">
        <v>8</v>
      </c>
      <c r="B38" s="109" t="s">
        <v>93</v>
      </c>
      <c r="C38" s="110" t="s">
        <v>94</v>
      </c>
      <c r="D38" s="2">
        <v>24</v>
      </c>
      <c r="E38" s="51">
        <v>5.78</v>
      </c>
      <c r="F38" s="105"/>
      <c r="H38" s="2">
        <v>2</v>
      </c>
      <c r="I38" s="2">
        <v>1</v>
      </c>
      <c r="J38" s="2">
        <v>0</v>
      </c>
      <c r="K38" s="2">
        <v>1</v>
      </c>
      <c r="L38" s="2">
        <v>8.1466666666666665</v>
      </c>
      <c r="M38" s="2">
        <v>8.9158333333333335</v>
      </c>
      <c r="N38" s="244">
        <v>2.4316500000000001E-2</v>
      </c>
      <c r="O38" s="2" t="s">
        <v>934</v>
      </c>
      <c r="P38" s="2">
        <v>100</v>
      </c>
      <c r="Q38" s="2" t="s">
        <v>55</v>
      </c>
      <c r="R38" s="2" t="s">
        <v>93</v>
      </c>
      <c r="S38" s="2"/>
      <c r="T38" s="2">
        <v>5</v>
      </c>
      <c r="U38" s="398">
        <v>130</v>
      </c>
      <c r="V38" s="7">
        <v>138.72</v>
      </c>
      <c r="W38" s="7" t="s">
        <v>660</v>
      </c>
    </row>
    <row r="39" spans="1:23" x14ac:dyDescent="0.35">
      <c r="A39" s="2">
        <v>8</v>
      </c>
      <c r="B39" s="109" t="s">
        <v>95</v>
      </c>
      <c r="C39" s="110" t="s">
        <v>96</v>
      </c>
      <c r="D39" s="2">
        <v>24</v>
      </c>
      <c r="E39" s="51">
        <v>5.78</v>
      </c>
      <c r="F39" s="105"/>
      <c r="H39" s="2">
        <v>2</v>
      </c>
      <c r="I39" s="2">
        <v>1</v>
      </c>
      <c r="J39" s="2">
        <v>0</v>
      </c>
      <c r="K39" s="2">
        <v>1</v>
      </c>
      <c r="L39" s="2">
        <v>8.1466666666666665</v>
      </c>
      <c r="M39" s="2">
        <v>8.9158333333333335</v>
      </c>
      <c r="N39" s="244">
        <v>2.4316500000000001E-2</v>
      </c>
      <c r="O39" s="2" t="s">
        <v>934</v>
      </c>
      <c r="P39" s="2">
        <v>100</v>
      </c>
      <c r="Q39" s="2" t="s">
        <v>55</v>
      </c>
      <c r="R39" s="2" t="s">
        <v>95</v>
      </c>
      <c r="S39" s="2"/>
      <c r="T39" s="2">
        <v>5</v>
      </c>
      <c r="U39" s="398">
        <v>130</v>
      </c>
      <c r="V39" s="7">
        <v>138.72</v>
      </c>
      <c r="W39" s="7" t="s">
        <v>660</v>
      </c>
    </row>
    <row r="40" spans="1:23" x14ac:dyDescent="0.35">
      <c r="A40" s="2">
        <v>8</v>
      </c>
      <c r="B40" s="109" t="s">
        <v>97</v>
      </c>
      <c r="C40" s="110" t="s">
        <v>98</v>
      </c>
      <c r="D40" s="2">
        <v>24</v>
      </c>
      <c r="E40" s="51">
        <v>5.78</v>
      </c>
      <c r="F40" s="105"/>
      <c r="H40" s="2">
        <v>2</v>
      </c>
      <c r="I40" s="2">
        <v>1</v>
      </c>
      <c r="J40" s="2">
        <v>0</v>
      </c>
      <c r="K40" s="2">
        <v>1</v>
      </c>
      <c r="L40" s="2">
        <v>8.1466666666666665</v>
      </c>
      <c r="M40" s="2">
        <v>8.9158333333333335</v>
      </c>
      <c r="N40" s="244">
        <v>2.4316500000000001E-2</v>
      </c>
      <c r="O40" s="2" t="s">
        <v>934</v>
      </c>
      <c r="P40" s="2">
        <v>100</v>
      </c>
      <c r="Q40" s="2" t="s">
        <v>55</v>
      </c>
      <c r="R40" s="2" t="s">
        <v>97</v>
      </c>
      <c r="S40" s="2"/>
      <c r="T40" s="2">
        <v>5</v>
      </c>
      <c r="U40" s="398">
        <v>130</v>
      </c>
      <c r="V40" s="7">
        <v>138.72</v>
      </c>
      <c r="W40" s="7" t="s">
        <v>660</v>
      </c>
    </row>
    <row r="41" spans="1:23" x14ac:dyDescent="0.35">
      <c r="A41" s="2">
        <v>8</v>
      </c>
      <c r="B41" s="109" t="s">
        <v>99</v>
      </c>
      <c r="C41" s="110" t="s">
        <v>100</v>
      </c>
      <c r="D41" s="2">
        <v>24</v>
      </c>
      <c r="E41" s="51">
        <v>5.78</v>
      </c>
      <c r="F41" s="105"/>
      <c r="H41" s="2">
        <v>2</v>
      </c>
      <c r="I41" s="2">
        <v>1</v>
      </c>
      <c r="J41" s="2">
        <v>0</v>
      </c>
      <c r="K41" s="2">
        <v>1</v>
      </c>
      <c r="L41" s="2">
        <v>7.4424999999999999</v>
      </c>
      <c r="M41" s="2">
        <v>8.19</v>
      </c>
      <c r="N41" s="244">
        <v>2.7251250000000001E-2</v>
      </c>
      <c r="O41" s="2" t="s">
        <v>934</v>
      </c>
      <c r="P41" s="2">
        <v>100</v>
      </c>
      <c r="Q41" s="2" t="s">
        <v>55</v>
      </c>
      <c r="R41" s="2" t="s">
        <v>99</v>
      </c>
      <c r="S41" s="2"/>
      <c r="T41" s="2">
        <v>5</v>
      </c>
      <c r="U41" s="398">
        <v>130</v>
      </c>
      <c r="V41" s="7">
        <v>138.72</v>
      </c>
      <c r="W41" s="7" t="s">
        <v>660</v>
      </c>
    </row>
    <row r="42" spans="1:23" x14ac:dyDescent="0.35">
      <c r="A42" s="2">
        <v>8</v>
      </c>
      <c r="B42" s="109" t="s">
        <v>101</v>
      </c>
      <c r="C42" s="110" t="s">
        <v>102</v>
      </c>
      <c r="D42" s="2">
        <v>24</v>
      </c>
      <c r="E42" s="51">
        <v>5.78</v>
      </c>
      <c r="F42" s="105"/>
      <c r="H42" s="2">
        <v>2</v>
      </c>
      <c r="I42" s="2">
        <v>1</v>
      </c>
      <c r="J42" s="2">
        <v>0</v>
      </c>
      <c r="K42" s="2">
        <v>1</v>
      </c>
      <c r="L42" s="2">
        <v>7.4424999999999999</v>
      </c>
      <c r="M42" s="2">
        <v>8.19</v>
      </c>
      <c r="N42" s="244">
        <v>2.7251250000000001E-2</v>
      </c>
      <c r="O42" s="2" t="s">
        <v>934</v>
      </c>
      <c r="P42" s="2">
        <v>100</v>
      </c>
      <c r="Q42" s="2" t="s">
        <v>55</v>
      </c>
      <c r="R42" s="2" t="s">
        <v>101</v>
      </c>
      <c r="S42" s="2"/>
      <c r="T42" s="2">
        <v>5</v>
      </c>
      <c r="U42" s="398">
        <v>130</v>
      </c>
      <c r="V42" s="7">
        <v>138.72</v>
      </c>
      <c r="W42" s="7" t="s">
        <v>660</v>
      </c>
    </row>
    <row r="43" spans="1:23" x14ac:dyDescent="0.35">
      <c r="A43" s="2">
        <v>8</v>
      </c>
      <c r="B43" s="109" t="s">
        <v>107</v>
      </c>
      <c r="C43" s="110" t="s">
        <v>109</v>
      </c>
      <c r="D43" s="2">
        <v>48</v>
      </c>
      <c r="E43" s="51">
        <v>15.55</v>
      </c>
      <c r="F43" s="105"/>
      <c r="H43" s="2"/>
      <c r="I43" s="2">
        <v>2</v>
      </c>
      <c r="J43" s="2">
        <v>0</v>
      </c>
      <c r="K43" s="2">
        <v>0</v>
      </c>
      <c r="L43" s="2">
        <v>18.96</v>
      </c>
      <c r="M43" s="2">
        <v>19.8</v>
      </c>
      <c r="N43" s="244">
        <v>3.4595000000000001E-2</v>
      </c>
      <c r="O43" s="2" t="s">
        <v>108</v>
      </c>
      <c r="P43" s="2">
        <v>100</v>
      </c>
      <c r="Q43" s="2" t="s">
        <v>55</v>
      </c>
      <c r="R43" s="2" t="s">
        <v>107</v>
      </c>
      <c r="S43" s="2"/>
      <c r="T43" s="2">
        <v>11.68</v>
      </c>
      <c r="U43" s="398">
        <v>560.64</v>
      </c>
      <c r="V43" s="7">
        <v>746.40000000000009</v>
      </c>
      <c r="W43" s="7" t="s">
        <v>660</v>
      </c>
    </row>
    <row r="44" spans="1:23" x14ac:dyDescent="0.35">
      <c r="A44" s="2">
        <v>8</v>
      </c>
      <c r="B44" s="109" t="s">
        <v>114</v>
      </c>
      <c r="C44" s="110" t="s">
        <v>115</v>
      </c>
      <c r="D44" s="2">
        <v>24</v>
      </c>
      <c r="E44" s="51">
        <v>15.55</v>
      </c>
      <c r="F44" s="105"/>
      <c r="H44" s="2"/>
      <c r="I44" s="2">
        <v>1</v>
      </c>
      <c r="J44" s="2">
        <v>0</v>
      </c>
      <c r="K44" s="2">
        <v>0</v>
      </c>
      <c r="L44" s="2">
        <v>9.48</v>
      </c>
      <c r="M44" s="2">
        <v>9.9</v>
      </c>
      <c r="N44" s="244">
        <v>1.72975E-2</v>
      </c>
      <c r="O44" s="2" t="s">
        <v>108</v>
      </c>
      <c r="P44" s="2">
        <v>100</v>
      </c>
      <c r="Q44" s="2" t="s">
        <v>55</v>
      </c>
      <c r="R44" s="2" t="s">
        <v>114</v>
      </c>
      <c r="S44" s="2"/>
      <c r="T44" s="2">
        <v>11.68</v>
      </c>
      <c r="U44" s="398">
        <v>280.32</v>
      </c>
      <c r="V44" s="7">
        <v>373.20000000000005</v>
      </c>
      <c r="W44" s="7" t="s">
        <v>660</v>
      </c>
    </row>
    <row r="45" spans="1:23" x14ac:dyDescent="0.35">
      <c r="A45" s="2">
        <v>8</v>
      </c>
      <c r="B45" s="109" t="s">
        <v>141</v>
      </c>
      <c r="C45" s="110" t="s">
        <v>142</v>
      </c>
      <c r="D45" s="2">
        <v>24</v>
      </c>
      <c r="E45" s="51">
        <v>15.55</v>
      </c>
      <c r="F45" s="105"/>
      <c r="H45" s="2">
        <v>6</v>
      </c>
      <c r="I45" s="2">
        <v>1</v>
      </c>
      <c r="J45" s="2">
        <v>0</v>
      </c>
      <c r="K45" s="2">
        <v>1</v>
      </c>
      <c r="L45" s="2">
        <v>11.850000000000001</v>
      </c>
      <c r="M45" s="2">
        <v>12.375</v>
      </c>
      <c r="N45" s="244">
        <v>2.1914062500000001E-2</v>
      </c>
      <c r="O45" s="2" t="s">
        <v>108</v>
      </c>
      <c r="P45" s="2">
        <v>100</v>
      </c>
      <c r="Q45" s="2" t="s">
        <v>55</v>
      </c>
      <c r="R45" s="2" t="s">
        <v>141</v>
      </c>
      <c r="S45" s="2"/>
      <c r="T45" s="2">
        <v>11.68</v>
      </c>
      <c r="U45" s="398">
        <v>350.4</v>
      </c>
      <c r="V45" s="7">
        <v>373.20000000000005</v>
      </c>
      <c r="W45" s="7" t="s">
        <v>660</v>
      </c>
    </row>
    <row r="46" spans="1:23" x14ac:dyDescent="0.35">
      <c r="A46" s="2">
        <v>8</v>
      </c>
      <c r="B46" s="109" t="s">
        <v>143</v>
      </c>
      <c r="C46" s="110" t="s">
        <v>144</v>
      </c>
      <c r="D46" s="2">
        <v>24</v>
      </c>
      <c r="E46" s="51">
        <v>15.55</v>
      </c>
      <c r="F46" s="105"/>
      <c r="H46" s="2">
        <v>6</v>
      </c>
      <c r="I46" s="2">
        <v>1</v>
      </c>
      <c r="J46" s="2">
        <v>0</v>
      </c>
      <c r="K46" s="2">
        <v>1</v>
      </c>
      <c r="L46" s="2">
        <v>11.850000000000001</v>
      </c>
      <c r="M46" s="2">
        <v>12.375</v>
      </c>
      <c r="N46" s="244">
        <v>2.1914062500000001E-2</v>
      </c>
      <c r="O46" s="2" t="s">
        <v>108</v>
      </c>
      <c r="P46" s="2">
        <v>100</v>
      </c>
      <c r="Q46" s="2" t="s">
        <v>55</v>
      </c>
      <c r="R46" s="2" t="s">
        <v>143</v>
      </c>
      <c r="S46" s="2"/>
      <c r="T46" s="2">
        <v>11.68</v>
      </c>
      <c r="U46" s="398">
        <v>350.4</v>
      </c>
      <c r="V46" s="7">
        <v>373.20000000000005</v>
      </c>
      <c r="W46" s="7" t="s">
        <v>660</v>
      </c>
    </row>
    <row r="47" spans="1:23" x14ac:dyDescent="0.35">
      <c r="A47" s="2">
        <v>9</v>
      </c>
      <c r="B47" s="109" t="s">
        <v>17</v>
      </c>
      <c r="C47" s="110" t="s">
        <v>20</v>
      </c>
      <c r="D47" s="2">
        <v>180</v>
      </c>
      <c r="E47" s="51">
        <v>8.11</v>
      </c>
      <c r="F47" s="105"/>
      <c r="H47" s="2"/>
      <c r="I47" s="2">
        <v>15</v>
      </c>
      <c r="J47" s="2">
        <v>0</v>
      </c>
      <c r="K47" s="2">
        <v>0</v>
      </c>
      <c r="L47" s="2">
        <v>75.599999999999994</v>
      </c>
      <c r="M47" s="2">
        <v>86.85</v>
      </c>
      <c r="N47" s="244">
        <v>0.42124499999999998</v>
      </c>
      <c r="O47" s="2" t="s">
        <v>18</v>
      </c>
      <c r="P47" s="2">
        <v>50</v>
      </c>
      <c r="Q47" s="2">
        <v>0</v>
      </c>
      <c r="R47" s="2" t="s">
        <v>17</v>
      </c>
      <c r="S47" s="2"/>
      <c r="T47" s="2">
        <v>5.23</v>
      </c>
      <c r="U47" s="398">
        <v>941.40000000000009</v>
      </c>
      <c r="V47" s="7">
        <v>1459.8</v>
      </c>
      <c r="W47" s="7" t="s">
        <v>660</v>
      </c>
    </row>
    <row r="48" spans="1:23" x14ac:dyDescent="0.35">
      <c r="A48" s="2">
        <v>9</v>
      </c>
      <c r="B48" s="109" t="s">
        <v>25</v>
      </c>
      <c r="C48" s="110" t="s">
        <v>26</v>
      </c>
      <c r="D48" s="2">
        <v>96</v>
      </c>
      <c r="E48" s="51">
        <v>8.11</v>
      </c>
      <c r="F48" s="105"/>
      <c r="H48" s="2"/>
      <c r="I48" s="2">
        <v>8</v>
      </c>
      <c r="J48" s="2">
        <v>0</v>
      </c>
      <c r="K48" s="2">
        <v>0</v>
      </c>
      <c r="L48" s="2">
        <v>40.32</v>
      </c>
      <c r="M48" s="2">
        <v>46.32</v>
      </c>
      <c r="N48" s="244">
        <v>0.224664</v>
      </c>
      <c r="O48" s="2" t="s">
        <v>18</v>
      </c>
      <c r="P48" s="2">
        <v>50</v>
      </c>
      <c r="Q48" s="2">
        <v>0</v>
      </c>
      <c r="R48" s="2" t="s">
        <v>25</v>
      </c>
      <c r="S48" s="2"/>
      <c r="T48" s="2">
        <v>5.23</v>
      </c>
      <c r="U48" s="398">
        <v>502.08000000000004</v>
      </c>
      <c r="V48" s="7">
        <v>778.56</v>
      </c>
      <c r="W48" s="7" t="s">
        <v>660</v>
      </c>
    </row>
    <row r="49" spans="1:23" x14ac:dyDescent="0.35">
      <c r="A49" s="2">
        <v>9</v>
      </c>
      <c r="B49" s="109" t="s">
        <v>27</v>
      </c>
      <c r="C49" s="110" t="s">
        <v>28</v>
      </c>
      <c r="D49" s="2">
        <v>96</v>
      </c>
      <c r="E49" s="51">
        <v>8.11</v>
      </c>
      <c r="F49" s="105"/>
      <c r="H49" s="2"/>
      <c r="I49" s="2">
        <v>8</v>
      </c>
      <c r="J49" s="2">
        <v>0</v>
      </c>
      <c r="K49" s="2">
        <v>0</v>
      </c>
      <c r="L49" s="2">
        <v>40.32</v>
      </c>
      <c r="M49" s="2">
        <v>46.32</v>
      </c>
      <c r="N49" s="244">
        <v>0.224664</v>
      </c>
      <c r="O49" s="2" t="s">
        <v>18</v>
      </c>
      <c r="P49" s="2">
        <v>50</v>
      </c>
      <c r="Q49" s="2">
        <v>0</v>
      </c>
      <c r="R49" s="2" t="s">
        <v>27</v>
      </c>
      <c r="S49" s="2"/>
      <c r="T49" s="2">
        <v>5.23</v>
      </c>
      <c r="U49" s="398">
        <v>502.08000000000004</v>
      </c>
      <c r="V49" s="7">
        <v>778.56</v>
      </c>
      <c r="W49" s="7" t="s">
        <v>660</v>
      </c>
    </row>
    <row r="50" spans="1:23" x14ac:dyDescent="0.35">
      <c r="A50" s="2">
        <v>9</v>
      </c>
      <c r="B50" s="109" t="s">
        <v>29</v>
      </c>
      <c r="C50" s="110" t="s">
        <v>31</v>
      </c>
      <c r="D50" s="2">
        <v>156</v>
      </c>
      <c r="E50" s="51">
        <v>8.11</v>
      </c>
      <c r="F50" s="105"/>
      <c r="H50" s="2"/>
      <c r="I50" s="2">
        <v>13</v>
      </c>
      <c r="J50" s="2">
        <v>0</v>
      </c>
      <c r="K50" s="2">
        <v>0</v>
      </c>
      <c r="L50" s="2">
        <v>62.14</v>
      </c>
      <c r="M50" s="2">
        <v>68.25</v>
      </c>
      <c r="N50" s="244">
        <v>0.36507899999999999</v>
      </c>
      <c r="O50" s="2" t="s">
        <v>18</v>
      </c>
      <c r="P50" s="2">
        <v>50</v>
      </c>
      <c r="Q50" s="2">
        <v>0</v>
      </c>
      <c r="R50" s="2" t="s">
        <v>29</v>
      </c>
      <c r="S50" s="2"/>
      <c r="T50" s="2">
        <v>5.23</v>
      </c>
      <c r="U50" s="398">
        <v>815.88000000000011</v>
      </c>
      <c r="V50" s="7">
        <v>1265.1599999999999</v>
      </c>
      <c r="W50" s="7" t="s">
        <v>660</v>
      </c>
    </row>
    <row r="51" spans="1:23" x14ac:dyDescent="0.35">
      <c r="A51" s="2">
        <v>9</v>
      </c>
      <c r="B51" s="109" t="s">
        <v>32</v>
      </c>
      <c r="C51" s="110" t="s">
        <v>33</v>
      </c>
      <c r="D51" s="2">
        <v>156</v>
      </c>
      <c r="E51" s="51">
        <v>8.11</v>
      </c>
      <c r="F51" s="105"/>
      <c r="H51" s="2"/>
      <c r="I51" s="2">
        <v>13</v>
      </c>
      <c r="J51" s="2">
        <v>0</v>
      </c>
      <c r="K51" s="2">
        <v>0</v>
      </c>
      <c r="L51" s="2">
        <v>62.14</v>
      </c>
      <c r="M51" s="2">
        <v>68.25</v>
      </c>
      <c r="N51" s="244">
        <v>0.36507899999999999</v>
      </c>
      <c r="O51" s="2" t="s">
        <v>18</v>
      </c>
      <c r="P51" s="2">
        <v>50</v>
      </c>
      <c r="Q51" s="2">
        <v>0</v>
      </c>
      <c r="R51" s="2" t="s">
        <v>32</v>
      </c>
      <c r="S51" s="2"/>
      <c r="T51" s="2">
        <v>5.23</v>
      </c>
      <c r="U51" s="398">
        <v>815.88000000000011</v>
      </c>
      <c r="V51" s="7">
        <v>1265.1599999999999</v>
      </c>
      <c r="W51" s="7" t="s">
        <v>660</v>
      </c>
    </row>
    <row r="52" spans="1:23" x14ac:dyDescent="0.35">
      <c r="A52" s="2">
        <v>9</v>
      </c>
      <c r="B52" s="109" t="s">
        <v>34</v>
      </c>
      <c r="C52" s="110" t="s">
        <v>35</v>
      </c>
      <c r="D52" s="2">
        <v>156</v>
      </c>
      <c r="E52" s="51">
        <v>8.11</v>
      </c>
      <c r="F52" s="105"/>
      <c r="H52" s="2"/>
      <c r="I52" s="2">
        <v>13</v>
      </c>
      <c r="J52" s="2">
        <v>0</v>
      </c>
      <c r="K52" s="2">
        <v>0</v>
      </c>
      <c r="L52" s="2">
        <v>62.14</v>
      </c>
      <c r="M52" s="2">
        <v>68.25</v>
      </c>
      <c r="N52" s="244">
        <v>0.36507899999999999</v>
      </c>
      <c r="O52" s="2" t="s">
        <v>18</v>
      </c>
      <c r="P52" s="2">
        <v>50</v>
      </c>
      <c r="Q52" s="2">
        <v>0</v>
      </c>
      <c r="R52" s="2" t="s">
        <v>34</v>
      </c>
      <c r="S52" s="2"/>
      <c r="T52" s="2">
        <v>5.23</v>
      </c>
      <c r="U52" s="398">
        <v>815.88000000000011</v>
      </c>
      <c r="V52" s="7">
        <v>1265.1599999999999</v>
      </c>
      <c r="W52" s="7" t="s">
        <v>660</v>
      </c>
    </row>
    <row r="53" spans="1:23" x14ac:dyDescent="0.35">
      <c r="A53" s="2">
        <v>9</v>
      </c>
      <c r="B53" s="109" t="s">
        <v>36</v>
      </c>
      <c r="C53" s="110" t="s">
        <v>37</v>
      </c>
      <c r="D53" s="2">
        <v>156</v>
      </c>
      <c r="E53" s="51">
        <v>8.11</v>
      </c>
      <c r="F53" s="105"/>
      <c r="H53" s="2"/>
      <c r="I53" s="2">
        <v>13</v>
      </c>
      <c r="J53" s="2">
        <v>0</v>
      </c>
      <c r="K53" s="2">
        <v>0</v>
      </c>
      <c r="L53" s="2">
        <v>62.14</v>
      </c>
      <c r="M53" s="2">
        <v>68.25</v>
      </c>
      <c r="N53" s="244">
        <v>0.36507899999999999</v>
      </c>
      <c r="O53" s="2" t="s">
        <v>18</v>
      </c>
      <c r="P53" s="2">
        <v>50</v>
      </c>
      <c r="Q53" s="2">
        <v>0</v>
      </c>
      <c r="R53" s="2" t="s">
        <v>36</v>
      </c>
      <c r="S53" s="2"/>
      <c r="T53" s="2">
        <v>5.23</v>
      </c>
      <c r="U53" s="398">
        <v>815.88000000000011</v>
      </c>
      <c r="V53" s="7">
        <v>1265.1599999999999</v>
      </c>
      <c r="W53" s="7" t="s">
        <v>660</v>
      </c>
    </row>
    <row r="54" spans="1:23" x14ac:dyDescent="0.35">
      <c r="A54" s="2">
        <v>9</v>
      </c>
      <c r="B54" s="109" t="s">
        <v>38</v>
      </c>
      <c r="C54" s="110" t="s">
        <v>39</v>
      </c>
      <c r="D54" s="2">
        <v>156</v>
      </c>
      <c r="E54" s="51">
        <v>8.7799999999999994</v>
      </c>
      <c r="F54" s="105"/>
      <c r="H54" s="2"/>
      <c r="I54" s="2">
        <v>13</v>
      </c>
      <c r="J54" s="2">
        <v>0</v>
      </c>
      <c r="K54" s="2">
        <v>0</v>
      </c>
      <c r="L54" s="2">
        <v>80.209999999999994</v>
      </c>
      <c r="M54" s="2">
        <v>88.009999999999991</v>
      </c>
      <c r="N54" s="244">
        <v>0.50676600000000005</v>
      </c>
      <c r="O54" s="2" t="s">
        <v>18</v>
      </c>
      <c r="P54" s="2">
        <v>50</v>
      </c>
      <c r="Q54" s="2">
        <v>0</v>
      </c>
      <c r="R54" s="2" t="s">
        <v>38</v>
      </c>
      <c r="S54" s="2"/>
      <c r="T54" s="2">
        <v>6.16</v>
      </c>
      <c r="U54" s="398">
        <v>1087.32</v>
      </c>
      <c r="V54" s="7">
        <v>1369.6799999999998</v>
      </c>
      <c r="W54" s="7" t="s">
        <v>660</v>
      </c>
    </row>
    <row r="55" spans="1:23" x14ac:dyDescent="0.35">
      <c r="A55" s="2">
        <v>9</v>
      </c>
      <c r="B55" s="109" t="s">
        <v>91</v>
      </c>
      <c r="C55" s="110" t="s">
        <v>92</v>
      </c>
      <c r="D55" s="2">
        <v>180</v>
      </c>
      <c r="E55" s="51">
        <v>8.11</v>
      </c>
      <c r="F55" s="105"/>
      <c r="H55" s="2">
        <v>18</v>
      </c>
      <c r="I55" s="2">
        <v>8</v>
      </c>
      <c r="J55" s="2">
        <v>0</v>
      </c>
      <c r="K55" s="2">
        <v>1</v>
      </c>
      <c r="L55" s="2">
        <v>62.04</v>
      </c>
      <c r="M55" s="2">
        <v>67.897500000000008</v>
      </c>
      <c r="N55" s="244">
        <v>0.1851795</v>
      </c>
      <c r="O55" s="2" t="s">
        <v>934</v>
      </c>
      <c r="P55" s="2">
        <v>100</v>
      </c>
      <c r="Q55" s="2" t="s">
        <v>55</v>
      </c>
      <c r="R55" s="2" t="s">
        <v>91</v>
      </c>
      <c r="S55" s="2"/>
      <c r="T55" s="2">
        <v>5</v>
      </c>
      <c r="U55" s="398">
        <v>990</v>
      </c>
      <c r="V55" s="7">
        <v>1459.8</v>
      </c>
      <c r="W55" s="7" t="s">
        <v>660</v>
      </c>
    </row>
    <row r="56" spans="1:23" x14ac:dyDescent="0.35">
      <c r="A56" s="2">
        <v>9</v>
      </c>
      <c r="B56" s="109" t="s">
        <v>93</v>
      </c>
      <c r="C56" s="110" t="s">
        <v>94</v>
      </c>
      <c r="D56" s="2">
        <v>108</v>
      </c>
      <c r="E56" s="51">
        <v>8.11</v>
      </c>
      <c r="F56" s="105"/>
      <c r="H56" s="2">
        <v>11</v>
      </c>
      <c r="I56" s="2">
        <v>5</v>
      </c>
      <c r="J56" s="2">
        <v>0</v>
      </c>
      <c r="K56" s="2">
        <v>1</v>
      </c>
      <c r="L56" s="2">
        <v>37.286666666666662</v>
      </c>
      <c r="M56" s="2">
        <v>40.807083333333331</v>
      </c>
      <c r="N56" s="244">
        <v>0.11129474999999998</v>
      </c>
      <c r="O56" s="2" t="s">
        <v>934</v>
      </c>
      <c r="P56" s="2">
        <v>100</v>
      </c>
      <c r="Q56" s="2" t="s">
        <v>55</v>
      </c>
      <c r="R56" s="2" t="s">
        <v>93</v>
      </c>
      <c r="S56" s="2"/>
      <c r="T56" s="2">
        <v>5</v>
      </c>
      <c r="U56" s="398">
        <v>595</v>
      </c>
      <c r="V56" s="7">
        <v>875.87999999999988</v>
      </c>
      <c r="W56" s="7" t="s">
        <v>660</v>
      </c>
    </row>
    <row r="57" spans="1:23" x14ac:dyDescent="0.35">
      <c r="A57" s="2">
        <v>9</v>
      </c>
      <c r="B57" s="109" t="s">
        <v>95</v>
      </c>
      <c r="C57" s="110" t="s">
        <v>96</v>
      </c>
      <c r="D57" s="2">
        <v>180</v>
      </c>
      <c r="E57" s="51">
        <v>8.11</v>
      </c>
      <c r="F57" s="105"/>
      <c r="H57" s="2">
        <v>18</v>
      </c>
      <c r="I57" s="2">
        <v>8</v>
      </c>
      <c r="J57" s="2">
        <v>0</v>
      </c>
      <c r="K57" s="2">
        <v>1</v>
      </c>
      <c r="L57" s="2">
        <v>62.04</v>
      </c>
      <c r="M57" s="2">
        <v>67.897500000000008</v>
      </c>
      <c r="N57" s="244">
        <v>0.1851795</v>
      </c>
      <c r="O57" s="2" t="s">
        <v>934</v>
      </c>
      <c r="P57" s="2">
        <v>100</v>
      </c>
      <c r="Q57" s="2" t="s">
        <v>55</v>
      </c>
      <c r="R57" s="2" t="s">
        <v>95</v>
      </c>
      <c r="S57" s="2"/>
      <c r="T57" s="2">
        <v>5</v>
      </c>
      <c r="U57" s="398">
        <v>990</v>
      </c>
      <c r="V57" s="7">
        <v>1459.8</v>
      </c>
      <c r="W57" s="7" t="s">
        <v>660</v>
      </c>
    </row>
    <row r="58" spans="1:23" x14ac:dyDescent="0.35">
      <c r="A58" s="2">
        <v>9</v>
      </c>
      <c r="B58" s="109" t="s">
        <v>97</v>
      </c>
      <c r="C58" s="110" t="s">
        <v>98</v>
      </c>
      <c r="D58" s="2">
        <v>108</v>
      </c>
      <c r="E58" s="51">
        <v>8.11</v>
      </c>
      <c r="F58" s="105"/>
      <c r="H58" s="2">
        <v>11</v>
      </c>
      <c r="I58" s="2">
        <v>5</v>
      </c>
      <c r="J58" s="2">
        <v>0</v>
      </c>
      <c r="K58" s="2">
        <v>1</v>
      </c>
      <c r="L58" s="2">
        <v>37.286666666666662</v>
      </c>
      <c r="M58" s="2">
        <v>40.807083333333331</v>
      </c>
      <c r="N58" s="244">
        <v>0.11129474999999998</v>
      </c>
      <c r="O58" s="2" t="s">
        <v>934</v>
      </c>
      <c r="P58" s="2">
        <v>100</v>
      </c>
      <c r="Q58" s="2" t="s">
        <v>55</v>
      </c>
      <c r="R58" s="2" t="s">
        <v>97</v>
      </c>
      <c r="S58" s="2"/>
      <c r="T58" s="2">
        <v>5</v>
      </c>
      <c r="U58" s="398">
        <v>595</v>
      </c>
      <c r="V58" s="7">
        <v>875.87999999999988</v>
      </c>
      <c r="W58" s="7" t="s">
        <v>660</v>
      </c>
    </row>
    <row r="59" spans="1:23" x14ac:dyDescent="0.35">
      <c r="A59" s="2">
        <v>9</v>
      </c>
      <c r="B59" s="109" t="s">
        <v>99</v>
      </c>
      <c r="C59" s="110" t="s">
        <v>100</v>
      </c>
      <c r="D59" s="2">
        <v>180</v>
      </c>
      <c r="E59" s="51">
        <v>8.11</v>
      </c>
      <c r="F59" s="105"/>
      <c r="H59" s="2">
        <v>18</v>
      </c>
      <c r="I59" s="2">
        <v>8</v>
      </c>
      <c r="J59" s="2">
        <v>0</v>
      </c>
      <c r="K59" s="2">
        <v>1</v>
      </c>
      <c r="L59" s="2">
        <v>56.677500000000002</v>
      </c>
      <c r="M59" s="2">
        <v>62.37</v>
      </c>
      <c r="N59" s="244">
        <v>0.20752875000000001</v>
      </c>
      <c r="O59" s="2" t="s">
        <v>934</v>
      </c>
      <c r="P59" s="2">
        <v>100</v>
      </c>
      <c r="Q59" s="2" t="s">
        <v>55</v>
      </c>
      <c r="R59" s="2" t="s">
        <v>99</v>
      </c>
      <c r="S59" s="2"/>
      <c r="T59" s="2">
        <v>5</v>
      </c>
      <c r="U59" s="398">
        <v>990</v>
      </c>
      <c r="V59" s="7">
        <v>1459.8</v>
      </c>
      <c r="W59" s="7" t="s">
        <v>660</v>
      </c>
    </row>
    <row r="60" spans="1:23" x14ac:dyDescent="0.35">
      <c r="A60" s="2">
        <v>9</v>
      </c>
      <c r="B60" s="109" t="s">
        <v>101</v>
      </c>
      <c r="C60" s="110" t="s">
        <v>102</v>
      </c>
      <c r="D60" s="2">
        <v>180</v>
      </c>
      <c r="E60" s="51">
        <v>8.11</v>
      </c>
      <c r="F60" s="105"/>
      <c r="H60" s="2">
        <v>18</v>
      </c>
      <c r="I60" s="2">
        <v>8</v>
      </c>
      <c r="J60" s="2">
        <v>0</v>
      </c>
      <c r="K60" s="2">
        <v>1</v>
      </c>
      <c r="L60" s="2">
        <v>56.677500000000002</v>
      </c>
      <c r="M60" s="2">
        <v>62.37</v>
      </c>
      <c r="N60" s="244">
        <v>0.20752875000000001</v>
      </c>
      <c r="O60" s="2" t="s">
        <v>934</v>
      </c>
      <c r="P60" s="2">
        <v>100</v>
      </c>
      <c r="Q60" s="2" t="s">
        <v>55</v>
      </c>
      <c r="R60" s="2" t="s">
        <v>101</v>
      </c>
      <c r="S60" s="2"/>
      <c r="T60" s="2">
        <v>5</v>
      </c>
      <c r="U60" s="398">
        <v>990</v>
      </c>
      <c r="V60" s="7">
        <v>1459.8</v>
      </c>
      <c r="W60" s="7" t="s">
        <v>660</v>
      </c>
    </row>
    <row r="61" spans="1:23" x14ac:dyDescent="0.35">
      <c r="A61" s="2">
        <v>9</v>
      </c>
      <c r="B61" s="109" t="s">
        <v>103</v>
      </c>
      <c r="C61" s="110" t="s">
        <v>104</v>
      </c>
      <c r="D61" s="2">
        <v>154</v>
      </c>
      <c r="E61" s="51">
        <v>8.11</v>
      </c>
      <c r="F61" s="105"/>
      <c r="H61" s="2">
        <v>15</v>
      </c>
      <c r="I61" s="2">
        <v>7</v>
      </c>
      <c r="J61" s="2">
        <v>0</v>
      </c>
      <c r="K61" s="2">
        <v>1</v>
      </c>
      <c r="L61" s="2">
        <v>48.376250000000006</v>
      </c>
      <c r="M61" s="2">
        <v>53.234999999999999</v>
      </c>
      <c r="N61" s="244">
        <v>0.17713312500000003</v>
      </c>
      <c r="O61" s="2" t="s">
        <v>934</v>
      </c>
      <c r="P61" s="2">
        <v>100</v>
      </c>
      <c r="Q61" s="2" t="s">
        <v>55</v>
      </c>
      <c r="R61" s="2" t="s">
        <v>103</v>
      </c>
      <c r="S61" s="2"/>
      <c r="T61" s="2">
        <v>5</v>
      </c>
      <c r="U61" s="398">
        <v>845</v>
      </c>
      <c r="V61" s="7">
        <v>1248.9399999999998</v>
      </c>
      <c r="W61" s="7" t="s">
        <v>660</v>
      </c>
    </row>
    <row r="62" spans="1:23" x14ac:dyDescent="0.35">
      <c r="A62" s="2">
        <v>9</v>
      </c>
      <c r="B62" s="109" t="s">
        <v>105</v>
      </c>
      <c r="C62" s="110" t="s">
        <v>106</v>
      </c>
      <c r="D62" s="2">
        <v>154</v>
      </c>
      <c r="E62" s="51">
        <v>8.11</v>
      </c>
      <c r="F62" s="105"/>
      <c r="H62" s="2">
        <v>15</v>
      </c>
      <c r="I62" s="2">
        <v>7</v>
      </c>
      <c r="J62" s="2">
        <v>0</v>
      </c>
      <c r="K62" s="2">
        <v>1</v>
      </c>
      <c r="L62" s="2">
        <v>48.376250000000006</v>
      </c>
      <c r="M62" s="2">
        <v>53.234999999999999</v>
      </c>
      <c r="N62" s="244">
        <v>0.17713312500000003</v>
      </c>
      <c r="O62" s="2" t="s">
        <v>934</v>
      </c>
      <c r="P62" s="2">
        <v>100</v>
      </c>
      <c r="Q62" s="2" t="s">
        <v>55</v>
      </c>
      <c r="R62" s="2" t="s">
        <v>105</v>
      </c>
      <c r="S62" s="2"/>
      <c r="T62" s="2">
        <v>5</v>
      </c>
      <c r="U62" s="398">
        <v>845</v>
      </c>
      <c r="V62" s="7">
        <v>1248.9399999999998</v>
      </c>
      <c r="W62" s="7" t="s">
        <v>660</v>
      </c>
    </row>
    <row r="63" spans="1:23" x14ac:dyDescent="0.35">
      <c r="A63" s="2">
        <v>9</v>
      </c>
      <c r="B63" s="109" t="s">
        <v>107</v>
      </c>
      <c r="C63" s="110" t="s">
        <v>109</v>
      </c>
      <c r="D63" s="2">
        <v>60</v>
      </c>
      <c r="E63" s="51">
        <v>18.920000000000002</v>
      </c>
      <c r="F63" s="105"/>
      <c r="H63" s="2">
        <v>6</v>
      </c>
      <c r="I63" s="2">
        <v>3</v>
      </c>
      <c r="J63" s="2">
        <v>0</v>
      </c>
      <c r="K63" s="2">
        <v>1</v>
      </c>
      <c r="L63" s="2">
        <v>26.07</v>
      </c>
      <c r="M63" s="2">
        <v>27.225000000000001</v>
      </c>
      <c r="N63" s="244">
        <v>4.7568125000000003E-2</v>
      </c>
      <c r="O63" s="2" t="s">
        <v>108</v>
      </c>
      <c r="P63" s="2">
        <v>100</v>
      </c>
      <c r="Q63" s="2" t="s">
        <v>55</v>
      </c>
      <c r="R63" s="2" t="s">
        <v>107</v>
      </c>
      <c r="S63" s="2"/>
      <c r="T63" s="2">
        <v>11.68</v>
      </c>
      <c r="U63" s="398">
        <v>770.88</v>
      </c>
      <c r="V63" s="7">
        <v>1135.2</v>
      </c>
      <c r="W63" s="7" t="s">
        <v>660</v>
      </c>
    </row>
    <row r="64" spans="1:23" x14ac:dyDescent="0.35">
      <c r="A64" s="2">
        <v>9</v>
      </c>
      <c r="B64" s="109" t="s">
        <v>114</v>
      </c>
      <c r="C64" s="110" t="s">
        <v>115</v>
      </c>
      <c r="D64" s="2">
        <v>60</v>
      </c>
      <c r="E64" s="51">
        <v>18.920000000000002</v>
      </c>
      <c r="F64" s="105"/>
      <c r="H64" s="2">
        <v>6</v>
      </c>
      <c r="I64" s="2">
        <v>3</v>
      </c>
      <c r="J64" s="2">
        <v>0</v>
      </c>
      <c r="K64" s="2">
        <v>1</v>
      </c>
      <c r="L64" s="2">
        <v>26.07</v>
      </c>
      <c r="M64" s="2">
        <v>27.225000000000001</v>
      </c>
      <c r="N64" s="244">
        <v>4.7568125000000003E-2</v>
      </c>
      <c r="O64" s="2" t="s">
        <v>108</v>
      </c>
      <c r="P64" s="2">
        <v>100</v>
      </c>
      <c r="Q64" s="2" t="s">
        <v>55</v>
      </c>
      <c r="R64" s="2" t="s">
        <v>114</v>
      </c>
      <c r="S64" s="2"/>
      <c r="T64" s="2">
        <v>11.68</v>
      </c>
      <c r="U64" s="398">
        <v>770.88</v>
      </c>
      <c r="V64" s="7">
        <v>1135.2</v>
      </c>
      <c r="W64" s="7" t="s">
        <v>660</v>
      </c>
    </row>
    <row r="65" spans="1:23" x14ac:dyDescent="0.35">
      <c r="A65" s="2">
        <v>9</v>
      </c>
      <c r="B65" s="109" t="s">
        <v>116</v>
      </c>
      <c r="C65" s="110" t="s">
        <v>117</v>
      </c>
      <c r="D65" s="2">
        <v>60</v>
      </c>
      <c r="E65" s="51">
        <v>18.920000000000002</v>
      </c>
      <c r="F65" s="105"/>
      <c r="H65" s="2">
        <v>6</v>
      </c>
      <c r="I65" s="2">
        <v>3</v>
      </c>
      <c r="J65" s="2">
        <v>0</v>
      </c>
      <c r="K65" s="2">
        <v>1</v>
      </c>
      <c r="L65" s="2">
        <v>25.08</v>
      </c>
      <c r="M65" s="2">
        <v>26.125</v>
      </c>
      <c r="N65" s="244">
        <v>4.8210937500000002E-2</v>
      </c>
      <c r="O65" s="2" t="s">
        <v>108</v>
      </c>
      <c r="P65" s="2">
        <v>100</v>
      </c>
      <c r="Q65" s="2" t="s">
        <v>55</v>
      </c>
      <c r="R65" s="2" t="s">
        <v>116</v>
      </c>
      <c r="S65" s="2"/>
      <c r="T65" s="2">
        <v>11.68</v>
      </c>
      <c r="U65" s="398">
        <v>770.88</v>
      </c>
      <c r="V65" s="7">
        <v>1135.2</v>
      </c>
      <c r="W65" s="7" t="s">
        <v>660</v>
      </c>
    </row>
    <row r="66" spans="1:23" x14ac:dyDescent="0.35">
      <c r="A66" s="2">
        <v>9</v>
      </c>
      <c r="B66" s="109" t="s">
        <v>118</v>
      </c>
      <c r="C66" s="110" t="s">
        <v>119</v>
      </c>
      <c r="D66" s="2">
        <v>60</v>
      </c>
      <c r="E66" s="51">
        <v>18.920000000000002</v>
      </c>
      <c r="F66" s="105"/>
      <c r="H66" s="2">
        <v>6</v>
      </c>
      <c r="I66" s="2">
        <v>3</v>
      </c>
      <c r="J66" s="2">
        <v>0</v>
      </c>
      <c r="K66" s="2">
        <v>1</v>
      </c>
      <c r="L66" s="2">
        <v>25.08</v>
      </c>
      <c r="M66" s="2">
        <v>26.125</v>
      </c>
      <c r="N66" s="244">
        <v>4.8210937500000002E-2</v>
      </c>
      <c r="O66" s="2" t="s">
        <v>108</v>
      </c>
      <c r="P66" s="2">
        <v>100</v>
      </c>
      <c r="Q66" s="2" t="s">
        <v>55</v>
      </c>
      <c r="R66" s="2" t="s">
        <v>118</v>
      </c>
      <c r="S66" s="2"/>
      <c r="T66" s="2">
        <v>11.68</v>
      </c>
      <c r="U66" s="398">
        <v>770.88</v>
      </c>
      <c r="V66" s="7">
        <v>1135.2</v>
      </c>
      <c r="W66" s="7" t="s">
        <v>660</v>
      </c>
    </row>
    <row r="67" spans="1:23" x14ac:dyDescent="0.35">
      <c r="A67" s="2">
        <v>9</v>
      </c>
      <c r="B67" s="109" t="s">
        <v>120</v>
      </c>
      <c r="C67" s="110" t="s">
        <v>121</v>
      </c>
      <c r="D67" s="2">
        <v>60</v>
      </c>
      <c r="E67" s="51">
        <v>18.920000000000002</v>
      </c>
      <c r="F67" s="105"/>
      <c r="H67" s="2">
        <v>6</v>
      </c>
      <c r="I67" s="2">
        <v>3</v>
      </c>
      <c r="J67" s="2">
        <v>0</v>
      </c>
      <c r="K67" s="2">
        <v>1</v>
      </c>
      <c r="L67" s="2">
        <v>25.08</v>
      </c>
      <c r="M67" s="2">
        <v>26.125</v>
      </c>
      <c r="N67" s="244">
        <v>4.8210937500000002E-2</v>
      </c>
      <c r="O67" s="2" t="s">
        <v>108</v>
      </c>
      <c r="P67" s="2">
        <v>100</v>
      </c>
      <c r="Q67" s="2" t="s">
        <v>55</v>
      </c>
      <c r="R67" s="2" t="s">
        <v>120</v>
      </c>
      <c r="S67" s="2"/>
      <c r="T67" s="2">
        <v>11.68</v>
      </c>
      <c r="U67" s="398">
        <v>770.88</v>
      </c>
      <c r="V67" s="7">
        <v>1135.2</v>
      </c>
      <c r="W67" s="7" t="s">
        <v>660</v>
      </c>
    </row>
    <row r="68" spans="1:23" x14ac:dyDescent="0.35">
      <c r="A68" s="2">
        <v>9</v>
      </c>
      <c r="B68" s="109" t="s">
        <v>122</v>
      </c>
      <c r="C68" s="110" t="s">
        <v>123</v>
      </c>
      <c r="D68" s="2">
        <v>120</v>
      </c>
      <c r="E68" s="51">
        <v>18.920000000000002</v>
      </c>
      <c r="F68" s="105"/>
      <c r="H68" s="2">
        <v>12</v>
      </c>
      <c r="I68" s="2">
        <v>5</v>
      </c>
      <c r="J68" s="2">
        <v>0</v>
      </c>
      <c r="K68" s="2">
        <v>1</v>
      </c>
      <c r="L68" s="2">
        <v>50.16</v>
      </c>
      <c r="M68" s="2">
        <v>52.25</v>
      </c>
      <c r="N68" s="244">
        <v>9.6421875000000004E-2</v>
      </c>
      <c r="O68" s="2" t="s">
        <v>108</v>
      </c>
      <c r="P68" s="2">
        <v>100</v>
      </c>
      <c r="Q68" s="2" t="s">
        <v>55</v>
      </c>
      <c r="R68" s="2" t="s">
        <v>122</v>
      </c>
      <c r="S68" s="2"/>
      <c r="T68" s="2">
        <v>11.68</v>
      </c>
      <c r="U68" s="398">
        <v>1541.76</v>
      </c>
      <c r="V68" s="7">
        <v>2270.4</v>
      </c>
      <c r="W68" s="7" t="s">
        <v>660</v>
      </c>
    </row>
    <row r="69" spans="1:23" x14ac:dyDescent="0.35">
      <c r="A69" s="2">
        <v>9</v>
      </c>
      <c r="B69" s="109" t="s">
        <v>168</v>
      </c>
      <c r="C69" s="110" t="s">
        <v>171</v>
      </c>
      <c r="D69" s="2">
        <v>120</v>
      </c>
      <c r="E69" s="51">
        <v>2.7</v>
      </c>
      <c r="F69" s="105"/>
      <c r="H69" s="2"/>
      <c r="I69" s="2">
        <v>5</v>
      </c>
      <c r="J69" s="2">
        <v>0</v>
      </c>
      <c r="K69" s="2">
        <v>0</v>
      </c>
      <c r="L69" s="2">
        <v>31.75</v>
      </c>
      <c r="M69" s="2">
        <v>35</v>
      </c>
      <c r="N69" s="244">
        <v>7.9695000000000002E-2</v>
      </c>
      <c r="O69" s="2" t="s">
        <v>169</v>
      </c>
      <c r="P69" s="2">
        <v>200</v>
      </c>
      <c r="Q69" s="2" t="s">
        <v>170</v>
      </c>
      <c r="R69" s="2" t="s">
        <v>168</v>
      </c>
      <c r="S69" s="2"/>
      <c r="T69" s="2">
        <v>2.0499999999999998</v>
      </c>
      <c r="U69" s="398">
        <v>245.99999999999997</v>
      </c>
      <c r="V69" s="7">
        <v>324</v>
      </c>
      <c r="W69" s="7" t="s">
        <v>660</v>
      </c>
    </row>
    <row r="70" spans="1:23" x14ac:dyDescent="0.35">
      <c r="A70" s="2">
        <v>9</v>
      </c>
      <c r="B70" s="109" t="s">
        <v>173</v>
      </c>
      <c r="C70" s="110" t="s">
        <v>174</v>
      </c>
      <c r="D70" s="2">
        <v>120</v>
      </c>
      <c r="E70" s="51">
        <v>2.7</v>
      </c>
      <c r="F70" s="105"/>
      <c r="H70" s="2"/>
      <c r="I70" s="2">
        <v>5</v>
      </c>
      <c r="J70" s="2">
        <v>0</v>
      </c>
      <c r="K70" s="2">
        <v>0</v>
      </c>
      <c r="L70" s="2">
        <v>31.75</v>
      </c>
      <c r="M70" s="2">
        <v>35</v>
      </c>
      <c r="N70" s="244">
        <v>7.9695000000000002E-2</v>
      </c>
      <c r="O70" s="2" t="s">
        <v>169</v>
      </c>
      <c r="P70" s="2">
        <v>200</v>
      </c>
      <c r="Q70" s="2" t="s">
        <v>170</v>
      </c>
      <c r="R70" s="2" t="s">
        <v>173</v>
      </c>
      <c r="S70" s="2"/>
      <c r="T70" s="2">
        <v>2.0499999999999998</v>
      </c>
      <c r="U70" s="398">
        <v>245.99999999999997</v>
      </c>
      <c r="V70" s="7">
        <v>324</v>
      </c>
      <c r="W70" s="7" t="s">
        <v>660</v>
      </c>
    </row>
    <row r="71" spans="1:23" x14ac:dyDescent="0.35">
      <c r="A71" s="2">
        <v>9</v>
      </c>
      <c r="B71" s="109" t="s">
        <v>175</v>
      </c>
      <c r="C71" s="110" t="s">
        <v>176</v>
      </c>
      <c r="D71" s="2">
        <v>120</v>
      </c>
      <c r="E71" s="51">
        <v>2.7</v>
      </c>
      <c r="F71" s="105"/>
      <c r="H71" s="2"/>
      <c r="I71" s="2">
        <v>5</v>
      </c>
      <c r="J71" s="2">
        <v>0</v>
      </c>
      <c r="K71" s="2">
        <v>0</v>
      </c>
      <c r="L71" s="2">
        <v>31.75</v>
      </c>
      <c r="M71" s="2">
        <v>35</v>
      </c>
      <c r="N71" s="244">
        <v>7.9695000000000002E-2</v>
      </c>
      <c r="O71" s="2" t="s">
        <v>169</v>
      </c>
      <c r="P71" s="2">
        <v>200</v>
      </c>
      <c r="Q71" s="2" t="s">
        <v>170</v>
      </c>
      <c r="R71" s="2" t="s">
        <v>175</v>
      </c>
      <c r="S71" s="2"/>
      <c r="T71" s="2">
        <v>2.0499999999999998</v>
      </c>
      <c r="U71" s="398">
        <v>245.99999999999997</v>
      </c>
      <c r="V71" s="7">
        <v>324</v>
      </c>
      <c r="W71" s="7" t="s">
        <v>660</v>
      </c>
    </row>
    <row r="72" spans="1:23" x14ac:dyDescent="0.35">
      <c r="A72" s="2">
        <v>9</v>
      </c>
      <c r="B72" s="109" t="s">
        <v>177</v>
      </c>
      <c r="C72" s="110" t="s">
        <v>178</v>
      </c>
      <c r="D72" s="2">
        <v>120</v>
      </c>
      <c r="E72" s="51">
        <v>2.7</v>
      </c>
      <c r="F72" s="105"/>
      <c r="H72" s="2"/>
      <c r="I72" s="2">
        <v>5</v>
      </c>
      <c r="J72" s="2">
        <v>0</v>
      </c>
      <c r="K72" s="2">
        <v>0</v>
      </c>
      <c r="L72" s="2">
        <v>31.75</v>
      </c>
      <c r="M72" s="2">
        <v>35</v>
      </c>
      <c r="N72" s="244">
        <v>7.9695000000000002E-2</v>
      </c>
      <c r="O72" s="2" t="s">
        <v>169</v>
      </c>
      <c r="P72" s="2">
        <v>200</v>
      </c>
      <c r="Q72" s="2" t="s">
        <v>170</v>
      </c>
      <c r="R72" s="2" t="s">
        <v>177</v>
      </c>
      <c r="S72" s="2"/>
      <c r="T72" s="2">
        <v>2.0499999999999998</v>
      </c>
      <c r="U72" s="398">
        <v>245.99999999999997</v>
      </c>
      <c r="V72" s="7">
        <v>324</v>
      </c>
      <c r="W72" s="7" t="s">
        <v>660</v>
      </c>
    </row>
    <row r="73" spans="1:23" x14ac:dyDescent="0.35">
      <c r="A73" s="2">
        <v>10</v>
      </c>
      <c r="B73" s="109" t="s">
        <v>72</v>
      </c>
      <c r="C73" s="110" t="s">
        <v>73</v>
      </c>
      <c r="D73" s="2">
        <v>100</v>
      </c>
      <c r="E73" s="51">
        <v>5.6</v>
      </c>
      <c r="F73" s="105"/>
      <c r="H73" s="2"/>
      <c r="I73" s="2">
        <v>9</v>
      </c>
      <c r="J73" s="2">
        <v>0</v>
      </c>
      <c r="K73" s="2">
        <v>0</v>
      </c>
      <c r="L73" s="2">
        <v>48.75</v>
      </c>
      <c r="M73" s="2">
        <v>55</v>
      </c>
      <c r="N73" s="244">
        <v>0.2719664</v>
      </c>
      <c r="O73" s="2" t="s">
        <v>18</v>
      </c>
      <c r="P73" s="2">
        <v>100</v>
      </c>
      <c r="Q73" s="2">
        <v>0</v>
      </c>
      <c r="R73" s="2" t="s">
        <v>72</v>
      </c>
      <c r="S73" s="2"/>
      <c r="T73" s="2">
        <v>0</v>
      </c>
      <c r="U73" s="398">
        <v>0</v>
      </c>
      <c r="V73" s="7">
        <v>560</v>
      </c>
      <c r="W73" s="7" t="s">
        <v>660</v>
      </c>
    </row>
    <row r="74" spans="1:23" x14ac:dyDescent="0.35">
      <c r="A74" s="2">
        <v>10</v>
      </c>
      <c r="B74" s="109" t="s">
        <v>74</v>
      </c>
      <c r="C74" s="110" t="s">
        <v>75</v>
      </c>
      <c r="D74" s="2">
        <v>250</v>
      </c>
      <c r="E74" s="51">
        <v>5.6</v>
      </c>
      <c r="F74" s="105"/>
      <c r="H74" s="2"/>
      <c r="I74" s="2">
        <v>21</v>
      </c>
      <c r="J74" s="2">
        <v>0</v>
      </c>
      <c r="K74" s="2">
        <v>0</v>
      </c>
      <c r="L74" s="2">
        <v>121.87499999999999</v>
      </c>
      <c r="M74" s="2">
        <v>137.49999999999997</v>
      </c>
      <c r="N74" s="244">
        <v>0.67991599999999985</v>
      </c>
      <c r="O74" s="2" t="s">
        <v>18</v>
      </c>
      <c r="P74" s="2">
        <v>100</v>
      </c>
      <c r="Q74" s="2">
        <v>0</v>
      </c>
      <c r="R74" s="2" t="s">
        <v>74</v>
      </c>
      <c r="S74" s="2"/>
      <c r="T74" s="2">
        <v>0</v>
      </c>
      <c r="U74" s="398">
        <v>0</v>
      </c>
      <c r="V74" s="7">
        <v>1400</v>
      </c>
      <c r="W74" s="7" t="s">
        <v>660</v>
      </c>
    </row>
    <row r="75" spans="1:23" x14ac:dyDescent="0.35">
      <c r="A75" s="2">
        <v>10</v>
      </c>
      <c r="B75" s="109" t="s">
        <v>76</v>
      </c>
      <c r="C75" s="110" t="s">
        <v>77</v>
      </c>
      <c r="D75" s="2">
        <v>60</v>
      </c>
      <c r="E75" s="51">
        <v>5.6</v>
      </c>
      <c r="F75" s="105"/>
      <c r="H75" s="2"/>
      <c r="I75" s="2">
        <v>5</v>
      </c>
      <c r="J75" s="2">
        <v>0</v>
      </c>
      <c r="K75" s="2">
        <v>0</v>
      </c>
      <c r="L75" s="2">
        <v>29.25</v>
      </c>
      <c r="M75" s="2">
        <v>33</v>
      </c>
      <c r="N75" s="244">
        <v>0.16317983999999999</v>
      </c>
      <c r="O75" s="2" t="s">
        <v>18</v>
      </c>
      <c r="P75" s="2">
        <v>100</v>
      </c>
      <c r="Q75" s="2">
        <v>0</v>
      </c>
      <c r="R75" s="2" t="s">
        <v>76</v>
      </c>
      <c r="S75" s="2"/>
      <c r="T75" s="2">
        <v>0</v>
      </c>
      <c r="U75" s="398">
        <v>0</v>
      </c>
      <c r="V75" s="7">
        <v>336</v>
      </c>
      <c r="W75" s="7" t="s">
        <v>660</v>
      </c>
    </row>
    <row r="76" spans="1:23" x14ac:dyDescent="0.35">
      <c r="A76" s="2">
        <v>10</v>
      </c>
      <c r="B76" s="109" t="s">
        <v>78</v>
      </c>
      <c r="C76" s="110" t="s">
        <v>79</v>
      </c>
      <c r="D76" s="2">
        <v>250</v>
      </c>
      <c r="E76" s="51">
        <v>5.6</v>
      </c>
      <c r="F76" s="105"/>
      <c r="H76" s="2"/>
      <c r="I76" s="2">
        <v>21</v>
      </c>
      <c r="J76" s="2">
        <v>0</v>
      </c>
      <c r="K76" s="2">
        <v>0</v>
      </c>
      <c r="L76" s="2">
        <v>121.87499999999999</v>
      </c>
      <c r="M76" s="2">
        <v>137.49999999999997</v>
      </c>
      <c r="N76" s="244">
        <v>0.67991599999999985</v>
      </c>
      <c r="O76" s="2" t="s">
        <v>18</v>
      </c>
      <c r="P76" s="2">
        <v>100</v>
      </c>
      <c r="Q76" s="2">
        <v>0</v>
      </c>
      <c r="R76" s="2" t="s">
        <v>78</v>
      </c>
      <c r="S76" s="2"/>
      <c r="T76" s="2">
        <v>0</v>
      </c>
      <c r="U76" s="398">
        <v>0</v>
      </c>
      <c r="V76" s="7">
        <v>1400</v>
      </c>
      <c r="W76" s="7" t="s">
        <v>660</v>
      </c>
    </row>
    <row r="77" spans="1:23" x14ac:dyDescent="0.35">
      <c r="A77" s="2">
        <v>10</v>
      </c>
      <c r="B77" s="109" t="s">
        <v>80</v>
      </c>
      <c r="C77" s="110" t="s">
        <v>81</v>
      </c>
      <c r="D77" s="2">
        <v>40</v>
      </c>
      <c r="E77" s="51">
        <v>5.6</v>
      </c>
      <c r="F77" s="105"/>
      <c r="H77" s="2"/>
      <c r="I77" s="2">
        <v>4</v>
      </c>
      <c r="J77" s="2">
        <v>0</v>
      </c>
      <c r="K77" s="2">
        <v>0</v>
      </c>
      <c r="L77" s="2">
        <v>17.5</v>
      </c>
      <c r="M77" s="2">
        <v>20</v>
      </c>
      <c r="N77" s="244">
        <v>0.10687333333333335</v>
      </c>
      <c r="O77" s="2" t="s">
        <v>18</v>
      </c>
      <c r="P77" s="2">
        <v>100</v>
      </c>
      <c r="Q77" s="2">
        <v>0</v>
      </c>
      <c r="R77" s="2" t="s">
        <v>80</v>
      </c>
      <c r="S77" s="2"/>
      <c r="T77" s="2">
        <v>0</v>
      </c>
      <c r="U77" s="398">
        <v>0</v>
      </c>
      <c r="V77" s="7">
        <v>224</v>
      </c>
      <c r="W77" s="7" t="s">
        <v>660</v>
      </c>
    </row>
    <row r="78" spans="1:23" x14ac:dyDescent="0.35">
      <c r="A78" s="2">
        <v>10</v>
      </c>
      <c r="B78" s="109" t="s">
        <v>91</v>
      </c>
      <c r="C78" s="110" t="s">
        <v>92</v>
      </c>
      <c r="D78" s="2">
        <v>60</v>
      </c>
      <c r="E78" s="51">
        <v>4.76</v>
      </c>
      <c r="F78" s="105"/>
      <c r="H78" s="2">
        <v>10</v>
      </c>
      <c r="I78" s="2">
        <v>3</v>
      </c>
      <c r="J78" s="2">
        <v>0</v>
      </c>
      <c r="K78" s="2">
        <v>1</v>
      </c>
      <c r="L78" s="2">
        <v>21.93333333333333</v>
      </c>
      <c r="M78" s="2">
        <v>24.004166666666666</v>
      </c>
      <c r="N78" s="244">
        <v>6.5467499999999998E-2</v>
      </c>
      <c r="O78" s="2" t="s">
        <v>934</v>
      </c>
      <c r="P78" s="2">
        <v>100</v>
      </c>
      <c r="Q78" s="2" t="s">
        <v>55</v>
      </c>
      <c r="R78" s="2" t="s">
        <v>91</v>
      </c>
      <c r="S78" s="2"/>
      <c r="T78" s="2">
        <v>5</v>
      </c>
      <c r="U78" s="398">
        <v>350</v>
      </c>
      <c r="V78" s="7">
        <v>285.59999999999997</v>
      </c>
      <c r="W78" s="7" t="s">
        <v>660</v>
      </c>
    </row>
    <row r="79" spans="1:23" x14ac:dyDescent="0.35">
      <c r="A79" s="2">
        <v>10</v>
      </c>
      <c r="B79" s="109" t="s">
        <v>93</v>
      </c>
      <c r="C79" s="110" t="s">
        <v>94</v>
      </c>
      <c r="D79" s="2">
        <v>20</v>
      </c>
      <c r="E79" s="51">
        <v>4.76</v>
      </c>
      <c r="F79" s="105"/>
      <c r="H79" s="2">
        <v>3</v>
      </c>
      <c r="I79" s="2">
        <v>1</v>
      </c>
      <c r="J79" s="2">
        <v>0</v>
      </c>
      <c r="K79" s="2">
        <v>1</v>
      </c>
      <c r="L79" s="2">
        <v>7.2066666666666661</v>
      </c>
      <c r="M79" s="2">
        <v>7.8870833333333339</v>
      </c>
      <c r="N79" s="244">
        <v>2.1510750000000002E-2</v>
      </c>
      <c r="O79" s="2" t="s">
        <v>934</v>
      </c>
      <c r="P79" s="2">
        <v>100</v>
      </c>
      <c r="Q79" s="2" t="s">
        <v>55</v>
      </c>
      <c r="R79" s="2" t="s">
        <v>93</v>
      </c>
      <c r="S79" s="2"/>
      <c r="T79" s="2">
        <v>5</v>
      </c>
      <c r="U79" s="398">
        <v>115</v>
      </c>
      <c r="V79" s="7">
        <v>95.199999999999989</v>
      </c>
      <c r="W79" s="7" t="s">
        <v>660</v>
      </c>
    </row>
    <row r="80" spans="1:23" x14ac:dyDescent="0.35">
      <c r="A80" s="2">
        <v>10</v>
      </c>
      <c r="B80" s="109" t="s">
        <v>95</v>
      </c>
      <c r="C80" s="110" t="s">
        <v>96</v>
      </c>
      <c r="D80" s="2">
        <v>40</v>
      </c>
      <c r="E80" s="51">
        <v>4.76</v>
      </c>
      <c r="F80" s="105"/>
      <c r="H80" s="2">
        <v>7</v>
      </c>
      <c r="I80" s="2">
        <v>2</v>
      </c>
      <c r="J80" s="2">
        <v>0</v>
      </c>
      <c r="K80" s="2">
        <v>1</v>
      </c>
      <c r="L80" s="2">
        <v>14.726666666666665</v>
      </c>
      <c r="M80" s="2">
        <v>16.117083333333333</v>
      </c>
      <c r="N80" s="244">
        <v>4.3956749999999996E-2</v>
      </c>
      <c r="O80" s="2" t="s">
        <v>934</v>
      </c>
      <c r="P80" s="2">
        <v>100</v>
      </c>
      <c r="Q80" s="2" t="s">
        <v>55</v>
      </c>
      <c r="R80" s="2" t="s">
        <v>95</v>
      </c>
      <c r="S80" s="2"/>
      <c r="T80" s="2">
        <v>5</v>
      </c>
      <c r="U80" s="398">
        <v>235</v>
      </c>
      <c r="V80" s="7">
        <v>190.39999999999998</v>
      </c>
      <c r="W80" s="7" t="s">
        <v>660</v>
      </c>
    </row>
    <row r="81" spans="1:23" x14ac:dyDescent="0.35">
      <c r="A81" s="2">
        <v>10</v>
      </c>
      <c r="B81" s="109" t="s">
        <v>97</v>
      </c>
      <c r="C81" s="110" t="s">
        <v>98</v>
      </c>
      <c r="D81" s="2">
        <v>40</v>
      </c>
      <c r="E81" s="51">
        <v>4.76</v>
      </c>
      <c r="F81" s="105"/>
      <c r="H81" s="2">
        <v>7</v>
      </c>
      <c r="I81" s="2">
        <v>2</v>
      </c>
      <c r="J81" s="2">
        <v>0</v>
      </c>
      <c r="K81" s="2">
        <v>1</v>
      </c>
      <c r="L81" s="2">
        <v>14.726666666666665</v>
      </c>
      <c r="M81" s="2">
        <v>16.117083333333333</v>
      </c>
      <c r="N81" s="244">
        <v>4.3956749999999996E-2</v>
      </c>
      <c r="O81" s="2" t="s">
        <v>934</v>
      </c>
      <c r="P81" s="2">
        <v>100</v>
      </c>
      <c r="Q81" s="2" t="s">
        <v>55</v>
      </c>
      <c r="R81" s="2" t="s">
        <v>97</v>
      </c>
      <c r="S81" s="2"/>
      <c r="T81" s="2">
        <v>5</v>
      </c>
      <c r="U81" s="398">
        <v>235</v>
      </c>
      <c r="V81" s="7">
        <v>190.39999999999998</v>
      </c>
      <c r="W81" s="7" t="s">
        <v>660</v>
      </c>
    </row>
    <row r="82" spans="1:23" x14ac:dyDescent="0.35">
      <c r="A82" s="2">
        <v>10</v>
      </c>
      <c r="B82" s="109" t="s">
        <v>99</v>
      </c>
      <c r="C82" s="110" t="s">
        <v>100</v>
      </c>
      <c r="D82" s="2">
        <v>50</v>
      </c>
      <c r="E82" s="51">
        <v>4.76</v>
      </c>
      <c r="F82" s="105"/>
      <c r="H82" s="2">
        <v>8</v>
      </c>
      <c r="I82" s="2">
        <v>3</v>
      </c>
      <c r="J82" s="2">
        <v>0</v>
      </c>
      <c r="K82" s="2">
        <v>1</v>
      </c>
      <c r="L82" s="2">
        <v>16.602499999999999</v>
      </c>
      <c r="M82" s="2">
        <v>18.27</v>
      </c>
      <c r="N82" s="244">
        <v>6.0791249999999984E-2</v>
      </c>
      <c r="O82" s="2" t="s">
        <v>934</v>
      </c>
      <c r="P82" s="2">
        <v>100</v>
      </c>
      <c r="Q82" s="2" t="s">
        <v>55</v>
      </c>
      <c r="R82" s="2" t="s">
        <v>99</v>
      </c>
      <c r="S82" s="2"/>
      <c r="T82" s="2">
        <v>5</v>
      </c>
      <c r="U82" s="398">
        <v>290</v>
      </c>
      <c r="V82" s="7">
        <v>238</v>
      </c>
      <c r="W82" s="7" t="s">
        <v>660</v>
      </c>
    </row>
    <row r="83" spans="1:23" x14ac:dyDescent="0.35">
      <c r="A83" s="2">
        <v>10</v>
      </c>
      <c r="B83" s="109" t="s">
        <v>101</v>
      </c>
      <c r="C83" s="110" t="s">
        <v>102</v>
      </c>
      <c r="D83" s="2">
        <v>40</v>
      </c>
      <c r="E83" s="51">
        <v>4.76</v>
      </c>
      <c r="F83" s="105"/>
      <c r="H83" s="2">
        <v>7</v>
      </c>
      <c r="I83" s="2">
        <v>2</v>
      </c>
      <c r="J83" s="2">
        <v>0</v>
      </c>
      <c r="K83" s="2">
        <v>1</v>
      </c>
      <c r="L83" s="2">
        <v>13.453749999999999</v>
      </c>
      <c r="M83" s="2">
        <v>14.804999999999998</v>
      </c>
      <c r="N83" s="244">
        <v>4.926187499999999E-2</v>
      </c>
      <c r="O83" s="2" t="s">
        <v>934</v>
      </c>
      <c r="P83" s="2">
        <v>100</v>
      </c>
      <c r="Q83" s="2" t="s">
        <v>55</v>
      </c>
      <c r="R83" s="2" t="s">
        <v>101</v>
      </c>
      <c r="S83" s="2"/>
      <c r="T83" s="2">
        <v>5</v>
      </c>
      <c r="U83" s="398">
        <v>235</v>
      </c>
      <c r="V83" s="7">
        <v>190.39999999999998</v>
      </c>
      <c r="W83" s="7" t="s">
        <v>660</v>
      </c>
    </row>
    <row r="84" spans="1:23" x14ac:dyDescent="0.35">
      <c r="A84" s="2">
        <v>10</v>
      </c>
      <c r="B84" s="109" t="s">
        <v>103</v>
      </c>
      <c r="C84" s="110" t="s">
        <v>104</v>
      </c>
      <c r="D84" s="2">
        <v>30</v>
      </c>
      <c r="E84" s="51">
        <v>4.76</v>
      </c>
      <c r="F84" s="105"/>
      <c r="H84" s="2">
        <v>5</v>
      </c>
      <c r="I84" s="2">
        <v>2</v>
      </c>
      <c r="J84" s="2">
        <v>0</v>
      </c>
      <c r="K84" s="2">
        <v>1</v>
      </c>
      <c r="L84" s="2">
        <v>10.018749999999999</v>
      </c>
      <c r="M84" s="2">
        <v>11.024999999999999</v>
      </c>
      <c r="N84" s="244">
        <v>3.6684374999999991E-2</v>
      </c>
      <c r="O84" s="2" t="s">
        <v>934</v>
      </c>
      <c r="P84" s="2">
        <v>100</v>
      </c>
      <c r="Q84" s="2" t="s">
        <v>55</v>
      </c>
      <c r="R84" s="2" t="s">
        <v>103</v>
      </c>
      <c r="S84" s="2"/>
      <c r="T84" s="2">
        <v>5</v>
      </c>
      <c r="U84" s="398">
        <v>175</v>
      </c>
      <c r="V84" s="7">
        <v>142.79999999999998</v>
      </c>
      <c r="W84" s="7" t="s">
        <v>660</v>
      </c>
    </row>
    <row r="85" spans="1:23" x14ac:dyDescent="0.35">
      <c r="A85" s="2">
        <v>11</v>
      </c>
      <c r="B85" s="109" t="s">
        <v>156</v>
      </c>
      <c r="C85" s="110" t="s">
        <v>157</v>
      </c>
      <c r="D85" s="2">
        <v>6888</v>
      </c>
      <c r="E85" s="51">
        <v>1.03</v>
      </c>
      <c r="F85" s="105"/>
      <c r="H85" s="2"/>
      <c r="I85" s="2">
        <v>144</v>
      </c>
      <c r="J85" s="2">
        <v>0</v>
      </c>
      <c r="K85" s="2">
        <v>0</v>
      </c>
      <c r="L85" s="2">
        <v>902.32800000000009</v>
      </c>
      <c r="M85" s="2">
        <v>1009.6659999999999</v>
      </c>
      <c r="N85" s="244">
        <v>3.7654399999999999</v>
      </c>
      <c r="O85" s="2" t="s">
        <v>150</v>
      </c>
      <c r="P85" s="2">
        <v>150</v>
      </c>
      <c r="Q85" s="2" t="s">
        <v>151</v>
      </c>
      <c r="R85" s="2" t="s">
        <v>156</v>
      </c>
      <c r="S85" s="2"/>
      <c r="T85" s="2">
        <v>0.81599999999999995</v>
      </c>
      <c r="U85" s="398">
        <v>5620.6079999999993</v>
      </c>
      <c r="V85" s="7">
        <v>7094.64</v>
      </c>
      <c r="W85" s="7" t="s">
        <v>660</v>
      </c>
    </row>
    <row r="86" spans="1:23" x14ac:dyDescent="0.35">
      <c r="A86" s="2">
        <v>12</v>
      </c>
      <c r="B86" s="109" t="s">
        <v>91</v>
      </c>
      <c r="C86" s="110" t="s">
        <v>92</v>
      </c>
      <c r="D86" s="2"/>
      <c r="E86" s="51"/>
      <c r="F86" s="105"/>
      <c r="H86" s="2">
        <v>4</v>
      </c>
      <c r="I86" s="2">
        <v>0</v>
      </c>
      <c r="J86" s="2">
        <v>0</v>
      </c>
      <c r="K86" s="2">
        <v>1</v>
      </c>
      <c r="L86" s="2">
        <v>1.2533333333333332</v>
      </c>
      <c r="M86" s="2">
        <v>1.3716666666666666</v>
      </c>
      <c r="N86" s="244">
        <v>3.7409999999999995E-3</v>
      </c>
      <c r="O86" s="2" t="s">
        <v>934</v>
      </c>
      <c r="P86" s="2">
        <v>100</v>
      </c>
      <c r="Q86" s="2" t="s">
        <v>55</v>
      </c>
      <c r="R86" s="2" t="s">
        <v>91</v>
      </c>
      <c r="S86" s="2"/>
      <c r="T86" s="2">
        <v>5</v>
      </c>
      <c r="U86" s="398">
        <v>20</v>
      </c>
      <c r="V86" s="7">
        <v>0</v>
      </c>
      <c r="W86" s="7" t="s">
        <v>660</v>
      </c>
    </row>
    <row r="87" spans="1:23" x14ac:dyDescent="0.35">
      <c r="A87" s="2">
        <v>12</v>
      </c>
      <c r="B87" s="109" t="s">
        <v>95</v>
      </c>
      <c r="C87" s="110" t="s">
        <v>96</v>
      </c>
      <c r="D87" s="2"/>
      <c r="E87" s="51"/>
      <c r="F87" s="105"/>
      <c r="H87" s="2">
        <v>3</v>
      </c>
      <c r="I87" s="2">
        <v>0</v>
      </c>
      <c r="J87" s="2">
        <v>0</v>
      </c>
      <c r="K87" s="2">
        <v>1</v>
      </c>
      <c r="L87" s="2">
        <v>0.94</v>
      </c>
      <c r="M87" s="2">
        <v>1.0287500000000001</v>
      </c>
      <c r="N87" s="244">
        <v>2.8057500000000001E-3</v>
      </c>
      <c r="O87" s="2" t="s">
        <v>934</v>
      </c>
      <c r="P87" s="2">
        <v>100</v>
      </c>
      <c r="Q87" s="2" t="s">
        <v>55</v>
      </c>
      <c r="R87" s="2" t="s">
        <v>95</v>
      </c>
      <c r="S87" s="2"/>
      <c r="T87" s="2">
        <v>5</v>
      </c>
      <c r="U87" s="398">
        <v>15</v>
      </c>
      <c r="V87" s="7">
        <v>0</v>
      </c>
      <c r="W87" s="7" t="s">
        <v>660</v>
      </c>
    </row>
    <row r="88" spans="1:23" x14ac:dyDescent="0.35">
      <c r="A88" s="2">
        <v>12</v>
      </c>
      <c r="B88" s="109" t="s">
        <v>99</v>
      </c>
      <c r="C88" s="110" t="s">
        <v>100</v>
      </c>
      <c r="D88" s="2"/>
      <c r="E88" s="51"/>
      <c r="F88" s="105"/>
      <c r="H88" s="2">
        <v>1</v>
      </c>
      <c r="I88" s="2">
        <v>0</v>
      </c>
      <c r="J88" s="2">
        <v>0</v>
      </c>
      <c r="K88" s="2">
        <v>1</v>
      </c>
      <c r="L88" s="2">
        <v>0.28625</v>
      </c>
      <c r="M88" s="2">
        <v>0.31499999999999995</v>
      </c>
      <c r="N88" s="244">
        <v>1.0481249999999998E-3</v>
      </c>
      <c r="O88" s="2" t="s">
        <v>934</v>
      </c>
      <c r="P88" s="2">
        <v>100</v>
      </c>
      <c r="Q88" s="2" t="s">
        <v>55</v>
      </c>
      <c r="R88" s="2" t="s">
        <v>99</v>
      </c>
      <c r="S88" s="2"/>
      <c r="T88" s="2">
        <v>5</v>
      </c>
      <c r="U88" s="398">
        <v>5</v>
      </c>
      <c r="V88" s="7">
        <v>0</v>
      </c>
      <c r="W88" s="7" t="s">
        <v>660</v>
      </c>
    </row>
    <row r="89" spans="1:23" x14ac:dyDescent="0.35">
      <c r="A89" s="2">
        <v>12</v>
      </c>
      <c r="B89" s="109" t="s">
        <v>101</v>
      </c>
      <c r="C89" s="110" t="s">
        <v>102</v>
      </c>
      <c r="D89" s="2"/>
      <c r="E89" s="51"/>
      <c r="F89" s="105"/>
      <c r="H89" s="2">
        <v>1</v>
      </c>
      <c r="I89" s="2">
        <v>0</v>
      </c>
      <c r="J89" s="2">
        <v>0</v>
      </c>
      <c r="K89" s="2">
        <v>1</v>
      </c>
      <c r="L89" s="2">
        <v>0.28625</v>
      </c>
      <c r="M89" s="2">
        <v>0.31499999999999995</v>
      </c>
      <c r="N89" s="244">
        <v>1.0481249999999998E-3</v>
      </c>
      <c r="O89" s="2" t="s">
        <v>934</v>
      </c>
      <c r="P89" s="2">
        <v>100</v>
      </c>
      <c r="Q89" s="2" t="s">
        <v>55</v>
      </c>
      <c r="R89" s="2" t="s">
        <v>101</v>
      </c>
      <c r="S89" s="2"/>
      <c r="T89" s="2">
        <v>5</v>
      </c>
      <c r="U89" s="398">
        <v>5</v>
      </c>
      <c r="V89" s="7">
        <v>0</v>
      </c>
      <c r="W89" s="7" t="s">
        <v>660</v>
      </c>
    </row>
    <row r="90" spans="1:23" x14ac:dyDescent="0.35">
      <c r="A90" s="2">
        <v>12</v>
      </c>
      <c r="B90" s="109" t="s">
        <v>141</v>
      </c>
      <c r="C90" s="110" t="s">
        <v>142</v>
      </c>
      <c r="D90" s="2">
        <v>1008</v>
      </c>
      <c r="E90" s="51">
        <v>12.5</v>
      </c>
      <c r="F90" s="105"/>
      <c r="H90" s="2">
        <v>144</v>
      </c>
      <c r="I90" s="2">
        <v>42</v>
      </c>
      <c r="J90" s="2">
        <v>0</v>
      </c>
      <c r="K90" s="2">
        <v>6</v>
      </c>
      <c r="L90" s="2">
        <v>455.04</v>
      </c>
      <c r="M90" s="2">
        <v>475.20000000000005</v>
      </c>
      <c r="N90" s="244">
        <v>0.84150000000000003</v>
      </c>
      <c r="O90" s="2" t="s">
        <v>108</v>
      </c>
      <c r="P90" s="2">
        <v>100</v>
      </c>
      <c r="Q90" s="2" t="s">
        <v>55</v>
      </c>
      <c r="R90" s="2" t="s">
        <v>141</v>
      </c>
      <c r="S90" s="2"/>
      <c r="T90" s="2">
        <v>11.68</v>
      </c>
      <c r="U90" s="398">
        <v>13455.36</v>
      </c>
      <c r="V90" s="7">
        <v>12600</v>
      </c>
      <c r="W90" s="7" t="s">
        <v>660</v>
      </c>
    </row>
    <row r="91" spans="1:23" x14ac:dyDescent="0.35">
      <c r="A91" s="2">
        <v>12</v>
      </c>
      <c r="B91" s="109" t="s">
        <v>143</v>
      </c>
      <c r="C91" s="110" t="s">
        <v>144</v>
      </c>
      <c r="D91" s="2">
        <v>768</v>
      </c>
      <c r="E91" s="51">
        <v>12.5</v>
      </c>
      <c r="F91" s="105"/>
      <c r="H91" s="2">
        <v>109</v>
      </c>
      <c r="I91" s="2">
        <v>32</v>
      </c>
      <c r="J91" s="2">
        <v>0</v>
      </c>
      <c r="K91" s="2">
        <v>5</v>
      </c>
      <c r="L91" s="2">
        <v>346.41500000000002</v>
      </c>
      <c r="M91" s="2">
        <v>361.76249999999999</v>
      </c>
      <c r="N91" s="244">
        <v>0.64062109374999998</v>
      </c>
      <c r="O91" s="2" t="s">
        <v>108</v>
      </c>
      <c r="P91" s="2">
        <v>100</v>
      </c>
      <c r="Q91" s="2" t="s">
        <v>55</v>
      </c>
      <c r="R91" s="2" t="s">
        <v>143</v>
      </c>
      <c r="S91" s="2"/>
      <c r="T91" s="2">
        <v>11.68</v>
      </c>
      <c r="U91" s="398">
        <v>10243.36</v>
      </c>
      <c r="V91" s="7">
        <v>9600</v>
      </c>
      <c r="W91" s="7" t="s">
        <v>660</v>
      </c>
    </row>
    <row r="92" spans="1:23" x14ac:dyDescent="0.35">
      <c r="A92" s="2">
        <v>12</v>
      </c>
      <c r="B92" s="109" t="s">
        <v>168</v>
      </c>
      <c r="C92" s="110" t="s">
        <v>171</v>
      </c>
      <c r="D92" s="2"/>
      <c r="E92" s="51"/>
      <c r="F92" s="105"/>
      <c r="H92" s="2">
        <v>2</v>
      </c>
      <c r="I92" s="2">
        <v>0</v>
      </c>
      <c r="J92" s="2">
        <v>0</v>
      </c>
      <c r="K92" s="2">
        <v>1</v>
      </c>
      <c r="L92" s="2">
        <v>0.52916666666666656</v>
      </c>
      <c r="M92" s="2">
        <v>0.58333333333333326</v>
      </c>
      <c r="N92" s="244">
        <v>1.32825E-3</v>
      </c>
      <c r="O92" s="2" t="s">
        <v>169</v>
      </c>
      <c r="P92" s="2">
        <v>200</v>
      </c>
      <c r="Q92" s="2" t="s">
        <v>170</v>
      </c>
      <c r="R92" s="2" t="s">
        <v>168</v>
      </c>
      <c r="S92" s="2"/>
      <c r="T92" s="2">
        <v>2.0499999999999998</v>
      </c>
      <c r="U92" s="398">
        <v>4.0999999999999996</v>
      </c>
      <c r="V92" s="7">
        <v>0</v>
      </c>
      <c r="W92" s="7" t="s">
        <v>660</v>
      </c>
    </row>
    <row r="93" spans="1:23" x14ac:dyDescent="0.35">
      <c r="A93" s="2">
        <v>12</v>
      </c>
      <c r="B93" s="109" t="s">
        <v>175</v>
      </c>
      <c r="C93" s="110" t="s">
        <v>176</v>
      </c>
      <c r="D93" s="2"/>
      <c r="E93" s="51"/>
      <c r="F93" s="105"/>
      <c r="H93" s="2">
        <v>5</v>
      </c>
      <c r="I93" s="2">
        <v>0</v>
      </c>
      <c r="J93" s="2">
        <v>0</v>
      </c>
      <c r="K93" s="2">
        <v>1</v>
      </c>
      <c r="L93" s="2">
        <v>1.3229166666666667</v>
      </c>
      <c r="M93" s="2">
        <v>1.4583333333333335</v>
      </c>
      <c r="N93" s="244">
        <v>3.3206249999999998E-3</v>
      </c>
      <c r="O93" s="2" t="s">
        <v>169</v>
      </c>
      <c r="P93" s="2">
        <v>200</v>
      </c>
      <c r="Q93" s="2" t="s">
        <v>170</v>
      </c>
      <c r="R93" s="2" t="s">
        <v>175</v>
      </c>
      <c r="S93" s="2"/>
      <c r="T93" s="2">
        <v>2.0499999999999998</v>
      </c>
      <c r="U93" s="398">
        <v>10.25</v>
      </c>
      <c r="V93" s="7">
        <v>0</v>
      </c>
      <c r="W93" s="7" t="s">
        <v>660</v>
      </c>
    </row>
    <row r="94" spans="1:23" x14ac:dyDescent="0.35">
      <c r="A94" s="2">
        <v>13</v>
      </c>
      <c r="B94" s="109" t="s">
        <v>17</v>
      </c>
      <c r="C94" s="110" t="s">
        <v>20</v>
      </c>
      <c r="D94" s="2">
        <v>1440</v>
      </c>
      <c r="E94" s="51">
        <v>5.22</v>
      </c>
      <c r="F94" s="105"/>
      <c r="H94" s="2"/>
      <c r="I94" s="2">
        <v>120</v>
      </c>
      <c r="J94" s="2">
        <v>0</v>
      </c>
      <c r="K94" s="2">
        <v>0</v>
      </c>
      <c r="L94" s="2">
        <v>604.79999999999995</v>
      </c>
      <c r="M94" s="2">
        <v>694.8</v>
      </c>
      <c r="N94" s="244">
        <v>3.3699599999999998</v>
      </c>
      <c r="O94" s="2" t="s">
        <v>18</v>
      </c>
      <c r="P94" s="2">
        <v>50</v>
      </c>
      <c r="Q94" s="2">
        <v>0</v>
      </c>
      <c r="R94" s="2" t="s">
        <v>17</v>
      </c>
      <c r="S94" s="2"/>
      <c r="T94" s="2">
        <v>5.23</v>
      </c>
      <c r="U94" s="398">
        <v>7531.2000000000007</v>
      </c>
      <c r="V94" s="7">
        <v>7516.7999999999993</v>
      </c>
      <c r="W94" s="7" t="s">
        <v>660</v>
      </c>
    </row>
    <row r="95" spans="1:23" x14ac:dyDescent="0.35">
      <c r="A95" s="2">
        <v>13</v>
      </c>
      <c r="B95" s="109" t="s">
        <v>25</v>
      </c>
      <c r="C95" s="110" t="s">
        <v>26</v>
      </c>
      <c r="D95" s="2">
        <v>1440</v>
      </c>
      <c r="E95" s="51">
        <v>5.22</v>
      </c>
      <c r="F95" s="105"/>
      <c r="H95" s="2"/>
      <c r="I95" s="2">
        <v>120</v>
      </c>
      <c r="J95" s="2">
        <v>0</v>
      </c>
      <c r="K95" s="2">
        <v>0</v>
      </c>
      <c r="L95" s="2">
        <v>604.79999999999995</v>
      </c>
      <c r="M95" s="2">
        <v>694.8</v>
      </c>
      <c r="N95" s="244">
        <v>3.3699599999999998</v>
      </c>
      <c r="O95" s="2" t="s">
        <v>18</v>
      </c>
      <c r="P95" s="2">
        <v>50</v>
      </c>
      <c r="Q95" s="2">
        <v>0</v>
      </c>
      <c r="R95" s="2" t="s">
        <v>25</v>
      </c>
      <c r="S95" s="2"/>
      <c r="T95" s="2">
        <v>5.23</v>
      </c>
      <c r="U95" s="398">
        <v>7531.2000000000007</v>
      </c>
      <c r="V95" s="7">
        <v>7516.7999999999993</v>
      </c>
      <c r="W95" s="7" t="s">
        <v>660</v>
      </c>
    </row>
    <row r="96" spans="1:23" x14ac:dyDescent="0.35">
      <c r="A96" s="2">
        <v>13</v>
      </c>
      <c r="B96" s="109" t="s">
        <v>91</v>
      </c>
      <c r="C96" s="110" t="s">
        <v>92</v>
      </c>
      <c r="D96" s="2">
        <v>1356</v>
      </c>
      <c r="E96" s="51">
        <v>5.1282051282051277</v>
      </c>
      <c r="F96" s="105"/>
      <c r="H96" s="2">
        <v>130</v>
      </c>
      <c r="I96" s="2">
        <v>57</v>
      </c>
      <c r="J96" s="2">
        <v>0</v>
      </c>
      <c r="K96" s="2">
        <v>6</v>
      </c>
      <c r="L96" s="2">
        <v>465.61333333333329</v>
      </c>
      <c r="M96" s="2">
        <v>509.57416666666666</v>
      </c>
      <c r="N96" s="244">
        <v>1.3897814999999998</v>
      </c>
      <c r="O96" s="2" t="s">
        <v>934</v>
      </c>
      <c r="P96" s="2">
        <v>100</v>
      </c>
      <c r="Q96" s="2" t="s">
        <v>55</v>
      </c>
      <c r="R96" s="2" t="s">
        <v>91</v>
      </c>
      <c r="S96" s="2"/>
      <c r="T96" s="2">
        <v>5</v>
      </c>
      <c r="U96" s="398">
        <v>7430</v>
      </c>
      <c r="V96" s="7">
        <v>6953.8461538461534</v>
      </c>
      <c r="W96" s="7" t="s">
        <v>660</v>
      </c>
    </row>
    <row r="97" spans="1:23" x14ac:dyDescent="0.35">
      <c r="A97" s="2">
        <v>13</v>
      </c>
      <c r="B97" s="109" t="s">
        <v>93</v>
      </c>
      <c r="C97" s="110" t="s">
        <v>94</v>
      </c>
      <c r="D97" s="2">
        <v>204</v>
      </c>
      <c r="E97" s="51">
        <v>5.2204390333886739</v>
      </c>
      <c r="F97" s="105"/>
      <c r="H97" s="2">
        <v>18</v>
      </c>
      <c r="I97" s="2">
        <v>9</v>
      </c>
      <c r="J97" s="2">
        <v>0</v>
      </c>
      <c r="K97" s="2">
        <v>1</v>
      </c>
      <c r="L97" s="2">
        <v>69.56</v>
      </c>
      <c r="M97" s="2">
        <v>76.127499999999998</v>
      </c>
      <c r="N97" s="244">
        <v>0.20762549999999999</v>
      </c>
      <c r="O97" s="2" t="s">
        <v>934</v>
      </c>
      <c r="P97" s="2">
        <v>100</v>
      </c>
      <c r="Q97" s="2" t="s">
        <v>55</v>
      </c>
      <c r="R97" s="2" t="s">
        <v>93</v>
      </c>
      <c r="S97" s="2"/>
      <c r="T97" s="2">
        <v>5</v>
      </c>
      <c r="U97" s="398">
        <v>1110</v>
      </c>
      <c r="V97" s="7">
        <v>1064.9695628112895</v>
      </c>
      <c r="W97" s="7" t="s">
        <v>660</v>
      </c>
    </row>
    <row r="98" spans="1:23" x14ac:dyDescent="0.35">
      <c r="A98" s="2">
        <v>13</v>
      </c>
      <c r="B98" s="109" t="s">
        <v>95</v>
      </c>
      <c r="C98" s="110" t="s">
        <v>96</v>
      </c>
      <c r="D98" s="2">
        <v>600</v>
      </c>
      <c r="E98" s="51">
        <v>5.1282051282051277</v>
      </c>
      <c r="F98" s="105"/>
      <c r="H98" s="2">
        <v>60</v>
      </c>
      <c r="I98" s="2">
        <v>25</v>
      </c>
      <c r="J98" s="2">
        <v>0</v>
      </c>
      <c r="K98" s="2">
        <v>3</v>
      </c>
      <c r="L98" s="2">
        <v>206.79999999999998</v>
      </c>
      <c r="M98" s="2">
        <v>226.32500000000002</v>
      </c>
      <c r="N98" s="244">
        <v>0.61726499999999995</v>
      </c>
      <c r="O98" s="2" t="s">
        <v>934</v>
      </c>
      <c r="P98" s="2">
        <v>100</v>
      </c>
      <c r="Q98" s="2" t="s">
        <v>55</v>
      </c>
      <c r="R98" s="2" t="s">
        <v>95</v>
      </c>
      <c r="S98" s="2"/>
      <c r="T98" s="2">
        <v>5</v>
      </c>
      <c r="U98" s="398">
        <v>3300</v>
      </c>
      <c r="V98" s="7">
        <v>3076.9230769230767</v>
      </c>
      <c r="W98" s="7" t="s">
        <v>660</v>
      </c>
    </row>
    <row r="99" spans="1:23" x14ac:dyDescent="0.35">
      <c r="A99" s="2">
        <v>13</v>
      </c>
      <c r="B99" s="109" t="s">
        <v>99</v>
      </c>
      <c r="C99" s="110" t="s">
        <v>100</v>
      </c>
      <c r="D99" s="2">
        <v>204</v>
      </c>
      <c r="E99" s="51">
        <v>5.2204390333886739</v>
      </c>
      <c r="F99" s="105"/>
      <c r="H99" s="2">
        <v>18</v>
      </c>
      <c r="I99" s="2">
        <v>9</v>
      </c>
      <c r="J99" s="2">
        <v>0</v>
      </c>
      <c r="K99" s="2">
        <v>1</v>
      </c>
      <c r="L99" s="2">
        <v>63.547499999999999</v>
      </c>
      <c r="M99" s="2">
        <v>69.929999999999993</v>
      </c>
      <c r="N99" s="244">
        <v>0.23268374999999999</v>
      </c>
      <c r="O99" s="2" t="s">
        <v>934</v>
      </c>
      <c r="P99" s="2">
        <v>100</v>
      </c>
      <c r="Q99" s="2" t="s">
        <v>55</v>
      </c>
      <c r="R99" s="2" t="s">
        <v>99</v>
      </c>
      <c r="S99" s="2"/>
      <c r="T99" s="2">
        <v>5</v>
      </c>
      <c r="U99" s="398">
        <v>1110</v>
      </c>
      <c r="V99" s="7">
        <v>1064.9695628112895</v>
      </c>
      <c r="W99" s="7" t="s">
        <v>660</v>
      </c>
    </row>
    <row r="100" spans="1:23" x14ac:dyDescent="0.35">
      <c r="A100" s="2">
        <v>13</v>
      </c>
      <c r="B100" s="109" t="s">
        <v>112</v>
      </c>
      <c r="C100" s="110" t="s">
        <v>648</v>
      </c>
      <c r="D100" s="2">
        <v>504</v>
      </c>
      <c r="E100" s="51">
        <v>8.59</v>
      </c>
      <c r="F100" s="105"/>
      <c r="H100" s="2">
        <v>48</v>
      </c>
      <c r="I100" s="2">
        <v>21</v>
      </c>
      <c r="J100" s="2">
        <v>0</v>
      </c>
      <c r="K100" s="2">
        <v>2</v>
      </c>
      <c r="L100" s="2">
        <v>218.04000000000002</v>
      </c>
      <c r="M100" s="2">
        <v>227.70000000000002</v>
      </c>
      <c r="N100" s="244">
        <v>0.39784249999999999</v>
      </c>
      <c r="O100" s="2" t="s">
        <v>108</v>
      </c>
      <c r="P100" s="2">
        <v>100</v>
      </c>
      <c r="Q100" s="2" t="s">
        <v>55</v>
      </c>
      <c r="R100" s="2" t="s">
        <v>112</v>
      </c>
      <c r="S100" s="2"/>
      <c r="T100" s="2">
        <v>11.68</v>
      </c>
      <c r="U100" s="398">
        <v>6447.36</v>
      </c>
      <c r="V100" s="7">
        <v>4329.3599999999997</v>
      </c>
      <c r="W100" s="7" t="s">
        <v>660</v>
      </c>
    </row>
    <row r="101" spans="1:23" x14ac:dyDescent="0.35">
      <c r="A101" s="2">
        <v>13</v>
      </c>
      <c r="B101" s="109" t="s">
        <v>120</v>
      </c>
      <c r="C101" s="110" t="s">
        <v>121</v>
      </c>
      <c r="D101" s="2">
        <v>60</v>
      </c>
      <c r="E101" s="51">
        <v>8.59</v>
      </c>
      <c r="F101" s="105"/>
      <c r="H101" s="2"/>
      <c r="I101" s="2">
        <v>3</v>
      </c>
      <c r="J101" s="2">
        <v>0</v>
      </c>
      <c r="K101" s="2">
        <v>0</v>
      </c>
      <c r="L101" s="2">
        <v>22.799999999999997</v>
      </c>
      <c r="M101" s="2">
        <v>23.75</v>
      </c>
      <c r="N101" s="244">
        <v>4.3828125000000002E-2</v>
      </c>
      <c r="O101" s="2" t="s">
        <v>108</v>
      </c>
      <c r="P101" s="2">
        <v>100</v>
      </c>
      <c r="Q101" s="2" t="s">
        <v>55</v>
      </c>
      <c r="R101" s="2" t="s">
        <v>120</v>
      </c>
      <c r="S101" s="2"/>
      <c r="T101" s="2">
        <v>11.68</v>
      </c>
      <c r="U101" s="398">
        <v>700.8</v>
      </c>
      <c r="V101" s="7">
        <v>515.4</v>
      </c>
      <c r="W101" s="7" t="s">
        <v>660</v>
      </c>
    </row>
    <row r="102" spans="1:23" x14ac:dyDescent="0.35">
      <c r="A102" s="2">
        <v>14</v>
      </c>
      <c r="B102" s="109" t="s">
        <v>141</v>
      </c>
      <c r="C102" s="110" t="s">
        <v>142</v>
      </c>
      <c r="D102" s="2">
        <v>750</v>
      </c>
      <c r="E102" s="51">
        <v>13.5</v>
      </c>
      <c r="F102" s="105"/>
      <c r="H102" s="2"/>
      <c r="I102" s="2">
        <v>32</v>
      </c>
      <c r="J102" s="2">
        <v>0</v>
      </c>
      <c r="K102" s="2">
        <v>0</v>
      </c>
      <c r="L102" s="2">
        <v>296.25</v>
      </c>
      <c r="M102" s="2">
        <v>309.375</v>
      </c>
      <c r="N102" s="244">
        <v>0.54054687499999998</v>
      </c>
      <c r="O102" s="2" t="s">
        <v>108</v>
      </c>
      <c r="P102" s="2">
        <v>100</v>
      </c>
      <c r="Q102" s="2" t="s">
        <v>55</v>
      </c>
      <c r="R102" s="2" t="s">
        <v>141</v>
      </c>
      <c r="S102" s="2"/>
      <c r="T102" s="2">
        <v>11.68</v>
      </c>
      <c r="U102" s="398">
        <v>8760</v>
      </c>
      <c r="V102" s="7">
        <v>10125</v>
      </c>
      <c r="W102" s="7" t="s">
        <v>660</v>
      </c>
    </row>
    <row r="103" spans="1:23" x14ac:dyDescent="0.35">
      <c r="A103" s="2">
        <v>14</v>
      </c>
      <c r="B103" s="109" t="s">
        <v>143</v>
      </c>
      <c r="C103" s="110" t="s">
        <v>144</v>
      </c>
      <c r="D103" s="2">
        <v>750</v>
      </c>
      <c r="E103" s="51">
        <v>13.5</v>
      </c>
      <c r="F103" s="105"/>
      <c r="H103" s="2"/>
      <c r="I103" s="2">
        <v>32</v>
      </c>
      <c r="J103" s="2">
        <v>0</v>
      </c>
      <c r="K103" s="2">
        <v>0</v>
      </c>
      <c r="L103" s="2">
        <v>296.25</v>
      </c>
      <c r="M103" s="2">
        <v>309.375</v>
      </c>
      <c r="N103" s="244">
        <v>0.54054687499999998</v>
      </c>
      <c r="O103" s="2" t="s">
        <v>108</v>
      </c>
      <c r="P103" s="2">
        <v>100</v>
      </c>
      <c r="Q103" s="2" t="s">
        <v>55</v>
      </c>
      <c r="R103" s="2" t="s">
        <v>143</v>
      </c>
      <c r="S103" s="2"/>
      <c r="T103" s="2">
        <v>11.68</v>
      </c>
      <c r="U103" s="398">
        <v>8760</v>
      </c>
      <c r="V103" s="7">
        <v>10125</v>
      </c>
      <c r="W103" s="7" t="s">
        <v>660</v>
      </c>
    </row>
    <row r="104" spans="1:23" x14ac:dyDescent="0.35">
      <c r="A104" s="2">
        <v>15</v>
      </c>
      <c r="B104" s="109" t="s">
        <v>141</v>
      </c>
      <c r="C104" s="110" t="s">
        <v>142</v>
      </c>
      <c r="D104" s="2">
        <v>750</v>
      </c>
      <c r="E104" s="51">
        <v>13.5</v>
      </c>
      <c r="F104" s="105"/>
      <c r="H104" s="2"/>
      <c r="I104" s="2">
        <v>32</v>
      </c>
      <c r="J104" s="2">
        <v>0</v>
      </c>
      <c r="K104" s="2">
        <v>0</v>
      </c>
      <c r="L104" s="2">
        <v>296.25</v>
      </c>
      <c r="M104" s="2">
        <v>309.375</v>
      </c>
      <c r="N104" s="244">
        <v>0.54054687499999998</v>
      </c>
      <c r="O104" s="2" t="s">
        <v>108</v>
      </c>
      <c r="P104" s="2">
        <v>100</v>
      </c>
      <c r="Q104" s="2" t="s">
        <v>55</v>
      </c>
      <c r="R104" s="2" t="s">
        <v>141</v>
      </c>
      <c r="S104" s="2"/>
      <c r="T104" s="2">
        <v>11.68</v>
      </c>
      <c r="U104" s="398">
        <v>8760</v>
      </c>
      <c r="V104" s="7">
        <v>10125</v>
      </c>
      <c r="W104" s="7" t="s">
        <v>660</v>
      </c>
    </row>
    <row r="105" spans="1:23" x14ac:dyDescent="0.35">
      <c r="A105" s="2">
        <v>15</v>
      </c>
      <c r="B105" s="109" t="s">
        <v>143</v>
      </c>
      <c r="C105" s="110" t="s">
        <v>144</v>
      </c>
      <c r="D105" s="2">
        <v>750</v>
      </c>
      <c r="E105" s="51">
        <v>13.5</v>
      </c>
      <c r="F105" s="105"/>
      <c r="H105" s="2"/>
      <c r="I105" s="2">
        <v>32</v>
      </c>
      <c r="J105" s="2">
        <v>0</v>
      </c>
      <c r="K105" s="2">
        <v>0</v>
      </c>
      <c r="L105" s="2">
        <v>296.25</v>
      </c>
      <c r="M105" s="2">
        <v>309.375</v>
      </c>
      <c r="N105" s="244">
        <v>0.54054687499999998</v>
      </c>
      <c r="O105" s="2" t="s">
        <v>108</v>
      </c>
      <c r="P105" s="2">
        <v>100</v>
      </c>
      <c r="Q105" s="2" t="s">
        <v>55</v>
      </c>
      <c r="R105" s="2" t="s">
        <v>143</v>
      </c>
      <c r="S105" s="2"/>
      <c r="T105" s="2">
        <v>11.68</v>
      </c>
      <c r="U105" s="398">
        <v>8760</v>
      </c>
      <c r="V105" s="7">
        <v>10125</v>
      </c>
      <c r="W105" s="7" t="s">
        <v>660</v>
      </c>
    </row>
    <row r="106" spans="1:23" x14ac:dyDescent="0.35">
      <c r="A106" s="2">
        <v>17</v>
      </c>
      <c r="B106" s="109" t="s">
        <v>91</v>
      </c>
      <c r="C106" s="110" t="s">
        <v>92</v>
      </c>
      <c r="D106" s="2">
        <v>1512</v>
      </c>
      <c r="E106" s="51">
        <v>6</v>
      </c>
      <c r="F106" s="105"/>
      <c r="H106" s="2">
        <v>144</v>
      </c>
      <c r="I106" s="2">
        <v>63</v>
      </c>
      <c r="J106" s="2">
        <v>0</v>
      </c>
      <c r="K106" s="2">
        <v>6</v>
      </c>
      <c r="L106" s="2">
        <v>518.88</v>
      </c>
      <c r="M106" s="2">
        <v>567.87</v>
      </c>
      <c r="N106" s="244">
        <v>1.5487740000000001</v>
      </c>
      <c r="O106" s="2" t="s">
        <v>934</v>
      </c>
      <c r="P106" s="2">
        <v>100</v>
      </c>
      <c r="Q106" s="2" t="s">
        <v>55</v>
      </c>
      <c r="R106" s="2" t="s">
        <v>91</v>
      </c>
      <c r="S106" s="2"/>
      <c r="T106" s="2">
        <v>5</v>
      </c>
      <c r="U106" s="398">
        <v>8280</v>
      </c>
      <c r="V106" s="7">
        <v>9072</v>
      </c>
      <c r="W106" s="7" t="s">
        <v>660</v>
      </c>
    </row>
    <row r="107" spans="1:23" x14ac:dyDescent="0.35">
      <c r="A107" s="2">
        <v>17</v>
      </c>
      <c r="B107" s="109" t="s">
        <v>91</v>
      </c>
      <c r="C107" s="110" t="s">
        <v>92</v>
      </c>
      <c r="D107" s="2"/>
      <c r="E107" s="51"/>
      <c r="F107" s="105"/>
      <c r="H107" s="2">
        <v>6</v>
      </c>
      <c r="I107" s="2">
        <v>0</v>
      </c>
      <c r="J107" s="2">
        <v>0</v>
      </c>
      <c r="K107" s="2">
        <v>1</v>
      </c>
      <c r="L107" s="2">
        <v>1.88</v>
      </c>
      <c r="M107" s="2">
        <v>2.0575000000000001</v>
      </c>
      <c r="N107" s="244">
        <v>5.6115000000000002E-3</v>
      </c>
      <c r="O107" s="2" t="s">
        <v>934</v>
      </c>
      <c r="P107" s="2">
        <v>100</v>
      </c>
      <c r="Q107" s="2" t="s">
        <v>55</v>
      </c>
      <c r="R107" s="2" t="s">
        <v>91</v>
      </c>
      <c r="S107" s="2"/>
      <c r="T107" s="2">
        <v>5</v>
      </c>
      <c r="U107" s="398">
        <v>30</v>
      </c>
      <c r="V107" s="7">
        <v>0</v>
      </c>
      <c r="W107" s="7" t="s">
        <v>660</v>
      </c>
    </row>
    <row r="108" spans="1:23" x14ac:dyDescent="0.35">
      <c r="A108" s="2">
        <v>17</v>
      </c>
      <c r="B108" s="109" t="s">
        <v>93</v>
      </c>
      <c r="C108" s="110" t="s">
        <v>94</v>
      </c>
      <c r="D108" s="2">
        <v>1512</v>
      </c>
      <c r="E108" s="51">
        <v>6</v>
      </c>
      <c r="F108" s="105"/>
      <c r="H108" s="2">
        <v>144</v>
      </c>
      <c r="I108" s="2">
        <v>63</v>
      </c>
      <c r="J108" s="2">
        <v>0</v>
      </c>
      <c r="K108" s="2">
        <v>6</v>
      </c>
      <c r="L108" s="2">
        <v>518.88</v>
      </c>
      <c r="M108" s="2">
        <v>567.87</v>
      </c>
      <c r="N108" s="244">
        <v>1.5487740000000001</v>
      </c>
      <c r="O108" s="2" t="s">
        <v>934</v>
      </c>
      <c r="P108" s="2">
        <v>100</v>
      </c>
      <c r="Q108" s="2" t="s">
        <v>55</v>
      </c>
      <c r="R108" s="2" t="s">
        <v>93</v>
      </c>
      <c r="S108" s="2"/>
      <c r="T108" s="2">
        <v>5</v>
      </c>
      <c r="U108" s="398">
        <v>8280</v>
      </c>
      <c r="V108" s="7">
        <v>9072</v>
      </c>
      <c r="W108" s="7" t="s">
        <v>660</v>
      </c>
    </row>
    <row r="109" spans="1:23" x14ac:dyDescent="0.35">
      <c r="A109" s="2">
        <v>17</v>
      </c>
      <c r="B109" s="109" t="s">
        <v>93</v>
      </c>
      <c r="C109" s="110" t="s">
        <v>94</v>
      </c>
      <c r="D109" s="2"/>
      <c r="E109" s="51"/>
      <c r="F109" s="105"/>
      <c r="H109" s="2">
        <v>6</v>
      </c>
      <c r="I109" s="2">
        <v>0</v>
      </c>
      <c r="J109" s="2">
        <v>0</v>
      </c>
      <c r="K109" s="2">
        <v>1</v>
      </c>
      <c r="L109" s="2">
        <v>1.88</v>
      </c>
      <c r="M109" s="2">
        <v>2.0575000000000001</v>
      </c>
      <c r="N109" s="244">
        <v>5.6115000000000002E-3</v>
      </c>
      <c r="O109" s="2" t="s">
        <v>934</v>
      </c>
      <c r="P109" s="2">
        <v>100</v>
      </c>
      <c r="Q109" s="2" t="s">
        <v>55</v>
      </c>
      <c r="R109" s="2" t="s">
        <v>93</v>
      </c>
      <c r="S109" s="2"/>
      <c r="T109" s="2">
        <v>5</v>
      </c>
      <c r="U109" s="398">
        <v>30</v>
      </c>
      <c r="V109" s="7">
        <v>0</v>
      </c>
      <c r="W109" s="7" t="s">
        <v>660</v>
      </c>
    </row>
    <row r="110" spans="1:23" x14ac:dyDescent="0.35">
      <c r="A110" s="2">
        <v>17</v>
      </c>
      <c r="B110" s="109" t="s">
        <v>95</v>
      </c>
      <c r="C110" s="110" t="s">
        <v>96</v>
      </c>
      <c r="D110" s="2">
        <v>1512</v>
      </c>
      <c r="E110" s="51">
        <v>6</v>
      </c>
      <c r="F110" s="105"/>
      <c r="H110" s="2">
        <v>144</v>
      </c>
      <c r="I110" s="2">
        <v>63</v>
      </c>
      <c r="J110" s="2">
        <v>0</v>
      </c>
      <c r="K110" s="2">
        <v>6</v>
      </c>
      <c r="L110" s="2">
        <v>518.88</v>
      </c>
      <c r="M110" s="2">
        <v>567.87</v>
      </c>
      <c r="N110" s="244">
        <v>1.5487740000000001</v>
      </c>
      <c r="O110" s="2" t="s">
        <v>934</v>
      </c>
      <c r="P110" s="2">
        <v>100</v>
      </c>
      <c r="Q110" s="2" t="s">
        <v>55</v>
      </c>
      <c r="R110" s="2" t="s">
        <v>95</v>
      </c>
      <c r="S110" s="2"/>
      <c r="T110" s="2">
        <v>5</v>
      </c>
      <c r="U110" s="398">
        <v>8280</v>
      </c>
      <c r="V110" s="7">
        <v>9072</v>
      </c>
      <c r="W110" s="7" t="s">
        <v>660</v>
      </c>
    </row>
    <row r="111" spans="1:23" x14ac:dyDescent="0.35">
      <c r="A111" s="2">
        <v>17</v>
      </c>
      <c r="B111" s="109" t="s">
        <v>95</v>
      </c>
      <c r="C111" s="110" t="s">
        <v>96</v>
      </c>
      <c r="D111" s="2"/>
      <c r="E111" s="51"/>
      <c r="F111" s="105"/>
      <c r="H111" s="2">
        <v>6</v>
      </c>
      <c r="I111" s="2">
        <v>0</v>
      </c>
      <c r="J111" s="2">
        <v>0</v>
      </c>
      <c r="K111" s="2">
        <v>1</v>
      </c>
      <c r="L111" s="2">
        <v>1.88</v>
      </c>
      <c r="M111" s="2">
        <v>2.0575000000000001</v>
      </c>
      <c r="N111" s="244">
        <v>5.6115000000000002E-3</v>
      </c>
      <c r="O111" s="2" t="s">
        <v>934</v>
      </c>
      <c r="P111" s="2">
        <v>100</v>
      </c>
      <c r="Q111" s="2" t="s">
        <v>55</v>
      </c>
      <c r="R111" s="2" t="s">
        <v>95</v>
      </c>
      <c r="S111" s="2"/>
      <c r="T111" s="2">
        <v>5</v>
      </c>
      <c r="U111" s="398">
        <v>30</v>
      </c>
      <c r="V111" s="7">
        <v>0</v>
      </c>
      <c r="W111" s="7" t="s">
        <v>660</v>
      </c>
    </row>
    <row r="112" spans="1:23" x14ac:dyDescent="0.35">
      <c r="A112" s="2">
        <v>17</v>
      </c>
      <c r="B112" s="109" t="s">
        <v>97</v>
      </c>
      <c r="C112" s="110" t="s">
        <v>98</v>
      </c>
      <c r="D112" s="2">
        <v>1512</v>
      </c>
      <c r="E112" s="51">
        <v>6</v>
      </c>
      <c r="F112" s="105"/>
      <c r="H112" s="2">
        <v>144</v>
      </c>
      <c r="I112" s="2">
        <v>63</v>
      </c>
      <c r="J112" s="2">
        <v>0</v>
      </c>
      <c r="K112" s="2">
        <v>6</v>
      </c>
      <c r="L112" s="2">
        <v>518.88</v>
      </c>
      <c r="M112" s="2">
        <v>567.87</v>
      </c>
      <c r="N112" s="244">
        <v>1.5487740000000001</v>
      </c>
      <c r="O112" s="2" t="s">
        <v>934</v>
      </c>
      <c r="P112" s="2">
        <v>100</v>
      </c>
      <c r="Q112" s="2" t="s">
        <v>55</v>
      </c>
      <c r="R112" s="2" t="s">
        <v>97</v>
      </c>
      <c r="S112" s="2"/>
      <c r="T112" s="2">
        <v>5</v>
      </c>
      <c r="U112" s="398">
        <v>8280</v>
      </c>
      <c r="V112" s="7">
        <v>9072</v>
      </c>
      <c r="W112" s="7" t="s">
        <v>660</v>
      </c>
    </row>
    <row r="113" spans="1:23" x14ac:dyDescent="0.35">
      <c r="A113" s="2">
        <v>17</v>
      </c>
      <c r="B113" s="109" t="s">
        <v>97</v>
      </c>
      <c r="C113" s="110" t="s">
        <v>98</v>
      </c>
      <c r="D113" s="2"/>
      <c r="E113" s="51"/>
      <c r="F113" s="105"/>
      <c r="H113" s="2">
        <v>6</v>
      </c>
      <c r="I113" s="2">
        <v>0</v>
      </c>
      <c r="J113" s="2">
        <v>0</v>
      </c>
      <c r="K113" s="2">
        <v>1</v>
      </c>
      <c r="L113" s="2">
        <v>1.88</v>
      </c>
      <c r="M113" s="2">
        <v>2.0575000000000001</v>
      </c>
      <c r="N113" s="244">
        <v>5.6115000000000002E-3</v>
      </c>
      <c r="O113" s="2" t="s">
        <v>934</v>
      </c>
      <c r="P113" s="2">
        <v>100</v>
      </c>
      <c r="Q113" s="2" t="s">
        <v>55</v>
      </c>
      <c r="R113" s="2" t="s">
        <v>97</v>
      </c>
      <c r="S113" s="2"/>
      <c r="T113" s="2">
        <v>5</v>
      </c>
      <c r="U113" s="398">
        <v>30</v>
      </c>
      <c r="V113" s="7">
        <v>0</v>
      </c>
      <c r="W113" s="7" t="s">
        <v>660</v>
      </c>
    </row>
    <row r="114" spans="1:23" x14ac:dyDescent="0.35">
      <c r="A114" s="2">
        <v>17</v>
      </c>
      <c r="B114" s="109" t="s">
        <v>99</v>
      </c>
      <c r="C114" s="110" t="s">
        <v>100</v>
      </c>
      <c r="D114" s="2">
        <v>1512</v>
      </c>
      <c r="E114" s="51">
        <v>6</v>
      </c>
      <c r="F114" s="105"/>
      <c r="H114" s="2">
        <v>144</v>
      </c>
      <c r="I114" s="2">
        <v>63</v>
      </c>
      <c r="J114" s="2">
        <v>0</v>
      </c>
      <c r="K114" s="2">
        <v>6</v>
      </c>
      <c r="L114" s="2">
        <v>474.03000000000003</v>
      </c>
      <c r="M114" s="2">
        <v>521.64</v>
      </c>
      <c r="N114" s="244">
        <v>1.735695</v>
      </c>
      <c r="O114" s="2" t="s">
        <v>934</v>
      </c>
      <c r="P114" s="2">
        <v>100</v>
      </c>
      <c r="Q114" s="2" t="s">
        <v>55</v>
      </c>
      <c r="R114" s="2" t="s">
        <v>99</v>
      </c>
      <c r="S114" s="2"/>
      <c r="T114" s="2">
        <v>5</v>
      </c>
      <c r="U114" s="398">
        <v>8280</v>
      </c>
      <c r="V114" s="7">
        <v>9072</v>
      </c>
      <c r="W114" s="7" t="s">
        <v>660</v>
      </c>
    </row>
    <row r="115" spans="1:23" x14ac:dyDescent="0.35">
      <c r="A115" s="2">
        <v>17</v>
      </c>
      <c r="B115" s="109" t="s">
        <v>99</v>
      </c>
      <c r="C115" s="110" t="s">
        <v>100</v>
      </c>
      <c r="D115" s="2"/>
      <c r="E115" s="51"/>
      <c r="F115" s="105"/>
      <c r="H115" s="2">
        <v>6</v>
      </c>
      <c r="I115" s="2">
        <v>0</v>
      </c>
      <c r="J115" s="2">
        <v>0</v>
      </c>
      <c r="K115" s="2">
        <v>1</v>
      </c>
      <c r="L115" s="2">
        <v>1.7175</v>
      </c>
      <c r="M115" s="2">
        <v>1.89</v>
      </c>
      <c r="N115" s="244">
        <v>6.2887500000000001E-3</v>
      </c>
      <c r="O115" s="2" t="s">
        <v>934</v>
      </c>
      <c r="P115" s="2">
        <v>100</v>
      </c>
      <c r="Q115" s="2" t="s">
        <v>55</v>
      </c>
      <c r="R115" s="2" t="s">
        <v>99</v>
      </c>
      <c r="S115" s="2"/>
      <c r="T115" s="2">
        <v>5</v>
      </c>
      <c r="U115" s="398">
        <v>30</v>
      </c>
      <c r="V115" s="7">
        <v>0</v>
      </c>
      <c r="W115" s="7" t="s">
        <v>660</v>
      </c>
    </row>
    <row r="116" spans="1:23" x14ac:dyDescent="0.35">
      <c r="A116" s="2">
        <v>17</v>
      </c>
      <c r="B116" s="109" t="s">
        <v>101</v>
      </c>
      <c r="C116" s="110" t="s">
        <v>102</v>
      </c>
      <c r="D116" s="2">
        <v>1512</v>
      </c>
      <c r="E116" s="51">
        <v>6</v>
      </c>
      <c r="F116" s="105"/>
      <c r="H116" s="2">
        <v>144</v>
      </c>
      <c r="I116" s="2">
        <v>63</v>
      </c>
      <c r="J116" s="2">
        <v>0</v>
      </c>
      <c r="K116" s="2">
        <v>6</v>
      </c>
      <c r="L116" s="2">
        <v>474.03000000000003</v>
      </c>
      <c r="M116" s="2">
        <v>521.64</v>
      </c>
      <c r="N116" s="244">
        <v>1.735695</v>
      </c>
      <c r="O116" s="2" t="s">
        <v>934</v>
      </c>
      <c r="P116" s="2">
        <v>100</v>
      </c>
      <c r="Q116" s="2" t="s">
        <v>55</v>
      </c>
      <c r="R116" s="2" t="s">
        <v>101</v>
      </c>
      <c r="S116" s="2"/>
      <c r="T116" s="2">
        <v>5</v>
      </c>
      <c r="U116" s="398">
        <v>8280</v>
      </c>
      <c r="V116" s="7">
        <v>9072</v>
      </c>
      <c r="W116" s="7" t="s">
        <v>660</v>
      </c>
    </row>
    <row r="117" spans="1:23" x14ac:dyDescent="0.35">
      <c r="A117" s="2">
        <v>17</v>
      </c>
      <c r="B117" s="109" t="s">
        <v>101</v>
      </c>
      <c r="C117" s="110" t="s">
        <v>102</v>
      </c>
      <c r="D117" s="2"/>
      <c r="E117" s="51"/>
      <c r="F117" s="105"/>
      <c r="H117" s="2">
        <v>6</v>
      </c>
      <c r="I117" s="2">
        <v>0</v>
      </c>
      <c r="J117" s="2">
        <v>0</v>
      </c>
      <c r="K117" s="2">
        <v>1</v>
      </c>
      <c r="L117" s="2">
        <v>1.7175</v>
      </c>
      <c r="M117" s="2">
        <v>1.89</v>
      </c>
      <c r="N117" s="244">
        <v>6.2887500000000001E-3</v>
      </c>
      <c r="O117" s="2" t="s">
        <v>934</v>
      </c>
      <c r="P117" s="2">
        <v>100</v>
      </c>
      <c r="Q117" s="2" t="s">
        <v>55</v>
      </c>
      <c r="R117" s="2" t="s">
        <v>101</v>
      </c>
      <c r="S117" s="2"/>
      <c r="T117" s="2">
        <v>5</v>
      </c>
      <c r="U117" s="398">
        <v>30</v>
      </c>
      <c r="V117" s="7">
        <v>0</v>
      </c>
      <c r="W117" s="7" t="s">
        <v>660</v>
      </c>
    </row>
    <row r="118" spans="1:23" x14ac:dyDescent="0.35">
      <c r="A118" s="2">
        <v>17</v>
      </c>
      <c r="B118" s="109" t="s">
        <v>103</v>
      </c>
      <c r="C118" s="110" t="s">
        <v>104</v>
      </c>
      <c r="D118" s="2">
        <v>1512</v>
      </c>
      <c r="E118" s="51">
        <v>6</v>
      </c>
      <c r="F118" s="105"/>
      <c r="H118" s="2">
        <v>144</v>
      </c>
      <c r="I118" s="2">
        <v>63</v>
      </c>
      <c r="J118" s="2">
        <v>0</v>
      </c>
      <c r="K118" s="2">
        <v>6</v>
      </c>
      <c r="L118" s="2">
        <v>474.03000000000003</v>
      </c>
      <c r="M118" s="2">
        <v>521.64</v>
      </c>
      <c r="N118" s="244">
        <v>1.735695</v>
      </c>
      <c r="O118" s="2" t="s">
        <v>934</v>
      </c>
      <c r="P118" s="2">
        <v>100</v>
      </c>
      <c r="Q118" s="2" t="s">
        <v>55</v>
      </c>
      <c r="R118" s="2" t="s">
        <v>103</v>
      </c>
      <c r="S118" s="2"/>
      <c r="T118" s="2">
        <v>5</v>
      </c>
      <c r="U118" s="398">
        <v>8280</v>
      </c>
      <c r="V118" s="7">
        <v>9072</v>
      </c>
      <c r="W118" s="7" t="s">
        <v>660</v>
      </c>
    </row>
    <row r="119" spans="1:23" x14ac:dyDescent="0.35">
      <c r="A119" s="2">
        <v>17</v>
      </c>
      <c r="B119" s="109" t="s">
        <v>103</v>
      </c>
      <c r="C119" s="110" t="s">
        <v>104</v>
      </c>
      <c r="D119" s="2"/>
      <c r="E119" s="51"/>
      <c r="F119" s="105"/>
      <c r="H119" s="2">
        <v>6</v>
      </c>
      <c r="I119" s="2">
        <v>0</v>
      </c>
      <c r="J119" s="2">
        <v>0</v>
      </c>
      <c r="K119" s="2">
        <v>1</v>
      </c>
      <c r="L119" s="2">
        <v>1.7175</v>
      </c>
      <c r="M119" s="2">
        <v>1.89</v>
      </c>
      <c r="N119" s="244">
        <v>6.2887500000000001E-3</v>
      </c>
      <c r="O119" s="2" t="s">
        <v>934</v>
      </c>
      <c r="P119" s="2">
        <v>100</v>
      </c>
      <c r="Q119" s="2" t="s">
        <v>55</v>
      </c>
      <c r="R119" s="2" t="s">
        <v>103</v>
      </c>
      <c r="S119" s="2"/>
      <c r="T119" s="2">
        <v>5</v>
      </c>
      <c r="U119" s="398">
        <v>30</v>
      </c>
      <c r="V119" s="7">
        <v>0</v>
      </c>
      <c r="W119" s="7" t="s">
        <v>660</v>
      </c>
    </row>
    <row r="120" spans="1:23" x14ac:dyDescent="0.35">
      <c r="A120" s="2">
        <v>17</v>
      </c>
      <c r="B120" s="109" t="s">
        <v>105</v>
      </c>
      <c r="C120" s="110" t="s">
        <v>106</v>
      </c>
      <c r="D120" s="2">
        <v>1512</v>
      </c>
      <c r="E120" s="51">
        <v>6</v>
      </c>
      <c r="F120" s="105"/>
      <c r="H120" s="2">
        <v>144</v>
      </c>
      <c r="I120" s="2">
        <v>63</v>
      </c>
      <c r="J120" s="2">
        <v>0</v>
      </c>
      <c r="K120" s="2">
        <v>6</v>
      </c>
      <c r="L120" s="2">
        <v>474.03000000000003</v>
      </c>
      <c r="M120" s="2">
        <v>521.64</v>
      </c>
      <c r="N120" s="244">
        <v>1.735695</v>
      </c>
      <c r="O120" s="2" t="s">
        <v>934</v>
      </c>
      <c r="P120" s="2">
        <v>100</v>
      </c>
      <c r="Q120" s="2" t="s">
        <v>55</v>
      </c>
      <c r="R120" s="2" t="s">
        <v>105</v>
      </c>
      <c r="S120" s="2"/>
      <c r="T120" s="2">
        <v>5</v>
      </c>
      <c r="U120" s="398">
        <v>8280</v>
      </c>
      <c r="V120" s="7">
        <v>9072</v>
      </c>
      <c r="W120" s="7" t="s">
        <v>660</v>
      </c>
    </row>
    <row r="121" spans="1:23" x14ac:dyDescent="0.35">
      <c r="A121" s="2">
        <v>17</v>
      </c>
      <c r="B121" s="109" t="s">
        <v>105</v>
      </c>
      <c r="C121" s="110" t="s">
        <v>106</v>
      </c>
      <c r="D121" s="2"/>
      <c r="E121" s="51"/>
      <c r="F121" s="105"/>
      <c r="H121" s="2">
        <v>6</v>
      </c>
      <c r="I121" s="2">
        <v>0</v>
      </c>
      <c r="J121" s="2">
        <v>0</v>
      </c>
      <c r="K121" s="2">
        <v>1</v>
      </c>
      <c r="L121" s="2">
        <v>1.7175</v>
      </c>
      <c r="M121" s="2">
        <v>1.89</v>
      </c>
      <c r="N121" s="244">
        <v>6.2887500000000001E-3</v>
      </c>
      <c r="O121" s="2" t="s">
        <v>934</v>
      </c>
      <c r="P121" s="2">
        <v>100</v>
      </c>
      <c r="Q121" s="2" t="s">
        <v>55</v>
      </c>
      <c r="R121" s="2" t="s">
        <v>105</v>
      </c>
      <c r="S121" s="2"/>
      <c r="T121" s="2">
        <v>5</v>
      </c>
      <c r="U121" s="398">
        <v>30</v>
      </c>
      <c r="V121" s="7">
        <v>0</v>
      </c>
      <c r="W121" s="7" t="s">
        <v>660</v>
      </c>
    </row>
    <row r="122" spans="1:23" x14ac:dyDescent="0.35">
      <c r="A122" s="2">
        <v>19</v>
      </c>
      <c r="B122" s="109" t="s">
        <v>168</v>
      </c>
      <c r="C122" s="110" t="s">
        <v>171</v>
      </c>
      <c r="D122" s="2">
        <v>6720</v>
      </c>
      <c r="E122" s="51">
        <v>2.0499999999999998</v>
      </c>
      <c r="F122" s="105"/>
      <c r="H122" s="2"/>
      <c r="I122" s="2">
        <v>280</v>
      </c>
      <c r="J122" s="2">
        <v>0</v>
      </c>
      <c r="K122" s="2">
        <v>0</v>
      </c>
      <c r="L122" s="2">
        <v>1778</v>
      </c>
      <c r="M122" s="2">
        <v>1960</v>
      </c>
      <c r="N122" s="244">
        <v>4.4629200000000004</v>
      </c>
      <c r="O122" s="2" t="s">
        <v>169</v>
      </c>
      <c r="P122" s="2">
        <v>200</v>
      </c>
      <c r="Q122" s="2" t="s">
        <v>170</v>
      </c>
      <c r="R122" s="2" t="s">
        <v>168</v>
      </c>
      <c r="S122" s="2"/>
      <c r="T122" s="2"/>
      <c r="U122" s="398" t="s">
        <v>861</v>
      </c>
      <c r="V122" s="7">
        <v>13775.999999999998</v>
      </c>
      <c r="W122" s="7" t="s">
        <v>1084</v>
      </c>
    </row>
    <row r="123" spans="1:23" x14ac:dyDescent="0.35">
      <c r="A123" s="2">
        <v>19</v>
      </c>
      <c r="B123" s="109" t="s">
        <v>173</v>
      </c>
      <c r="C123" s="110" t="s">
        <v>174</v>
      </c>
      <c r="D123" s="2">
        <v>6720</v>
      </c>
      <c r="E123" s="51">
        <v>2.0499999999999998</v>
      </c>
      <c r="F123" s="105"/>
      <c r="H123" s="2"/>
      <c r="I123" s="2">
        <v>280</v>
      </c>
      <c r="J123" s="2">
        <v>0</v>
      </c>
      <c r="K123" s="2">
        <v>0</v>
      </c>
      <c r="L123" s="2">
        <v>1778</v>
      </c>
      <c r="M123" s="2">
        <v>1960</v>
      </c>
      <c r="N123" s="244">
        <v>4.4629200000000004</v>
      </c>
      <c r="O123" s="2" t="s">
        <v>169</v>
      </c>
      <c r="P123" s="2">
        <v>200</v>
      </c>
      <c r="Q123" s="2" t="s">
        <v>170</v>
      </c>
      <c r="R123" s="2" t="s">
        <v>173</v>
      </c>
      <c r="S123" s="2"/>
      <c r="T123" s="2"/>
      <c r="U123" s="398" t="s">
        <v>861</v>
      </c>
      <c r="V123" s="7">
        <v>13775.999999999998</v>
      </c>
      <c r="W123" s="7" t="s">
        <v>1084</v>
      </c>
    </row>
    <row r="124" spans="1:23" x14ac:dyDescent="0.35">
      <c r="A124" s="2">
        <v>19</v>
      </c>
      <c r="B124" s="109" t="s">
        <v>175</v>
      </c>
      <c r="C124" s="110" t="s">
        <v>176</v>
      </c>
      <c r="D124" s="2">
        <v>6720</v>
      </c>
      <c r="E124" s="51">
        <v>2.0499999999999998</v>
      </c>
      <c r="F124" s="105"/>
      <c r="H124" s="2"/>
      <c r="I124" s="2">
        <v>280</v>
      </c>
      <c r="J124" s="2">
        <v>0</v>
      </c>
      <c r="K124" s="2">
        <v>0</v>
      </c>
      <c r="L124" s="2">
        <v>1778</v>
      </c>
      <c r="M124" s="2">
        <v>1960</v>
      </c>
      <c r="N124" s="244">
        <v>4.4629200000000004</v>
      </c>
      <c r="O124" s="2" t="s">
        <v>169</v>
      </c>
      <c r="P124" s="2">
        <v>200</v>
      </c>
      <c r="Q124" s="2" t="s">
        <v>170</v>
      </c>
      <c r="R124" s="2" t="s">
        <v>175</v>
      </c>
      <c r="S124" s="2"/>
      <c r="T124" s="2"/>
      <c r="U124" s="398" t="s">
        <v>861</v>
      </c>
      <c r="V124" s="7">
        <v>13775.999999999998</v>
      </c>
      <c r="W124" s="7" t="s">
        <v>1084</v>
      </c>
    </row>
    <row r="125" spans="1:23" x14ac:dyDescent="0.35">
      <c r="A125" s="2">
        <v>19</v>
      </c>
      <c r="B125" s="109" t="s">
        <v>177</v>
      </c>
      <c r="C125" s="110" t="s">
        <v>178</v>
      </c>
      <c r="D125" s="2">
        <v>6720</v>
      </c>
      <c r="E125" s="51">
        <v>2.0499999999999998</v>
      </c>
      <c r="F125" s="105"/>
      <c r="H125" s="2"/>
      <c r="I125" s="2">
        <v>280</v>
      </c>
      <c r="J125" s="2">
        <v>0</v>
      </c>
      <c r="K125" s="2">
        <v>0</v>
      </c>
      <c r="L125" s="2">
        <v>1778</v>
      </c>
      <c r="M125" s="2">
        <v>1960</v>
      </c>
      <c r="N125" s="244">
        <v>4.4629200000000004</v>
      </c>
      <c r="O125" s="2" t="s">
        <v>169</v>
      </c>
      <c r="P125" s="2">
        <v>200</v>
      </c>
      <c r="Q125" s="2" t="s">
        <v>170</v>
      </c>
      <c r="R125" s="2" t="s">
        <v>177</v>
      </c>
      <c r="S125" s="2"/>
      <c r="T125" s="2"/>
      <c r="U125" s="398" t="s">
        <v>861</v>
      </c>
      <c r="V125" s="7">
        <v>13775.999999999998</v>
      </c>
      <c r="W125" s="7" t="s">
        <v>1084</v>
      </c>
    </row>
    <row r="126" spans="1:23" x14ac:dyDescent="0.35">
      <c r="A126" s="2">
        <v>20</v>
      </c>
      <c r="B126" s="109" t="s">
        <v>17</v>
      </c>
      <c r="C126" s="110" t="s">
        <v>20</v>
      </c>
      <c r="D126" s="2"/>
      <c r="E126" s="51"/>
      <c r="F126" s="105"/>
      <c r="H126" s="2">
        <v>1</v>
      </c>
      <c r="I126" s="2">
        <v>0</v>
      </c>
      <c r="K126" s="2">
        <v>1</v>
      </c>
      <c r="L126" s="2">
        <v>0.42</v>
      </c>
      <c r="M126" s="2">
        <v>0.48249999999999998</v>
      </c>
      <c r="N126" s="244">
        <v>0</v>
      </c>
      <c r="O126" s="2" t="s">
        <v>18</v>
      </c>
      <c r="P126" s="2">
        <v>50</v>
      </c>
      <c r="Q126" s="2">
        <v>0</v>
      </c>
      <c r="R126" s="2" t="s">
        <v>17</v>
      </c>
      <c r="S126" s="2"/>
      <c r="T126" s="2">
        <v>5.23</v>
      </c>
      <c r="U126" s="398">
        <v>5.23</v>
      </c>
      <c r="V126" s="7">
        <v>5.23</v>
      </c>
      <c r="W126" s="7" t="s">
        <v>1099</v>
      </c>
    </row>
    <row r="127" spans="1:23" x14ac:dyDescent="0.35">
      <c r="A127" s="2">
        <v>20</v>
      </c>
      <c r="B127" s="109" t="s">
        <v>29</v>
      </c>
      <c r="C127" s="110" t="s">
        <v>31</v>
      </c>
      <c r="D127" s="2"/>
      <c r="E127" s="51"/>
      <c r="F127" s="105"/>
      <c r="H127" s="2">
        <v>1</v>
      </c>
      <c r="I127" s="2">
        <v>0</v>
      </c>
      <c r="K127" s="2">
        <v>1</v>
      </c>
      <c r="L127" s="2">
        <v>0.39833333333333332</v>
      </c>
      <c r="M127" s="2">
        <v>0.4375</v>
      </c>
      <c r="N127" s="244">
        <v>0</v>
      </c>
      <c r="O127" s="2" t="s">
        <v>18</v>
      </c>
      <c r="P127" s="2">
        <v>50</v>
      </c>
      <c r="Q127" s="2">
        <v>0</v>
      </c>
      <c r="R127" s="2" t="s">
        <v>29</v>
      </c>
      <c r="S127" s="2"/>
      <c r="T127" s="2">
        <v>5.23</v>
      </c>
      <c r="U127" s="398">
        <v>5.23</v>
      </c>
      <c r="V127" s="7">
        <v>5.23</v>
      </c>
      <c r="W127" s="7" t="s">
        <v>1099</v>
      </c>
    </row>
    <row r="128" spans="1:23" x14ac:dyDescent="0.35">
      <c r="A128" s="2">
        <v>20</v>
      </c>
      <c r="B128" s="109" t="s">
        <v>38</v>
      </c>
      <c r="C128" s="110" t="s">
        <v>39</v>
      </c>
      <c r="D128" s="2"/>
      <c r="E128" s="51"/>
      <c r="F128" s="105"/>
      <c r="H128" s="2">
        <v>1</v>
      </c>
      <c r="I128" s="2">
        <v>0</v>
      </c>
      <c r="K128" s="2">
        <v>1</v>
      </c>
      <c r="L128" s="2">
        <v>0.51416666666666666</v>
      </c>
      <c r="M128" s="2">
        <v>0.56416666666666659</v>
      </c>
      <c r="N128" s="244">
        <v>0</v>
      </c>
      <c r="O128" s="2" t="s">
        <v>18</v>
      </c>
      <c r="P128" s="2">
        <v>50</v>
      </c>
      <c r="Q128" s="2">
        <v>0</v>
      </c>
      <c r="R128" s="2" t="s">
        <v>38</v>
      </c>
      <c r="S128" s="2"/>
      <c r="T128" s="2">
        <v>6.97</v>
      </c>
      <c r="U128" s="398">
        <v>6.97</v>
      </c>
      <c r="V128" s="7">
        <v>6.97</v>
      </c>
      <c r="W128" s="7" t="s">
        <v>1099</v>
      </c>
    </row>
    <row r="129" spans="1:23" x14ac:dyDescent="0.35">
      <c r="A129" s="2">
        <v>20</v>
      </c>
      <c r="B129" s="109" t="s">
        <v>46</v>
      </c>
      <c r="C129" s="110" t="s">
        <v>47</v>
      </c>
      <c r="D129" s="2"/>
      <c r="E129" s="51"/>
      <c r="F129" s="105"/>
      <c r="H129" s="2">
        <v>1</v>
      </c>
      <c r="I129" s="2">
        <v>0</v>
      </c>
      <c r="K129" s="2">
        <v>1</v>
      </c>
      <c r="L129" s="2">
        <v>0.47499999999999998</v>
      </c>
      <c r="M129" s="2">
        <v>0.52499999999999991</v>
      </c>
      <c r="N129" s="244">
        <v>0</v>
      </c>
      <c r="O129" s="2" t="s">
        <v>18</v>
      </c>
      <c r="P129" s="2">
        <v>50</v>
      </c>
      <c r="Q129" s="2">
        <v>0</v>
      </c>
      <c r="R129" s="2" t="s">
        <v>46</v>
      </c>
      <c r="S129" s="2"/>
      <c r="T129" s="2">
        <v>6.97</v>
      </c>
      <c r="U129" s="398">
        <v>6.97</v>
      </c>
      <c r="V129" s="7">
        <v>6.97</v>
      </c>
      <c r="W129" s="7" t="s">
        <v>1099</v>
      </c>
    </row>
    <row r="130" spans="1:23" x14ac:dyDescent="0.35">
      <c r="A130" s="2">
        <v>20</v>
      </c>
      <c r="B130" s="109" t="s">
        <v>91</v>
      </c>
      <c r="C130" s="110" t="s">
        <v>92</v>
      </c>
      <c r="D130" s="2"/>
      <c r="E130" s="51"/>
      <c r="F130" s="105"/>
      <c r="H130" s="2">
        <v>1</v>
      </c>
      <c r="I130" s="2">
        <v>0</v>
      </c>
      <c r="K130" s="2">
        <v>1</v>
      </c>
      <c r="L130" s="2">
        <v>0.3133333333333333</v>
      </c>
      <c r="M130" s="2">
        <v>0.34291666666666665</v>
      </c>
      <c r="N130" s="244">
        <v>0</v>
      </c>
      <c r="O130" s="2" t="s">
        <v>1147</v>
      </c>
      <c r="P130" s="2">
        <v>100</v>
      </c>
      <c r="Q130" s="2"/>
      <c r="R130" s="2" t="s">
        <v>91</v>
      </c>
      <c r="S130" s="2"/>
      <c r="T130" s="2">
        <v>5</v>
      </c>
      <c r="U130" s="398">
        <v>5</v>
      </c>
      <c r="V130" s="7">
        <v>5</v>
      </c>
      <c r="W130" s="7" t="s">
        <v>1099</v>
      </c>
    </row>
    <row r="131" spans="1:23" x14ac:dyDescent="0.35">
      <c r="A131" s="2">
        <v>20</v>
      </c>
      <c r="B131" s="109" t="s">
        <v>93</v>
      </c>
      <c r="C131" s="110" t="s">
        <v>94</v>
      </c>
      <c r="D131" s="2"/>
      <c r="E131" s="51"/>
      <c r="F131" s="105"/>
      <c r="H131" s="2">
        <v>1</v>
      </c>
      <c r="I131" s="2">
        <v>0</v>
      </c>
      <c r="K131" s="2">
        <v>1</v>
      </c>
      <c r="L131" s="2">
        <v>0.3133333333333333</v>
      </c>
      <c r="M131" s="2">
        <v>0.34291666666666665</v>
      </c>
      <c r="N131" s="244">
        <v>0</v>
      </c>
      <c r="O131" s="2" t="s">
        <v>1147</v>
      </c>
      <c r="P131" s="2">
        <v>100</v>
      </c>
      <c r="Q131" s="2"/>
      <c r="R131" s="2" t="s">
        <v>93</v>
      </c>
      <c r="S131" s="2"/>
      <c r="T131" s="2">
        <v>5</v>
      </c>
      <c r="U131" s="398">
        <v>5</v>
      </c>
      <c r="V131" s="7">
        <v>5</v>
      </c>
      <c r="W131" s="7" t="s">
        <v>1099</v>
      </c>
    </row>
    <row r="132" spans="1:23" x14ac:dyDescent="0.35">
      <c r="A132" s="2">
        <v>20</v>
      </c>
      <c r="B132" s="109" t="s">
        <v>95</v>
      </c>
      <c r="C132" s="110" t="s">
        <v>96</v>
      </c>
      <c r="D132" s="2"/>
      <c r="E132" s="51"/>
      <c r="F132" s="105"/>
      <c r="H132" s="2">
        <v>1</v>
      </c>
      <c r="I132" s="2">
        <v>0</v>
      </c>
      <c r="K132" s="2">
        <v>1</v>
      </c>
      <c r="L132" s="2">
        <v>0.3133333333333333</v>
      </c>
      <c r="M132" s="2">
        <v>0.34291666666666665</v>
      </c>
      <c r="N132" s="244">
        <v>0</v>
      </c>
      <c r="O132" s="2" t="s">
        <v>1147</v>
      </c>
      <c r="P132" s="2">
        <v>100</v>
      </c>
      <c r="Q132" s="2"/>
      <c r="R132" s="2" t="s">
        <v>95</v>
      </c>
      <c r="S132" s="2"/>
      <c r="T132" s="2">
        <v>5</v>
      </c>
      <c r="U132" s="398">
        <v>5</v>
      </c>
      <c r="V132" s="7">
        <v>5</v>
      </c>
      <c r="W132" s="7" t="s">
        <v>1099</v>
      </c>
    </row>
    <row r="133" spans="1:23" x14ac:dyDescent="0.35">
      <c r="A133" s="2">
        <v>20</v>
      </c>
      <c r="B133" s="109" t="s">
        <v>97</v>
      </c>
      <c r="C133" s="110" t="s">
        <v>98</v>
      </c>
      <c r="D133" s="2"/>
      <c r="E133" s="51"/>
      <c r="F133" s="105"/>
      <c r="H133" s="2">
        <v>1</v>
      </c>
      <c r="I133" s="2">
        <v>0</v>
      </c>
      <c r="K133" s="2">
        <v>1</v>
      </c>
      <c r="L133" s="2">
        <v>0.3133333333333333</v>
      </c>
      <c r="M133" s="2">
        <v>0.34291666666666665</v>
      </c>
      <c r="N133" s="244">
        <v>0</v>
      </c>
      <c r="O133" s="2" t="s">
        <v>1147</v>
      </c>
      <c r="P133" s="2">
        <v>100</v>
      </c>
      <c r="Q133" s="2"/>
      <c r="R133" s="2" t="s">
        <v>97</v>
      </c>
      <c r="S133" s="2"/>
      <c r="T133" s="2">
        <v>5</v>
      </c>
      <c r="U133" s="398">
        <v>5</v>
      </c>
      <c r="V133" s="7">
        <v>5</v>
      </c>
      <c r="W133" s="7" t="s">
        <v>1099</v>
      </c>
    </row>
    <row r="134" spans="1:23" x14ac:dyDescent="0.35">
      <c r="A134" s="2">
        <v>20</v>
      </c>
      <c r="B134" s="109" t="s">
        <v>99</v>
      </c>
      <c r="C134" s="110" t="s">
        <v>100</v>
      </c>
      <c r="D134" s="2"/>
      <c r="E134" s="51"/>
      <c r="F134" s="105"/>
      <c r="H134" s="2">
        <v>1</v>
      </c>
      <c r="I134" s="2">
        <v>0</v>
      </c>
      <c r="K134" s="2">
        <v>1</v>
      </c>
      <c r="L134" s="2">
        <v>0.28625</v>
      </c>
      <c r="M134" s="2">
        <v>0.31499999999999995</v>
      </c>
      <c r="N134" s="244">
        <v>0</v>
      </c>
      <c r="O134" s="2" t="s">
        <v>1147</v>
      </c>
      <c r="P134" s="2">
        <v>100</v>
      </c>
      <c r="Q134" s="2"/>
      <c r="R134" s="2" t="s">
        <v>99</v>
      </c>
      <c r="S134" s="2"/>
      <c r="T134" s="2">
        <v>5</v>
      </c>
      <c r="U134" s="398">
        <v>5</v>
      </c>
      <c r="V134" s="7">
        <v>5</v>
      </c>
      <c r="W134" s="7" t="s">
        <v>1099</v>
      </c>
    </row>
    <row r="135" spans="1:23" x14ac:dyDescent="0.35">
      <c r="A135" s="2">
        <v>20</v>
      </c>
      <c r="B135" s="109" t="s">
        <v>101</v>
      </c>
      <c r="C135" s="110" t="s">
        <v>102</v>
      </c>
      <c r="D135" s="2"/>
      <c r="E135" s="51"/>
      <c r="F135" s="105"/>
      <c r="H135" s="2">
        <v>1</v>
      </c>
      <c r="I135" s="2">
        <v>0</v>
      </c>
      <c r="K135" s="2">
        <v>1</v>
      </c>
      <c r="L135" s="2">
        <v>0.28625</v>
      </c>
      <c r="M135" s="2">
        <v>0.31499999999999995</v>
      </c>
      <c r="N135" s="244">
        <v>0</v>
      </c>
      <c r="O135" s="2" t="s">
        <v>1147</v>
      </c>
      <c r="P135" s="2">
        <v>100</v>
      </c>
      <c r="Q135" s="2"/>
      <c r="R135" s="2" t="s">
        <v>101</v>
      </c>
      <c r="S135" s="2"/>
      <c r="T135" s="2">
        <v>5</v>
      </c>
      <c r="U135" s="398">
        <v>5</v>
      </c>
      <c r="V135" s="7">
        <v>5</v>
      </c>
      <c r="W135" s="7" t="s">
        <v>1099</v>
      </c>
    </row>
    <row r="136" spans="1:23" x14ac:dyDescent="0.35">
      <c r="A136" s="2">
        <v>20</v>
      </c>
      <c r="B136" s="109" t="s">
        <v>103</v>
      </c>
      <c r="C136" s="110" t="s">
        <v>104</v>
      </c>
      <c r="D136" s="2"/>
      <c r="E136" s="51"/>
      <c r="F136" s="105"/>
      <c r="H136" s="2">
        <v>1</v>
      </c>
      <c r="I136" s="2">
        <v>0</v>
      </c>
      <c r="K136" s="2">
        <v>1</v>
      </c>
      <c r="L136" s="2">
        <v>0.28625</v>
      </c>
      <c r="M136" s="2">
        <v>0.31499999999999995</v>
      </c>
      <c r="N136" s="244">
        <v>0</v>
      </c>
      <c r="O136" s="2" t="s">
        <v>1147</v>
      </c>
      <c r="P136" s="2">
        <v>100</v>
      </c>
      <c r="Q136" s="2"/>
      <c r="R136" s="2" t="s">
        <v>103</v>
      </c>
      <c r="S136" s="2"/>
      <c r="T136" s="2">
        <v>5</v>
      </c>
      <c r="U136" s="398">
        <v>5</v>
      </c>
      <c r="V136" s="7">
        <v>5</v>
      </c>
      <c r="W136" s="7" t="s">
        <v>1099</v>
      </c>
    </row>
    <row r="137" spans="1:23" x14ac:dyDescent="0.35">
      <c r="A137" s="2">
        <v>20</v>
      </c>
      <c r="B137" s="109" t="s">
        <v>105</v>
      </c>
      <c r="C137" s="110" t="s">
        <v>106</v>
      </c>
      <c r="D137" s="2"/>
      <c r="E137" s="51"/>
      <c r="F137" s="105"/>
      <c r="H137" s="2">
        <v>1</v>
      </c>
      <c r="I137" s="2">
        <v>0</v>
      </c>
      <c r="K137" s="2">
        <v>1</v>
      </c>
      <c r="L137" s="2">
        <v>0.28625</v>
      </c>
      <c r="M137" s="2">
        <v>0.31499999999999995</v>
      </c>
      <c r="N137" s="244">
        <v>0</v>
      </c>
      <c r="O137" s="2" t="s">
        <v>1147</v>
      </c>
      <c r="P137" s="2">
        <v>100</v>
      </c>
      <c r="Q137" s="2"/>
      <c r="R137" s="2" t="s">
        <v>105</v>
      </c>
      <c r="S137" s="2"/>
      <c r="T137" s="2">
        <v>5</v>
      </c>
      <c r="U137" s="398">
        <v>5</v>
      </c>
      <c r="V137" s="7">
        <v>5</v>
      </c>
      <c r="W137" s="7" t="s">
        <v>1099</v>
      </c>
    </row>
    <row r="138" spans="1:23" x14ac:dyDescent="0.35">
      <c r="A138" s="2">
        <v>20</v>
      </c>
      <c r="B138" s="109" t="s">
        <v>107</v>
      </c>
      <c r="C138" s="110" t="s">
        <v>109</v>
      </c>
      <c r="D138" s="2"/>
      <c r="E138" s="51"/>
      <c r="F138" s="105"/>
      <c r="H138" s="2">
        <v>1</v>
      </c>
      <c r="I138" s="2">
        <v>0</v>
      </c>
      <c r="K138" s="2">
        <v>1</v>
      </c>
      <c r="L138" s="2">
        <v>0.39500000000000002</v>
      </c>
      <c r="M138" s="2">
        <v>0.41249999999999998</v>
      </c>
      <c r="N138" s="244">
        <v>0</v>
      </c>
      <c r="O138" s="2" t="s">
        <v>108</v>
      </c>
      <c r="P138" s="2">
        <v>100</v>
      </c>
      <c r="Q138" s="2"/>
      <c r="R138" s="2" t="s">
        <v>107</v>
      </c>
      <c r="S138" s="2"/>
      <c r="T138" s="2">
        <v>11.68</v>
      </c>
      <c r="U138" s="398">
        <v>11.68</v>
      </c>
      <c r="V138" s="7">
        <v>11.68</v>
      </c>
      <c r="W138" s="7" t="s">
        <v>1099</v>
      </c>
    </row>
    <row r="139" spans="1:23" x14ac:dyDescent="0.35">
      <c r="A139" s="2">
        <v>20</v>
      </c>
      <c r="B139" s="109" t="s">
        <v>110</v>
      </c>
      <c r="C139" s="110" t="s">
        <v>111</v>
      </c>
      <c r="D139" s="2"/>
      <c r="E139" s="51"/>
      <c r="F139" s="105"/>
      <c r="H139" s="2">
        <v>1</v>
      </c>
      <c r="I139" s="2">
        <v>0</v>
      </c>
      <c r="K139" s="2">
        <v>1</v>
      </c>
      <c r="L139" s="2">
        <v>0.39500000000000002</v>
      </c>
      <c r="M139" s="2">
        <v>0.41249999999999998</v>
      </c>
      <c r="N139" s="244">
        <v>0</v>
      </c>
      <c r="O139" s="2" t="s">
        <v>108</v>
      </c>
      <c r="P139" s="2">
        <v>100</v>
      </c>
      <c r="Q139" s="2"/>
      <c r="R139" s="2" t="s">
        <v>110</v>
      </c>
      <c r="S139" s="2"/>
      <c r="T139" s="2">
        <v>11.68</v>
      </c>
      <c r="U139" s="398">
        <v>11.68</v>
      </c>
      <c r="V139" s="7">
        <v>11.68</v>
      </c>
      <c r="W139" s="7" t="s">
        <v>1099</v>
      </c>
    </row>
    <row r="140" spans="1:23" x14ac:dyDescent="0.35">
      <c r="A140" s="2">
        <v>20</v>
      </c>
      <c r="B140" s="109" t="s">
        <v>112</v>
      </c>
      <c r="C140" s="110" t="s">
        <v>648</v>
      </c>
      <c r="D140" s="2"/>
      <c r="E140" s="51"/>
      <c r="F140" s="105"/>
      <c r="H140" s="2">
        <v>1</v>
      </c>
      <c r="I140" s="2">
        <v>0</v>
      </c>
      <c r="K140" s="2">
        <v>1</v>
      </c>
      <c r="L140" s="2">
        <v>0.39500000000000002</v>
      </c>
      <c r="M140" s="2">
        <v>0.41249999999999998</v>
      </c>
      <c r="N140" s="244">
        <v>0</v>
      </c>
      <c r="O140" s="2" t="s">
        <v>108</v>
      </c>
      <c r="P140" s="2">
        <v>100</v>
      </c>
      <c r="Q140" s="2"/>
      <c r="R140" s="2" t="s">
        <v>112</v>
      </c>
      <c r="S140" s="2"/>
      <c r="T140" s="2">
        <v>11.68</v>
      </c>
      <c r="U140" s="398">
        <v>11.68</v>
      </c>
      <c r="V140" s="7">
        <v>11.68</v>
      </c>
      <c r="W140" s="7" t="s">
        <v>1099</v>
      </c>
    </row>
    <row r="141" spans="1:23" x14ac:dyDescent="0.35">
      <c r="A141" s="2">
        <v>20</v>
      </c>
      <c r="B141" s="109" t="s">
        <v>114</v>
      </c>
      <c r="C141" s="110" t="s">
        <v>115</v>
      </c>
      <c r="D141" s="2"/>
      <c r="E141" s="51"/>
      <c r="F141" s="105"/>
      <c r="H141" s="2">
        <v>1</v>
      </c>
      <c r="I141" s="2">
        <v>0</v>
      </c>
      <c r="K141" s="2">
        <v>1</v>
      </c>
      <c r="L141" s="2">
        <v>0.39500000000000002</v>
      </c>
      <c r="M141" s="2">
        <v>0.41249999999999998</v>
      </c>
      <c r="N141" s="244">
        <v>0</v>
      </c>
      <c r="O141" s="2" t="s">
        <v>108</v>
      </c>
      <c r="P141" s="2">
        <v>100</v>
      </c>
      <c r="Q141" s="2"/>
      <c r="R141" s="2" t="s">
        <v>114</v>
      </c>
      <c r="S141" s="2"/>
      <c r="T141" s="2">
        <v>11.68</v>
      </c>
      <c r="U141" s="398">
        <v>11.68</v>
      </c>
      <c r="V141" s="7">
        <v>11.68</v>
      </c>
      <c r="W141" s="7" t="s">
        <v>1099</v>
      </c>
    </row>
    <row r="142" spans="1:23" x14ac:dyDescent="0.35">
      <c r="A142" s="2">
        <v>20</v>
      </c>
      <c r="B142" s="109" t="s">
        <v>116</v>
      </c>
      <c r="C142" s="110" t="s">
        <v>117</v>
      </c>
      <c r="D142" s="2"/>
      <c r="E142" s="51"/>
      <c r="F142" s="105"/>
      <c r="H142" s="2">
        <v>1</v>
      </c>
      <c r="I142" s="2">
        <v>0</v>
      </c>
      <c r="K142" s="2">
        <v>1</v>
      </c>
      <c r="L142" s="2">
        <v>0.37999999999999995</v>
      </c>
      <c r="M142" s="2">
        <v>0.39583333333333331</v>
      </c>
      <c r="N142" s="244">
        <v>0</v>
      </c>
      <c r="O142" s="2" t="s">
        <v>108</v>
      </c>
      <c r="P142" s="2">
        <v>100</v>
      </c>
      <c r="Q142" s="2"/>
      <c r="R142" s="2" t="s">
        <v>116</v>
      </c>
      <c r="S142" s="2"/>
      <c r="T142" s="2">
        <v>11.68</v>
      </c>
      <c r="U142" s="398">
        <v>11.68</v>
      </c>
      <c r="V142" s="7">
        <v>11.68</v>
      </c>
      <c r="W142" s="7" t="s">
        <v>1099</v>
      </c>
    </row>
    <row r="143" spans="1:23" x14ac:dyDescent="0.35">
      <c r="A143" s="2">
        <v>20</v>
      </c>
      <c r="B143" s="109" t="s">
        <v>118</v>
      </c>
      <c r="C143" s="110" t="s">
        <v>119</v>
      </c>
      <c r="D143" s="2"/>
      <c r="E143" s="51"/>
      <c r="F143" s="105"/>
      <c r="H143" s="2">
        <v>1</v>
      </c>
      <c r="I143" s="2">
        <v>0</v>
      </c>
      <c r="K143" s="2">
        <v>1</v>
      </c>
      <c r="L143" s="2">
        <v>0.37999999999999995</v>
      </c>
      <c r="M143" s="2">
        <v>0.39583333333333331</v>
      </c>
      <c r="N143" s="244">
        <v>0</v>
      </c>
      <c r="O143" s="2" t="s">
        <v>108</v>
      </c>
      <c r="P143" s="2">
        <v>100</v>
      </c>
      <c r="Q143" s="2"/>
      <c r="R143" s="2" t="s">
        <v>118</v>
      </c>
      <c r="S143" s="2"/>
      <c r="T143" s="2">
        <v>11.68</v>
      </c>
      <c r="U143" s="398">
        <v>11.68</v>
      </c>
      <c r="V143" s="7">
        <v>11.68</v>
      </c>
      <c r="W143" s="7" t="s">
        <v>1099</v>
      </c>
    </row>
    <row r="144" spans="1:23" x14ac:dyDescent="0.35">
      <c r="A144" s="2">
        <v>20</v>
      </c>
      <c r="B144" s="109" t="s">
        <v>120</v>
      </c>
      <c r="C144" s="110" t="s">
        <v>121</v>
      </c>
      <c r="D144" s="2"/>
      <c r="E144" s="51"/>
      <c r="F144" s="105"/>
      <c r="H144" s="2">
        <v>1</v>
      </c>
      <c r="I144" s="2">
        <v>0</v>
      </c>
      <c r="K144" s="2">
        <v>1</v>
      </c>
      <c r="L144" s="2">
        <v>0.37999999999999995</v>
      </c>
      <c r="M144" s="2">
        <v>0.39583333333333331</v>
      </c>
      <c r="N144" s="244">
        <v>0</v>
      </c>
      <c r="O144" s="2" t="s">
        <v>108</v>
      </c>
      <c r="P144" s="2">
        <v>100</v>
      </c>
      <c r="Q144" s="2"/>
      <c r="R144" s="2" t="s">
        <v>120</v>
      </c>
      <c r="S144" s="2"/>
      <c r="T144" s="2">
        <v>11.68</v>
      </c>
      <c r="U144" s="398">
        <v>11.68</v>
      </c>
      <c r="V144" s="7">
        <v>11.68</v>
      </c>
      <c r="W144" s="7" t="s">
        <v>1099</v>
      </c>
    </row>
    <row r="145" spans="1:23" x14ac:dyDescent="0.35">
      <c r="A145" s="2">
        <v>20</v>
      </c>
      <c r="B145" s="109" t="s">
        <v>122</v>
      </c>
      <c r="C145" s="110" t="s">
        <v>123</v>
      </c>
      <c r="D145" s="2"/>
      <c r="E145" s="51"/>
      <c r="F145" s="105"/>
      <c r="H145" s="2">
        <v>1</v>
      </c>
      <c r="I145" s="2">
        <v>0</v>
      </c>
      <c r="K145" s="2">
        <v>1</v>
      </c>
      <c r="L145" s="2">
        <v>0.37999999999999995</v>
      </c>
      <c r="M145" s="2">
        <v>0.39583333333333331</v>
      </c>
      <c r="N145" s="244">
        <v>0</v>
      </c>
      <c r="O145" s="2" t="s">
        <v>108</v>
      </c>
      <c r="P145" s="2">
        <v>100</v>
      </c>
      <c r="Q145" s="2"/>
      <c r="R145" s="2" t="s">
        <v>122</v>
      </c>
      <c r="S145" s="2"/>
      <c r="T145" s="2">
        <v>11.68</v>
      </c>
      <c r="U145" s="398">
        <v>11.68</v>
      </c>
      <c r="V145" s="7">
        <v>11.68</v>
      </c>
      <c r="W145" s="7" t="s">
        <v>1099</v>
      </c>
    </row>
    <row r="146" spans="1:23" x14ac:dyDescent="0.35">
      <c r="A146" s="2">
        <v>20</v>
      </c>
      <c r="B146" s="109" t="s">
        <v>141</v>
      </c>
      <c r="C146" s="110" t="s">
        <v>142</v>
      </c>
      <c r="D146" s="2"/>
      <c r="E146" s="51"/>
      <c r="F146" s="105"/>
      <c r="H146" s="2">
        <v>1</v>
      </c>
      <c r="I146" s="2">
        <v>0</v>
      </c>
      <c r="K146" s="2">
        <v>1</v>
      </c>
      <c r="L146" s="2">
        <v>0.39500000000000002</v>
      </c>
      <c r="M146" s="2">
        <v>0.41249999999999998</v>
      </c>
      <c r="N146" s="244">
        <v>0</v>
      </c>
      <c r="O146" s="2" t="s">
        <v>108</v>
      </c>
      <c r="P146" s="2">
        <v>100</v>
      </c>
      <c r="Q146" s="2"/>
      <c r="R146" s="2" t="s">
        <v>141</v>
      </c>
      <c r="S146" s="2"/>
      <c r="T146" s="2">
        <v>11.68</v>
      </c>
      <c r="U146" s="398">
        <v>11.68</v>
      </c>
      <c r="V146" s="7">
        <v>11.68</v>
      </c>
      <c r="W146" s="7" t="s">
        <v>1099</v>
      </c>
    </row>
    <row r="147" spans="1:23" x14ac:dyDescent="0.35">
      <c r="A147" s="2">
        <v>20</v>
      </c>
      <c r="B147" s="109" t="s">
        <v>143</v>
      </c>
      <c r="C147" s="110" t="s">
        <v>144</v>
      </c>
      <c r="D147" s="2"/>
      <c r="E147" s="51"/>
      <c r="F147" s="105"/>
      <c r="H147" s="2">
        <v>1</v>
      </c>
      <c r="I147" s="2">
        <v>0</v>
      </c>
      <c r="K147" s="2">
        <v>1</v>
      </c>
      <c r="L147" s="2">
        <v>0.39500000000000002</v>
      </c>
      <c r="M147" s="2">
        <v>0.41249999999999998</v>
      </c>
      <c r="N147" s="244">
        <v>0</v>
      </c>
      <c r="O147" s="2" t="s">
        <v>108</v>
      </c>
      <c r="P147" s="2">
        <v>100</v>
      </c>
      <c r="Q147" s="2"/>
      <c r="R147" s="2" t="s">
        <v>143</v>
      </c>
      <c r="S147" s="2"/>
      <c r="T147" s="2">
        <v>11.68</v>
      </c>
      <c r="U147" s="398">
        <v>11.68</v>
      </c>
      <c r="V147" s="7">
        <v>11.68</v>
      </c>
      <c r="W147" s="7" t="s">
        <v>1099</v>
      </c>
    </row>
    <row r="148" spans="1:23" x14ac:dyDescent="0.35">
      <c r="A148" s="2">
        <v>22</v>
      </c>
      <c r="B148" s="109" t="s">
        <v>107</v>
      </c>
      <c r="C148" s="110" t="s">
        <v>109</v>
      </c>
      <c r="D148" s="2"/>
      <c r="E148" s="51"/>
      <c r="F148" s="105"/>
      <c r="H148" s="2">
        <v>3</v>
      </c>
      <c r="I148" s="2">
        <v>0</v>
      </c>
      <c r="K148" s="2">
        <v>1</v>
      </c>
      <c r="L148" s="2">
        <v>1.1850000000000001</v>
      </c>
      <c r="M148" s="2">
        <v>1.2375</v>
      </c>
      <c r="N148" s="244">
        <v>0</v>
      </c>
      <c r="O148" s="2" t="s">
        <v>108</v>
      </c>
      <c r="P148" s="2">
        <v>100</v>
      </c>
      <c r="Q148" s="2"/>
      <c r="R148" s="2" t="s">
        <v>107</v>
      </c>
      <c r="S148" s="2"/>
      <c r="T148" s="2">
        <v>11.68</v>
      </c>
      <c r="U148" s="398">
        <v>35.04</v>
      </c>
      <c r="V148" s="7">
        <v>35.04</v>
      </c>
      <c r="W148" s="7" t="s">
        <v>1099</v>
      </c>
    </row>
    <row r="149" spans="1:23" x14ac:dyDescent="0.35">
      <c r="A149" s="2">
        <v>22</v>
      </c>
      <c r="B149" s="109" t="s">
        <v>110</v>
      </c>
      <c r="C149" s="110" t="s">
        <v>111</v>
      </c>
      <c r="D149" s="2"/>
      <c r="E149" s="51"/>
      <c r="F149" s="105"/>
      <c r="H149" s="2">
        <v>3</v>
      </c>
      <c r="I149" s="2">
        <v>0</v>
      </c>
      <c r="K149" s="2">
        <v>1</v>
      </c>
      <c r="L149" s="2">
        <v>1.1850000000000001</v>
      </c>
      <c r="M149" s="2">
        <v>1.2375</v>
      </c>
      <c r="N149" s="244">
        <v>0</v>
      </c>
      <c r="O149" s="2" t="s">
        <v>108</v>
      </c>
      <c r="P149" s="2">
        <v>100</v>
      </c>
      <c r="Q149" s="2"/>
      <c r="R149" s="2" t="s">
        <v>110</v>
      </c>
      <c r="S149" s="2"/>
      <c r="T149" s="2">
        <v>11.68</v>
      </c>
      <c r="U149" s="398">
        <v>35.04</v>
      </c>
      <c r="V149" s="7">
        <v>35.04</v>
      </c>
      <c r="W149" s="7" t="s">
        <v>1099</v>
      </c>
    </row>
    <row r="150" spans="1:23" x14ac:dyDescent="0.35">
      <c r="A150" s="2">
        <v>22</v>
      </c>
      <c r="B150" s="109" t="s">
        <v>112</v>
      </c>
      <c r="C150" s="110" t="s">
        <v>648</v>
      </c>
      <c r="D150" s="2"/>
      <c r="E150" s="51"/>
      <c r="F150" s="105"/>
      <c r="H150" s="2">
        <v>3</v>
      </c>
      <c r="I150" s="2">
        <v>0</v>
      </c>
      <c r="K150" s="2">
        <v>1</v>
      </c>
      <c r="L150" s="2">
        <v>1.1850000000000001</v>
      </c>
      <c r="M150" s="2">
        <v>1.2375</v>
      </c>
      <c r="N150" s="244">
        <v>0</v>
      </c>
      <c r="O150" s="2" t="s">
        <v>108</v>
      </c>
      <c r="P150" s="2">
        <v>100</v>
      </c>
      <c r="Q150" s="2"/>
      <c r="R150" s="2" t="s">
        <v>112</v>
      </c>
      <c r="S150" s="2"/>
      <c r="T150" s="2">
        <v>11.68</v>
      </c>
      <c r="U150" s="398">
        <v>35.04</v>
      </c>
      <c r="V150" s="7">
        <v>35.04</v>
      </c>
      <c r="W150" s="7" t="s">
        <v>1099</v>
      </c>
    </row>
    <row r="151" spans="1:23" x14ac:dyDescent="0.35">
      <c r="A151" s="2">
        <v>22</v>
      </c>
      <c r="B151" s="109" t="s">
        <v>114</v>
      </c>
      <c r="C151" s="110" t="s">
        <v>115</v>
      </c>
      <c r="D151" s="2"/>
      <c r="E151" s="51"/>
      <c r="F151" s="105"/>
      <c r="H151" s="2">
        <v>3</v>
      </c>
      <c r="I151" s="2">
        <v>0</v>
      </c>
      <c r="K151" s="2">
        <v>1</v>
      </c>
      <c r="L151" s="2">
        <v>1.1850000000000001</v>
      </c>
      <c r="M151" s="2">
        <v>1.2375</v>
      </c>
      <c r="N151" s="244">
        <v>0</v>
      </c>
      <c r="O151" s="2" t="s">
        <v>108</v>
      </c>
      <c r="P151" s="2">
        <v>100</v>
      </c>
      <c r="Q151" s="2"/>
      <c r="R151" s="2" t="s">
        <v>114</v>
      </c>
      <c r="S151" s="2"/>
      <c r="T151" s="2">
        <v>11.68</v>
      </c>
      <c r="U151" s="398">
        <v>35.04</v>
      </c>
      <c r="V151" s="7">
        <v>35.04</v>
      </c>
      <c r="W151" s="7" t="s">
        <v>1099</v>
      </c>
    </row>
    <row r="152" spans="1:23" x14ac:dyDescent="0.35">
      <c r="A152" s="2">
        <v>22</v>
      </c>
      <c r="B152" s="109" t="s">
        <v>116</v>
      </c>
      <c r="C152" s="110" t="s">
        <v>117</v>
      </c>
      <c r="D152" s="2"/>
      <c r="E152" s="51"/>
      <c r="F152" s="105"/>
      <c r="H152" s="2">
        <v>3</v>
      </c>
      <c r="I152" s="2">
        <v>0</v>
      </c>
      <c r="K152" s="2">
        <v>1</v>
      </c>
      <c r="L152" s="2">
        <v>1.1399999999999999</v>
      </c>
      <c r="M152" s="2">
        <v>1.1875</v>
      </c>
      <c r="N152" s="244">
        <v>0</v>
      </c>
      <c r="O152" s="2" t="s">
        <v>108</v>
      </c>
      <c r="P152" s="2">
        <v>100</v>
      </c>
      <c r="Q152" s="2"/>
      <c r="R152" s="2" t="s">
        <v>116</v>
      </c>
      <c r="S152" s="2"/>
      <c r="T152" s="2">
        <v>11.68</v>
      </c>
      <c r="U152" s="398">
        <v>35.04</v>
      </c>
      <c r="V152" s="7">
        <v>35.04</v>
      </c>
      <c r="W152" s="7" t="s">
        <v>1099</v>
      </c>
    </row>
    <row r="153" spans="1:23" x14ac:dyDescent="0.35">
      <c r="A153" s="2">
        <v>22</v>
      </c>
      <c r="B153" s="109" t="s">
        <v>118</v>
      </c>
      <c r="C153" s="110" t="s">
        <v>119</v>
      </c>
      <c r="D153" s="2"/>
      <c r="E153" s="51"/>
      <c r="F153" s="105"/>
      <c r="H153" s="2">
        <v>3</v>
      </c>
      <c r="I153" s="2">
        <v>0</v>
      </c>
      <c r="K153" s="2">
        <v>1</v>
      </c>
      <c r="L153" s="2">
        <v>1.1399999999999999</v>
      </c>
      <c r="M153" s="2">
        <v>1.1875</v>
      </c>
      <c r="N153" s="244">
        <v>0</v>
      </c>
      <c r="O153" s="2" t="s">
        <v>108</v>
      </c>
      <c r="P153" s="2">
        <v>100</v>
      </c>
      <c r="Q153" s="2"/>
      <c r="R153" s="2" t="s">
        <v>118</v>
      </c>
      <c r="S153" s="2"/>
      <c r="T153" s="2">
        <v>11.68</v>
      </c>
      <c r="U153" s="398">
        <v>35.04</v>
      </c>
      <c r="V153" s="7">
        <v>35.04</v>
      </c>
      <c r="W153" s="7" t="s">
        <v>1099</v>
      </c>
    </row>
    <row r="154" spans="1:23" x14ac:dyDescent="0.35">
      <c r="A154" s="2">
        <v>22</v>
      </c>
      <c r="B154" s="109" t="s">
        <v>120</v>
      </c>
      <c r="C154" s="110" t="s">
        <v>121</v>
      </c>
      <c r="D154" s="2"/>
      <c r="E154" s="51"/>
      <c r="F154" s="105"/>
      <c r="H154" s="2">
        <v>3</v>
      </c>
      <c r="I154" s="2">
        <v>0</v>
      </c>
      <c r="K154" s="2">
        <v>1</v>
      </c>
      <c r="L154" s="2">
        <v>1.1399999999999999</v>
      </c>
      <c r="M154" s="2">
        <v>1.1875</v>
      </c>
      <c r="N154" s="244">
        <v>0</v>
      </c>
      <c r="O154" s="2" t="s">
        <v>108</v>
      </c>
      <c r="P154" s="2">
        <v>100</v>
      </c>
      <c r="Q154" s="2"/>
      <c r="R154" s="2" t="s">
        <v>120</v>
      </c>
      <c r="S154" s="2"/>
      <c r="T154" s="2">
        <v>11.68</v>
      </c>
      <c r="U154" s="398">
        <v>35.04</v>
      </c>
      <c r="V154" s="7">
        <v>35.04</v>
      </c>
      <c r="W154" s="7" t="s">
        <v>1099</v>
      </c>
    </row>
    <row r="155" spans="1:23" x14ac:dyDescent="0.35">
      <c r="A155" s="2">
        <v>22</v>
      </c>
      <c r="B155" s="109" t="s">
        <v>122</v>
      </c>
      <c r="C155" s="110" t="s">
        <v>123</v>
      </c>
      <c r="D155" s="2"/>
      <c r="E155" s="51"/>
      <c r="F155" s="105"/>
      <c r="H155" s="2">
        <v>3</v>
      </c>
      <c r="I155" s="2">
        <v>0</v>
      </c>
      <c r="K155" s="2">
        <v>1</v>
      </c>
      <c r="L155" s="2">
        <v>1.1399999999999999</v>
      </c>
      <c r="M155" s="2">
        <v>1.1875</v>
      </c>
      <c r="N155" s="244">
        <v>0</v>
      </c>
      <c r="O155" s="2" t="s">
        <v>108</v>
      </c>
      <c r="P155" s="2">
        <v>100</v>
      </c>
      <c r="Q155" s="2"/>
      <c r="R155" s="2" t="s">
        <v>122</v>
      </c>
      <c r="S155" s="2"/>
      <c r="T155" s="2">
        <v>11.68</v>
      </c>
      <c r="U155" s="398">
        <v>35.04</v>
      </c>
      <c r="V155" s="7">
        <v>35.04</v>
      </c>
      <c r="W155" s="7" t="s">
        <v>1099</v>
      </c>
    </row>
    <row r="156" spans="1:23" x14ac:dyDescent="0.35">
      <c r="A156" s="2">
        <v>22</v>
      </c>
      <c r="B156" s="109" t="s">
        <v>141</v>
      </c>
      <c r="C156" s="110" t="s">
        <v>142</v>
      </c>
      <c r="D156" s="2"/>
      <c r="E156" s="51"/>
      <c r="F156" s="105"/>
      <c r="H156" s="2">
        <v>3</v>
      </c>
      <c r="I156" s="2">
        <v>0</v>
      </c>
      <c r="K156" s="2">
        <v>1</v>
      </c>
      <c r="L156" s="2">
        <v>1.1850000000000001</v>
      </c>
      <c r="M156" s="2">
        <v>1.2375</v>
      </c>
      <c r="N156" s="244">
        <v>0</v>
      </c>
      <c r="O156" s="2" t="s">
        <v>108</v>
      </c>
      <c r="P156" s="2">
        <v>100</v>
      </c>
      <c r="Q156" s="2"/>
      <c r="R156" s="2" t="s">
        <v>141</v>
      </c>
      <c r="S156" s="2"/>
      <c r="T156" s="2">
        <v>11.68</v>
      </c>
      <c r="U156" s="398">
        <v>35.04</v>
      </c>
      <c r="V156" s="7">
        <v>35.04</v>
      </c>
      <c r="W156" s="7" t="s">
        <v>1099</v>
      </c>
    </row>
    <row r="157" spans="1:23" x14ac:dyDescent="0.35">
      <c r="A157" s="2">
        <v>22</v>
      </c>
      <c r="B157" s="109" t="s">
        <v>143</v>
      </c>
      <c r="C157" s="110" t="s">
        <v>144</v>
      </c>
      <c r="D157" s="2"/>
      <c r="E157" s="51"/>
      <c r="F157" s="105"/>
      <c r="H157" s="2">
        <v>3</v>
      </c>
      <c r="I157" s="2">
        <v>0</v>
      </c>
      <c r="K157" s="2">
        <v>1</v>
      </c>
      <c r="L157" s="2">
        <v>1.1850000000000001</v>
      </c>
      <c r="M157" s="2">
        <v>1.2375</v>
      </c>
      <c r="N157" s="244">
        <v>0</v>
      </c>
      <c r="O157" s="2" t="s">
        <v>108</v>
      </c>
      <c r="P157" s="2">
        <v>100</v>
      </c>
      <c r="Q157" s="2"/>
      <c r="R157" s="2" t="s">
        <v>143</v>
      </c>
      <c r="S157" s="2"/>
      <c r="T157" s="2">
        <v>11.68</v>
      </c>
      <c r="U157" s="398">
        <v>35.04</v>
      </c>
      <c r="V157" s="7">
        <v>35.04</v>
      </c>
      <c r="W157" s="7" t="s">
        <v>1099</v>
      </c>
    </row>
    <row r="158" spans="1:23" x14ac:dyDescent="0.35">
      <c r="A158" s="2">
        <v>23</v>
      </c>
      <c r="B158" s="109" t="s">
        <v>769</v>
      </c>
      <c r="C158" s="110" t="s">
        <v>807</v>
      </c>
      <c r="D158" s="2">
        <v>100</v>
      </c>
      <c r="E158" s="51">
        <v>20.5</v>
      </c>
      <c r="F158" s="105"/>
      <c r="H158" s="2"/>
      <c r="I158" s="2">
        <v>1</v>
      </c>
      <c r="J158" s="2">
        <v>0</v>
      </c>
      <c r="K158" s="2">
        <v>0</v>
      </c>
      <c r="L158" s="2">
        <v>3.75</v>
      </c>
      <c r="M158" s="2">
        <v>4.4119999999999999</v>
      </c>
      <c r="N158" s="244">
        <v>0</v>
      </c>
      <c r="O158" s="2" t="s">
        <v>870</v>
      </c>
      <c r="P158" s="2">
        <v>0</v>
      </c>
      <c r="Q158" s="2" t="s">
        <v>992</v>
      </c>
      <c r="R158" s="2" t="s">
        <v>769</v>
      </c>
      <c r="S158" s="2"/>
      <c r="T158" s="2" t="s">
        <v>861</v>
      </c>
      <c r="U158" s="398" t="s">
        <v>861</v>
      </c>
      <c r="V158" s="7">
        <v>2050</v>
      </c>
      <c r="W158" s="7" t="s">
        <v>660</v>
      </c>
    </row>
    <row r="159" spans="1:23" x14ac:dyDescent="0.35">
      <c r="A159" s="2">
        <v>23</v>
      </c>
      <c r="B159" s="109" t="s">
        <v>770</v>
      </c>
      <c r="C159" s="110" t="s">
        <v>808</v>
      </c>
      <c r="D159" s="2">
        <v>150</v>
      </c>
      <c r="E159" s="51">
        <v>20.5</v>
      </c>
      <c r="F159" s="105"/>
      <c r="H159" s="2"/>
      <c r="I159" s="2">
        <v>2</v>
      </c>
      <c r="J159" s="2">
        <v>0</v>
      </c>
      <c r="K159" s="2">
        <v>0</v>
      </c>
      <c r="L159" s="2">
        <v>5.625</v>
      </c>
      <c r="M159" s="2">
        <v>6.6180000000000003</v>
      </c>
      <c r="N159" s="244">
        <v>0</v>
      </c>
      <c r="O159" s="2" t="s">
        <v>870</v>
      </c>
      <c r="P159" s="2">
        <v>0</v>
      </c>
      <c r="Q159" s="2" t="s">
        <v>992</v>
      </c>
      <c r="R159" s="2" t="s">
        <v>770</v>
      </c>
      <c r="S159" s="2"/>
      <c r="T159" s="2" t="s">
        <v>861</v>
      </c>
      <c r="U159" s="398" t="s">
        <v>861</v>
      </c>
      <c r="V159" s="7">
        <v>3075</v>
      </c>
      <c r="W159" s="7" t="s">
        <v>660</v>
      </c>
    </row>
    <row r="160" spans="1:23" x14ac:dyDescent="0.35">
      <c r="A160" s="2">
        <v>23</v>
      </c>
      <c r="B160" s="109" t="s">
        <v>771</v>
      </c>
      <c r="C160" s="110" t="s">
        <v>809</v>
      </c>
      <c r="D160" s="2">
        <v>100</v>
      </c>
      <c r="E160" s="51">
        <v>20.5</v>
      </c>
      <c r="F160" s="105"/>
      <c r="H160" s="2"/>
      <c r="I160" s="2">
        <v>1</v>
      </c>
      <c r="J160" s="2">
        <v>0</v>
      </c>
      <c r="K160" s="2">
        <v>0</v>
      </c>
      <c r="L160" s="2">
        <v>3.75</v>
      </c>
      <c r="M160" s="2">
        <v>4.4119999999999999</v>
      </c>
      <c r="N160" s="244">
        <v>0</v>
      </c>
      <c r="O160" s="2" t="s">
        <v>870</v>
      </c>
      <c r="P160" s="2">
        <v>0</v>
      </c>
      <c r="Q160" s="2" t="s">
        <v>992</v>
      </c>
      <c r="R160" s="2" t="s">
        <v>771</v>
      </c>
      <c r="S160" s="2"/>
      <c r="T160" s="2" t="s">
        <v>861</v>
      </c>
      <c r="U160" s="398" t="s">
        <v>861</v>
      </c>
      <c r="V160" s="7">
        <v>2050</v>
      </c>
      <c r="W160" s="7" t="s">
        <v>660</v>
      </c>
    </row>
    <row r="161" spans="1:23" x14ac:dyDescent="0.35">
      <c r="A161" s="2">
        <v>23</v>
      </c>
      <c r="B161" s="109" t="s">
        <v>772</v>
      </c>
      <c r="C161" s="110" t="s">
        <v>810</v>
      </c>
      <c r="D161" s="2">
        <v>100</v>
      </c>
      <c r="E161" s="51">
        <v>21</v>
      </c>
      <c r="F161" s="105"/>
      <c r="H161" s="2"/>
      <c r="I161" s="2">
        <v>1</v>
      </c>
      <c r="J161" s="2">
        <v>0</v>
      </c>
      <c r="K161" s="2">
        <v>0</v>
      </c>
      <c r="L161" s="2">
        <v>3.75</v>
      </c>
      <c r="M161" s="2">
        <v>4.4119999999999999</v>
      </c>
      <c r="N161" s="244">
        <v>0</v>
      </c>
      <c r="O161" s="2" t="s">
        <v>870</v>
      </c>
      <c r="P161" s="2">
        <v>0</v>
      </c>
      <c r="Q161" s="2" t="s">
        <v>992</v>
      </c>
      <c r="R161" s="2" t="s">
        <v>772</v>
      </c>
      <c r="S161" s="2"/>
      <c r="T161" s="2" t="s">
        <v>861</v>
      </c>
      <c r="U161" s="398" t="s">
        <v>861</v>
      </c>
      <c r="V161" s="7">
        <v>2100</v>
      </c>
      <c r="W161" s="7" t="s">
        <v>660</v>
      </c>
    </row>
    <row r="162" spans="1:23" x14ac:dyDescent="0.35">
      <c r="A162" s="2">
        <v>23</v>
      </c>
      <c r="B162" s="109" t="s">
        <v>774</v>
      </c>
      <c r="C162" s="110" t="s">
        <v>812</v>
      </c>
      <c r="D162" s="2">
        <v>100</v>
      </c>
      <c r="E162" s="51">
        <v>21</v>
      </c>
      <c r="F162" s="105"/>
      <c r="H162" s="2"/>
      <c r="I162" s="2">
        <v>1</v>
      </c>
      <c r="J162" s="2">
        <v>0</v>
      </c>
      <c r="K162" s="2">
        <v>0</v>
      </c>
      <c r="L162" s="2">
        <v>3.75</v>
      </c>
      <c r="M162" s="2">
        <v>4.4119999999999999</v>
      </c>
      <c r="N162" s="244">
        <v>0</v>
      </c>
      <c r="O162" s="2" t="s">
        <v>870</v>
      </c>
      <c r="P162" s="2">
        <v>0</v>
      </c>
      <c r="Q162" s="2" t="s">
        <v>992</v>
      </c>
      <c r="R162" s="2" t="s">
        <v>774</v>
      </c>
      <c r="S162" s="2"/>
      <c r="T162" s="2" t="s">
        <v>861</v>
      </c>
      <c r="U162" s="398" t="s">
        <v>861</v>
      </c>
      <c r="V162" s="7">
        <v>2100</v>
      </c>
      <c r="W162" s="7" t="s">
        <v>660</v>
      </c>
    </row>
    <row r="163" spans="1:23" x14ac:dyDescent="0.35">
      <c r="A163" s="2">
        <v>23</v>
      </c>
      <c r="B163" s="109" t="s">
        <v>775</v>
      </c>
      <c r="C163" s="110" t="s">
        <v>813</v>
      </c>
      <c r="D163" s="2">
        <v>100</v>
      </c>
      <c r="E163" s="51">
        <v>21</v>
      </c>
      <c r="F163" s="105"/>
      <c r="H163" s="2"/>
      <c r="I163" s="2">
        <v>1</v>
      </c>
      <c r="J163" s="2">
        <v>0</v>
      </c>
      <c r="K163" s="2">
        <v>0</v>
      </c>
      <c r="L163" s="2">
        <v>3.75</v>
      </c>
      <c r="M163" s="2">
        <v>4.4119999999999999</v>
      </c>
      <c r="N163" s="244">
        <v>0</v>
      </c>
      <c r="O163" s="2" t="s">
        <v>870</v>
      </c>
      <c r="P163" s="2">
        <v>0</v>
      </c>
      <c r="Q163" s="2" t="s">
        <v>992</v>
      </c>
      <c r="R163" s="2" t="s">
        <v>775</v>
      </c>
      <c r="S163" s="2"/>
      <c r="T163" s="2" t="s">
        <v>861</v>
      </c>
      <c r="U163" s="398" t="s">
        <v>861</v>
      </c>
      <c r="V163" s="7">
        <v>2100</v>
      </c>
      <c r="W163" s="7" t="s">
        <v>660</v>
      </c>
    </row>
    <row r="164" spans="1:23" x14ac:dyDescent="0.35">
      <c r="A164" s="2">
        <v>23</v>
      </c>
      <c r="B164" s="109" t="s">
        <v>776</v>
      </c>
      <c r="C164" s="110" t="s">
        <v>814</v>
      </c>
      <c r="D164" s="2">
        <v>100</v>
      </c>
      <c r="E164" s="51">
        <v>21</v>
      </c>
      <c r="F164" s="105"/>
      <c r="H164" s="2"/>
      <c r="I164" s="2">
        <v>1</v>
      </c>
      <c r="J164" s="2">
        <v>0</v>
      </c>
      <c r="K164" s="2">
        <v>0</v>
      </c>
      <c r="L164" s="2">
        <v>3.75</v>
      </c>
      <c r="M164" s="2">
        <v>4.4119999999999999</v>
      </c>
      <c r="N164" s="244">
        <v>0</v>
      </c>
      <c r="O164" s="2" t="s">
        <v>870</v>
      </c>
      <c r="P164" s="2">
        <v>0</v>
      </c>
      <c r="Q164" s="2" t="s">
        <v>992</v>
      </c>
      <c r="R164" s="2" t="s">
        <v>776</v>
      </c>
      <c r="S164" s="2"/>
      <c r="T164" s="2" t="s">
        <v>861</v>
      </c>
      <c r="U164" s="398" t="s">
        <v>861</v>
      </c>
      <c r="V164" s="7">
        <v>2100</v>
      </c>
      <c r="W164" s="7" t="s">
        <v>660</v>
      </c>
    </row>
    <row r="165" spans="1:23" x14ac:dyDescent="0.35">
      <c r="A165" s="2">
        <v>23</v>
      </c>
      <c r="B165" s="109" t="s">
        <v>777</v>
      </c>
      <c r="C165" s="110" t="s">
        <v>815</v>
      </c>
      <c r="D165" s="2">
        <v>100</v>
      </c>
      <c r="E165" s="51">
        <v>21</v>
      </c>
      <c r="F165" s="105"/>
      <c r="H165" s="2"/>
      <c r="I165" s="2">
        <v>1</v>
      </c>
      <c r="J165" s="2">
        <v>0</v>
      </c>
      <c r="K165" s="2">
        <v>0</v>
      </c>
      <c r="L165" s="2">
        <v>3.75</v>
      </c>
      <c r="M165" s="2">
        <v>4.4119999999999999</v>
      </c>
      <c r="N165" s="244">
        <v>0</v>
      </c>
      <c r="O165" s="2" t="s">
        <v>870</v>
      </c>
      <c r="P165" s="2">
        <v>0</v>
      </c>
      <c r="Q165" s="2" t="s">
        <v>992</v>
      </c>
      <c r="R165" s="2" t="s">
        <v>777</v>
      </c>
      <c r="S165" s="2"/>
      <c r="T165" s="2" t="s">
        <v>861</v>
      </c>
      <c r="U165" s="398" t="s">
        <v>861</v>
      </c>
      <c r="V165" s="7">
        <v>2100</v>
      </c>
      <c r="W165" s="7" t="s">
        <v>660</v>
      </c>
    </row>
    <row r="166" spans="1:23" x14ac:dyDescent="0.35">
      <c r="A166" s="2">
        <v>23</v>
      </c>
      <c r="B166" s="109" t="s">
        <v>778</v>
      </c>
      <c r="C166" s="110" t="s">
        <v>816</v>
      </c>
      <c r="D166" s="2">
        <v>100</v>
      </c>
      <c r="E166" s="51">
        <v>22</v>
      </c>
      <c r="F166" s="105"/>
      <c r="H166" s="2"/>
      <c r="I166" s="2">
        <v>1</v>
      </c>
      <c r="J166" s="2">
        <v>0</v>
      </c>
      <c r="K166" s="2">
        <v>0</v>
      </c>
      <c r="L166" s="2">
        <v>3.75</v>
      </c>
      <c r="M166" s="2">
        <v>4.4119999999999999</v>
      </c>
      <c r="N166" s="244">
        <v>0</v>
      </c>
      <c r="O166" s="2" t="s">
        <v>870</v>
      </c>
      <c r="P166" s="2">
        <v>0</v>
      </c>
      <c r="Q166" s="2" t="s">
        <v>992</v>
      </c>
      <c r="R166" s="2" t="s">
        <v>778</v>
      </c>
      <c r="S166" s="2"/>
      <c r="T166" s="2" t="s">
        <v>861</v>
      </c>
      <c r="U166" s="398" t="s">
        <v>861</v>
      </c>
      <c r="V166" s="7">
        <v>2200</v>
      </c>
      <c r="W166" s="7" t="s">
        <v>660</v>
      </c>
    </row>
    <row r="167" spans="1:23" x14ac:dyDescent="0.35">
      <c r="A167" s="2">
        <v>23</v>
      </c>
      <c r="B167" s="109" t="s">
        <v>779</v>
      </c>
      <c r="C167" s="110" t="s">
        <v>817</v>
      </c>
      <c r="D167" s="2">
        <v>100</v>
      </c>
      <c r="E167" s="51">
        <v>22</v>
      </c>
      <c r="F167" s="105"/>
      <c r="H167" s="2"/>
      <c r="I167" s="2">
        <v>1</v>
      </c>
      <c r="J167" s="2">
        <v>0</v>
      </c>
      <c r="K167" s="2">
        <v>0</v>
      </c>
      <c r="L167" s="2">
        <v>3.75</v>
      </c>
      <c r="M167" s="2">
        <v>4.4119999999999999</v>
      </c>
      <c r="N167" s="244">
        <v>0</v>
      </c>
      <c r="O167" s="2" t="s">
        <v>870</v>
      </c>
      <c r="P167" s="2">
        <v>0</v>
      </c>
      <c r="Q167" s="2" t="s">
        <v>992</v>
      </c>
      <c r="R167" s="2" t="s">
        <v>779</v>
      </c>
      <c r="S167" s="2"/>
      <c r="T167" s="2" t="s">
        <v>861</v>
      </c>
      <c r="U167" s="398" t="s">
        <v>861</v>
      </c>
      <c r="V167" s="7">
        <v>2200</v>
      </c>
      <c r="W167" s="7" t="s">
        <v>660</v>
      </c>
    </row>
    <row r="168" spans="1:23" x14ac:dyDescent="0.35">
      <c r="A168" s="2">
        <v>23</v>
      </c>
      <c r="B168" s="109" t="s">
        <v>780</v>
      </c>
      <c r="C168" s="110" t="s">
        <v>818</v>
      </c>
      <c r="D168" s="2">
        <v>100</v>
      </c>
      <c r="E168" s="51">
        <v>22</v>
      </c>
      <c r="F168" s="105"/>
      <c r="H168" s="2"/>
      <c r="I168" s="2">
        <v>1</v>
      </c>
      <c r="J168" s="2">
        <v>0</v>
      </c>
      <c r="K168" s="2">
        <v>0</v>
      </c>
      <c r="L168" s="2">
        <v>3.75</v>
      </c>
      <c r="M168" s="2">
        <v>4.4119999999999999</v>
      </c>
      <c r="N168" s="244">
        <v>0</v>
      </c>
      <c r="O168" s="2" t="s">
        <v>870</v>
      </c>
      <c r="P168" s="2">
        <v>0</v>
      </c>
      <c r="Q168" s="2" t="s">
        <v>992</v>
      </c>
      <c r="R168" s="2" t="s">
        <v>780</v>
      </c>
      <c r="S168" s="2"/>
      <c r="T168" s="2" t="s">
        <v>861</v>
      </c>
      <c r="U168" s="398" t="s">
        <v>861</v>
      </c>
      <c r="V168" s="7">
        <v>2200</v>
      </c>
      <c r="W168" s="7" t="s">
        <v>660</v>
      </c>
    </row>
    <row r="169" spans="1:23" x14ac:dyDescent="0.35">
      <c r="A169" s="2">
        <v>23</v>
      </c>
      <c r="B169" s="109" t="s">
        <v>787</v>
      </c>
      <c r="C169" s="110" t="s">
        <v>825</v>
      </c>
      <c r="D169" s="2">
        <v>100</v>
      </c>
      <c r="E169" s="51">
        <v>22</v>
      </c>
      <c r="F169" s="105"/>
      <c r="H169" s="2"/>
      <c r="I169" s="2">
        <v>1</v>
      </c>
      <c r="J169" s="2">
        <v>0</v>
      </c>
      <c r="K169" s="2">
        <v>0</v>
      </c>
      <c r="L169" s="2">
        <v>3.75</v>
      </c>
      <c r="M169" s="2">
        <v>4.4119999999999999</v>
      </c>
      <c r="N169" s="244">
        <v>0</v>
      </c>
      <c r="O169" s="2" t="s">
        <v>870</v>
      </c>
      <c r="P169" s="2">
        <v>0</v>
      </c>
      <c r="Q169" s="2" t="s">
        <v>992</v>
      </c>
      <c r="R169" s="2" t="s">
        <v>787</v>
      </c>
      <c r="S169" s="2"/>
      <c r="T169" s="2" t="s">
        <v>861</v>
      </c>
      <c r="U169" s="398" t="s">
        <v>861</v>
      </c>
      <c r="V169" s="7">
        <v>2200</v>
      </c>
      <c r="W169" s="7" t="s">
        <v>660</v>
      </c>
    </row>
    <row r="170" spans="1:23" x14ac:dyDescent="0.35">
      <c r="A170" s="2">
        <v>23</v>
      </c>
      <c r="B170" s="109" t="s">
        <v>788</v>
      </c>
      <c r="C170" s="110" t="s">
        <v>826</v>
      </c>
      <c r="D170" s="2">
        <v>100</v>
      </c>
      <c r="E170" s="51">
        <v>22</v>
      </c>
      <c r="F170" s="105"/>
      <c r="H170" s="2"/>
      <c r="I170" s="2">
        <v>1</v>
      </c>
      <c r="J170" s="2">
        <v>0</v>
      </c>
      <c r="K170" s="2">
        <v>0</v>
      </c>
      <c r="L170" s="2">
        <v>3.75</v>
      </c>
      <c r="M170" s="2">
        <v>4.4119999999999999</v>
      </c>
      <c r="N170" s="244">
        <v>0</v>
      </c>
      <c r="O170" s="2" t="s">
        <v>870</v>
      </c>
      <c r="P170" s="2">
        <v>0</v>
      </c>
      <c r="Q170" s="2" t="s">
        <v>992</v>
      </c>
      <c r="R170" s="2" t="s">
        <v>788</v>
      </c>
      <c r="S170" s="2"/>
      <c r="T170" s="2" t="s">
        <v>861</v>
      </c>
      <c r="U170" s="398" t="s">
        <v>861</v>
      </c>
      <c r="V170" s="7">
        <v>2200</v>
      </c>
      <c r="W170" s="7" t="s">
        <v>660</v>
      </c>
    </row>
    <row r="171" spans="1:23" x14ac:dyDescent="0.35">
      <c r="A171" s="2">
        <v>23</v>
      </c>
      <c r="B171" s="109" t="s">
        <v>790</v>
      </c>
      <c r="C171" s="110" t="s">
        <v>828</v>
      </c>
      <c r="D171" s="2">
        <v>100</v>
      </c>
      <c r="E171" s="51">
        <v>24</v>
      </c>
      <c r="F171" s="105"/>
      <c r="H171" s="2"/>
      <c r="I171" s="2">
        <v>1</v>
      </c>
      <c r="J171" s="2">
        <v>0</v>
      </c>
      <c r="K171" s="2">
        <v>0</v>
      </c>
      <c r="L171" s="2">
        <v>3.75</v>
      </c>
      <c r="M171" s="2">
        <v>4.4119999999999999</v>
      </c>
      <c r="N171" s="244">
        <v>0</v>
      </c>
      <c r="O171" s="2" t="s">
        <v>870</v>
      </c>
      <c r="P171" s="2">
        <v>0</v>
      </c>
      <c r="Q171" s="2" t="s">
        <v>992</v>
      </c>
      <c r="R171" s="2" t="s">
        <v>790</v>
      </c>
      <c r="S171" s="2"/>
      <c r="T171" s="2" t="s">
        <v>861</v>
      </c>
      <c r="U171" s="398" t="s">
        <v>861</v>
      </c>
      <c r="V171" s="7">
        <v>2400</v>
      </c>
      <c r="W171" s="7" t="s">
        <v>660</v>
      </c>
    </row>
    <row r="172" spans="1:23" x14ac:dyDescent="0.35">
      <c r="A172" s="2">
        <v>23</v>
      </c>
      <c r="B172" s="109" t="s">
        <v>792</v>
      </c>
      <c r="C172" s="110" t="s">
        <v>830</v>
      </c>
      <c r="D172" s="2">
        <v>100</v>
      </c>
      <c r="E172" s="51">
        <v>24</v>
      </c>
      <c r="F172" s="105"/>
      <c r="H172" s="2"/>
      <c r="I172" s="2">
        <v>1</v>
      </c>
      <c r="J172" s="2">
        <v>0</v>
      </c>
      <c r="K172" s="2">
        <v>0</v>
      </c>
      <c r="L172" s="2">
        <v>3.75</v>
      </c>
      <c r="M172" s="2">
        <v>4.4119999999999999</v>
      </c>
      <c r="N172" s="244">
        <v>0</v>
      </c>
      <c r="O172" s="2" t="s">
        <v>870</v>
      </c>
      <c r="P172" s="2">
        <v>0</v>
      </c>
      <c r="Q172" s="2" t="s">
        <v>992</v>
      </c>
      <c r="R172" s="2" t="s">
        <v>792</v>
      </c>
      <c r="S172" s="2"/>
      <c r="T172" s="2" t="s">
        <v>861</v>
      </c>
      <c r="U172" s="398" t="s">
        <v>861</v>
      </c>
      <c r="V172" s="7">
        <v>2400</v>
      </c>
      <c r="W172" s="7" t="s">
        <v>660</v>
      </c>
    </row>
    <row r="173" spans="1:23" x14ac:dyDescent="0.35">
      <c r="A173" s="2">
        <v>23</v>
      </c>
      <c r="B173" s="109" t="s">
        <v>793</v>
      </c>
      <c r="C173" s="110" t="s">
        <v>831</v>
      </c>
      <c r="D173" s="2">
        <v>100</v>
      </c>
      <c r="E173" s="51">
        <v>23</v>
      </c>
      <c r="F173" s="105"/>
      <c r="H173" s="2"/>
      <c r="I173" s="2">
        <v>1</v>
      </c>
      <c r="J173" s="2">
        <v>0</v>
      </c>
      <c r="K173" s="2">
        <v>0</v>
      </c>
      <c r="L173" s="2">
        <v>3.75</v>
      </c>
      <c r="M173" s="2">
        <v>4.4119999999999999</v>
      </c>
      <c r="N173" s="244">
        <v>0</v>
      </c>
      <c r="O173" s="2" t="s">
        <v>870</v>
      </c>
      <c r="P173" s="2">
        <v>0</v>
      </c>
      <c r="Q173" s="2" t="s">
        <v>992</v>
      </c>
      <c r="R173" s="2" t="s">
        <v>793</v>
      </c>
      <c r="S173" s="2"/>
      <c r="T173" s="2" t="s">
        <v>861</v>
      </c>
      <c r="U173" s="398" t="s">
        <v>861</v>
      </c>
      <c r="V173" s="7">
        <v>2300</v>
      </c>
      <c r="W173" s="7" t="s">
        <v>660</v>
      </c>
    </row>
    <row r="174" spans="1:23" x14ac:dyDescent="0.35">
      <c r="A174" s="2">
        <v>23</v>
      </c>
      <c r="B174" s="109" t="s">
        <v>794</v>
      </c>
      <c r="C174" s="110" t="s">
        <v>832</v>
      </c>
      <c r="D174" s="2">
        <v>100</v>
      </c>
      <c r="E174" s="51">
        <v>23</v>
      </c>
      <c r="F174" s="105"/>
      <c r="H174" s="2"/>
      <c r="I174" s="2">
        <v>1</v>
      </c>
      <c r="J174" s="2">
        <v>0</v>
      </c>
      <c r="K174" s="2">
        <v>0</v>
      </c>
      <c r="L174" s="2">
        <v>3.75</v>
      </c>
      <c r="M174" s="2">
        <v>4.4119999999999999</v>
      </c>
      <c r="N174" s="244">
        <v>0</v>
      </c>
      <c r="O174" s="2" t="s">
        <v>870</v>
      </c>
      <c r="P174" s="2">
        <v>0</v>
      </c>
      <c r="Q174" s="2" t="s">
        <v>992</v>
      </c>
      <c r="R174" s="2" t="s">
        <v>794</v>
      </c>
      <c r="S174" s="2"/>
      <c r="T174" s="2" t="s">
        <v>861</v>
      </c>
      <c r="U174" s="398" t="s">
        <v>861</v>
      </c>
      <c r="V174" s="7">
        <v>2300</v>
      </c>
      <c r="W174" s="7" t="s">
        <v>660</v>
      </c>
    </row>
    <row r="175" spans="1:23" x14ac:dyDescent="0.35">
      <c r="A175" s="2">
        <v>23</v>
      </c>
      <c r="B175" s="109" t="s">
        <v>795</v>
      </c>
      <c r="C175" s="110" t="s">
        <v>833</v>
      </c>
      <c r="D175" s="2">
        <v>100</v>
      </c>
      <c r="E175" s="51">
        <v>23</v>
      </c>
      <c r="F175" s="105"/>
      <c r="H175" s="2"/>
      <c r="I175" s="2">
        <v>1</v>
      </c>
      <c r="J175" s="2">
        <v>0</v>
      </c>
      <c r="K175" s="2">
        <v>0</v>
      </c>
      <c r="L175" s="2">
        <v>3.75</v>
      </c>
      <c r="M175" s="2">
        <v>4.4119999999999999</v>
      </c>
      <c r="N175" s="244">
        <v>0</v>
      </c>
      <c r="O175" s="2" t="s">
        <v>870</v>
      </c>
      <c r="P175" s="2">
        <v>0</v>
      </c>
      <c r="Q175" s="2" t="s">
        <v>992</v>
      </c>
      <c r="R175" s="2" t="s">
        <v>795</v>
      </c>
      <c r="S175" s="2"/>
      <c r="T175" s="2" t="s">
        <v>861</v>
      </c>
      <c r="U175" s="398" t="s">
        <v>861</v>
      </c>
      <c r="V175" s="7">
        <v>2300</v>
      </c>
      <c r="W175" s="7" t="s">
        <v>660</v>
      </c>
    </row>
    <row r="176" spans="1:23" x14ac:dyDescent="0.35">
      <c r="A176" s="2">
        <v>23</v>
      </c>
      <c r="B176" s="109" t="s">
        <v>796</v>
      </c>
      <c r="C176" s="110" t="s">
        <v>834</v>
      </c>
      <c r="D176" s="2">
        <v>100</v>
      </c>
      <c r="E176" s="51">
        <v>22</v>
      </c>
      <c r="F176" s="105"/>
      <c r="H176" s="2"/>
      <c r="I176" s="2">
        <v>1</v>
      </c>
      <c r="J176" s="2">
        <v>0</v>
      </c>
      <c r="K176" s="2">
        <v>0</v>
      </c>
      <c r="L176" s="2">
        <v>3.75</v>
      </c>
      <c r="M176" s="2">
        <v>4.4119999999999999</v>
      </c>
      <c r="N176" s="244">
        <v>0</v>
      </c>
      <c r="O176" s="2" t="s">
        <v>870</v>
      </c>
      <c r="P176" s="2">
        <v>0</v>
      </c>
      <c r="Q176" s="2" t="s">
        <v>992</v>
      </c>
      <c r="R176" s="2" t="s">
        <v>796</v>
      </c>
      <c r="S176" s="2"/>
      <c r="T176" s="2" t="s">
        <v>861</v>
      </c>
      <c r="U176" s="398" t="s">
        <v>861</v>
      </c>
      <c r="V176" s="7">
        <v>2200</v>
      </c>
      <c r="W176" s="7" t="s">
        <v>660</v>
      </c>
    </row>
    <row r="177" spans="1:23" x14ac:dyDescent="0.35">
      <c r="A177" s="2">
        <v>23</v>
      </c>
      <c r="B177" s="109" t="s">
        <v>799</v>
      </c>
      <c r="C177" s="110" t="s">
        <v>837</v>
      </c>
      <c r="D177" s="2">
        <v>100</v>
      </c>
      <c r="E177" s="51">
        <v>21</v>
      </c>
      <c r="F177" s="105"/>
      <c r="H177" s="2"/>
      <c r="I177" s="2">
        <v>1</v>
      </c>
      <c r="J177" s="2">
        <v>0</v>
      </c>
      <c r="K177" s="2">
        <v>0</v>
      </c>
      <c r="L177" s="2">
        <v>3.75</v>
      </c>
      <c r="M177" s="2">
        <v>4.4119999999999999</v>
      </c>
      <c r="N177" s="244">
        <v>0</v>
      </c>
      <c r="O177" s="2" t="s">
        <v>870</v>
      </c>
      <c r="P177" s="2">
        <v>0</v>
      </c>
      <c r="Q177" s="2" t="s">
        <v>992</v>
      </c>
      <c r="R177" s="2" t="s">
        <v>799</v>
      </c>
      <c r="S177" s="2"/>
      <c r="T177" s="2" t="s">
        <v>861</v>
      </c>
      <c r="U177" s="398" t="s">
        <v>861</v>
      </c>
      <c r="V177" s="7">
        <v>2100</v>
      </c>
      <c r="W177" s="7" t="s">
        <v>660</v>
      </c>
    </row>
    <row r="178" spans="1:23" x14ac:dyDescent="0.35">
      <c r="A178" s="2">
        <v>23</v>
      </c>
      <c r="B178" s="109" t="s">
        <v>802</v>
      </c>
      <c r="C178" s="110" t="s">
        <v>840</v>
      </c>
      <c r="D178" s="2">
        <v>1150</v>
      </c>
      <c r="E178" s="51"/>
      <c r="F178" s="105"/>
      <c r="H178" s="2"/>
      <c r="I178" s="2">
        <v>12</v>
      </c>
      <c r="J178" s="2">
        <v>0</v>
      </c>
      <c r="K178" s="2" t="s">
        <v>861</v>
      </c>
      <c r="L178" s="2">
        <v>70.149999999999991</v>
      </c>
      <c r="M178" s="2">
        <v>97.75</v>
      </c>
      <c r="N178" s="244">
        <v>0.98971874999999998</v>
      </c>
      <c r="O178" s="2" t="s">
        <v>870</v>
      </c>
      <c r="P178" s="2">
        <v>0</v>
      </c>
      <c r="Q178" s="2" t="s">
        <v>993</v>
      </c>
      <c r="R178" s="2" t="s">
        <v>802</v>
      </c>
      <c r="S178" s="2"/>
      <c r="T178" s="2" t="s">
        <v>861</v>
      </c>
      <c r="U178" s="398" t="s">
        <v>861</v>
      </c>
      <c r="V178" s="7">
        <v>0</v>
      </c>
      <c r="W178" s="7" t="s">
        <v>660</v>
      </c>
    </row>
    <row r="179" spans="1:23" x14ac:dyDescent="0.35">
      <c r="A179" s="2">
        <v>23</v>
      </c>
      <c r="B179" s="109" t="s">
        <v>803</v>
      </c>
      <c r="C179" s="110" t="s">
        <v>841</v>
      </c>
      <c r="D179" s="2">
        <v>900</v>
      </c>
      <c r="E179" s="51"/>
      <c r="F179" s="105"/>
      <c r="H179" s="2"/>
      <c r="I179" s="2">
        <v>9</v>
      </c>
      <c r="J179" s="2">
        <v>0</v>
      </c>
      <c r="K179" s="2" t="s">
        <v>861</v>
      </c>
      <c r="L179" s="2">
        <v>54.9</v>
      </c>
      <c r="M179" s="2">
        <v>76.5</v>
      </c>
      <c r="N179" s="244">
        <v>0.77456250000000004</v>
      </c>
      <c r="O179" s="2" t="s">
        <v>870</v>
      </c>
      <c r="P179" s="2">
        <v>0</v>
      </c>
      <c r="Q179" s="2" t="s">
        <v>993</v>
      </c>
      <c r="R179" s="2" t="s">
        <v>803</v>
      </c>
      <c r="S179" s="2"/>
      <c r="T179" s="2" t="s">
        <v>861</v>
      </c>
      <c r="U179" s="398" t="s">
        <v>861</v>
      </c>
      <c r="V179" s="7">
        <v>0</v>
      </c>
      <c r="W179" s="7" t="s">
        <v>660</v>
      </c>
    </row>
    <row r="180" spans="1:23" x14ac:dyDescent="0.35">
      <c r="A180" s="2">
        <v>24</v>
      </c>
      <c r="B180" s="109" t="s">
        <v>88</v>
      </c>
      <c r="C180" s="110" t="s">
        <v>89</v>
      </c>
      <c r="D180" s="2">
        <v>3000</v>
      </c>
      <c r="E180" s="51">
        <v>22.5</v>
      </c>
      <c r="F180" s="105"/>
      <c r="H180" s="2"/>
      <c r="I180" s="2">
        <v>150</v>
      </c>
      <c r="J180" s="2">
        <v>0</v>
      </c>
      <c r="K180" s="2">
        <v>0</v>
      </c>
      <c r="L180" s="2">
        <v>2190</v>
      </c>
      <c r="M180" s="2">
        <v>3075</v>
      </c>
      <c r="N180" s="244">
        <v>11.04</v>
      </c>
      <c r="O180" s="2" t="s">
        <v>18</v>
      </c>
      <c r="P180" s="2">
        <v>100</v>
      </c>
      <c r="Q180" s="2">
        <v>0</v>
      </c>
      <c r="R180" s="2" t="s">
        <v>88</v>
      </c>
      <c r="S180" s="2"/>
      <c r="T180" s="2">
        <v>15</v>
      </c>
      <c r="U180" s="398">
        <v>45000</v>
      </c>
      <c r="V180" s="7">
        <v>67500</v>
      </c>
      <c r="W180" s="7" t="s">
        <v>660</v>
      </c>
    </row>
    <row r="181" spans="1:23" x14ac:dyDescent="0.35">
      <c r="A181" s="2">
        <v>25</v>
      </c>
      <c r="B181" s="109" t="s">
        <v>141</v>
      </c>
      <c r="C181" s="110" t="s">
        <v>142</v>
      </c>
      <c r="D181" s="2">
        <v>492</v>
      </c>
      <c r="E181" s="51">
        <v>12.5</v>
      </c>
      <c r="F181" s="105"/>
      <c r="H181" s="2">
        <v>70</v>
      </c>
      <c r="I181" s="2">
        <v>21</v>
      </c>
      <c r="J181" s="2">
        <v>0</v>
      </c>
      <c r="K181" s="2">
        <v>3</v>
      </c>
      <c r="L181" s="2">
        <v>221.99</v>
      </c>
      <c r="M181" s="2">
        <v>231.82500000000002</v>
      </c>
      <c r="N181" s="244">
        <v>0.41052343749999998</v>
      </c>
      <c r="O181" s="2" t="s">
        <v>108</v>
      </c>
      <c r="P181" s="2">
        <v>100</v>
      </c>
      <c r="Q181" s="2" t="s">
        <v>55</v>
      </c>
      <c r="R181" s="2" t="s">
        <v>141</v>
      </c>
      <c r="S181" s="2"/>
      <c r="T181" s="2">
        <v>11.68</v>
      </c>
      <c r="U181" s="398">
        <v>6564.16</v>
      </c>
      <c r="V181" s="7">
        <v>6150</v>
      </c>
      <c r="W181" s="7" t="s">
        <v>660</v>
      </c>
    </row>
    <row r="182" spans="1:23" x14ac:dyDescent="0.35">
      <c r="A182" s="2">
        <v>25</v>
      </c>
      <c r="B182" s="109" t="s">
        <v>143</v>
      </c>
      <c r="C182" s="110" t="s">
        <v>144</v>
      </c>
      <c r="D182" s="2">
        <v>732</v>
      </c>
      <c r="E182" s="51">
        <v>12.5</v>
      </c>
      <c r="F182" s="105"/>
      <c r="H182" s="2">
        <v>105</v>
      </c>
      <c r="I182" s="2">
        <v>31</v>
      </c>
      <c r="J182" s="2">
        <v>0</v>
      </c>
      <c r="K182" s="2">
        <v>5</v>
      </c>
      <c r="L182" s="2">
        <v>330.61500000000001</v>
      </c>
      <c r="M182" s="2">
        <v>345.26249999999999</v>
      </c>
      <c r="N182" s="244">
        <v>0.61140234375000002</v>
      </c>
      <c r="O182" s="2" t="s">
        <v>108</v>
      </c>
      <c r="P182" s="2">
        <v>100</v>
      </c>
      <c r="Q182" s="2" t="s">
        <v>55</v>
      </c>
      <c r="R182" s="2" t="s">
        <v>143</v>
      </c>
      <c r="S182" s="2"/>
      <c r="T182" s="2">
        <v>11.68</v>
      </c>
      <c r="U182" s="398">
        <v>9776.16</v>
      </c>
      <c r="V182" s="7">
        <v>9150</v>
      </c>
      <c r="W182" s="7" t="s">
        <v>660</v>
      </c>
    </row>
    <row r="183" spans="1:23" x14ac:dyDescent="0.35">
      <c r="A183" s="2">
        <v>26</v>
      </c>
      <c r="B183" s="109" t="s">
        <v>160</v>
      </c>
      <c r="C183" s="110" t="s">
        <v>161</v>
      </c>
      <c r="D183" s="2">
        <v>10368</v>
      </c>
      <c r="E183" s="51">
        <v>1.06</v>
      </c>
      <c r="F183" s="105"/>
      <c r="H183" s="2"/>
      <c r="I183" s="2">
        <v>216</v>
      </c>
      <c r="J183" s="2">
        <v>0</v>
      </c>
      <c r="K183" s="2">
        <v>0</v>
      </c>
      <c r="L183" s="2">
        <v>1615.68</v>
      </c>
      <c r="M183" s="2">
        <v>1663.2</v>
      </c>
      <c r="N183" s="244">
        <v>7.354152</v>
      </c>
      <c r="O183" s="2" t="s">
        <v>150</v>
      </c>
      <c r="P183" s="2">
        <v>175</v>
      </c>
      <c r="Q183" s="2" t="s">
        <v>151</v>
      </c>
      <c r="R183" s="2" t="s">
        <v>160</v>
      </c>
      <c r="S183" s="2"/>
      <c r="T183" s="2">
        <v>1.1599999999999999</v>
      </c>
      <c r="U183" s="398">
        <v>12026.88</v>
      </c>
      <c r="V183" s="7">
        <v>10990.08</v>
      </c>
      <c r="W183" s="7" t="s">
        <v>660</v>
      </c>
    </row>
    <row r="184" spans="1:23" x14ac:dyDescent="0.35">
      <c r="A184" s="2">
        <v>26</v>
      </c>
      <c r="B184" s="109" t="s">
        <v>162</v>
      </c>
      <c r="C184" s="110" t="s">
        <v>163</v>
      </c>
      <c r="D184" s="2">
        <v>10368</v>
      </c>
      <c r="E184" s="51">
        <v>1.06</v>
      </c>
      <c r="F184" s="105"/>
      <c r="H184" s="2"/>
      <c r="I184" s="2">
        <v>216</v>
      </c>
      <c r="J184" s="2">
        <v>0</v>
      </c>
      <c r="K184" s="2">
        <v>0</v>
      </c>
      <c r="L184" s="2">
        <v>1615.68</v>
      </c>
      <c r="M184" s="2">
        <v>1663.2</v>
      </c>
      <c r="N184" s="244">
        <v>7.354152</v>
      </c>
      <c r="O184" s="2" t="s">
        <v>150</v>
      </c>
      <c r="P184" s="2">
        <v>175</v>
      </c>
      <c r="Q184" s="2" t="s">
        <v>151</v>
      </c>
      <c r="R184" s="2" t="s">
        <v>162</v>
      </c>
      <c r="S184" s="2"/>
      <c r="T184" s="2">
        <v>1.1599999999999999</v>
      </c>
      <c r="U184" s="398">
        <v>12026.88</v>
      </c>
      <c r="V184" s="7">
        <v>10990.08</v>
      </c>
      <c r="W184" s="7" t="s">
        <v>660</v>
      </c>
    </row>
    <row r="185" spans="1:23" x14ac:dyDescent="0.35">
      <c r="A185" s="2">
        <v>26</v>
      </c>
      <c r="B185" s="109" t="s">
        <v>164</v>
      </c>
      <c r="C185" s="110" t="s">
        <v>165</v>
      </c>
      <c r="D185" s="2">
        <v>10368</v>
      </c>
      <c r="E185" s="51">
        <v>1.06</v>
      </c>
      <c r="F185" s="105"/>
      <c r="H185" s="2"/>
      <c r="I185" s="2">
        <v>216</v>
      </c>
      <c r="J185" s="2">
        <v>0</v>
      </c>
      <c r="K185" s="2">
        <v>0</v>
      </c>
      <c r="L185" s="2">
        <v>1615.68</v>
      </c>
      <c r="M185" s="2">
        <v>1663.2</v>
      </c>
      <c r="N185" s="244">
        <v>7.354152</v>
      </c>
      <c r="O185" s="2" t="s">
        <v>150</v>
      </c>
      <c r="P185" s="2">
        <v>175</v>
      </c>
      <c r="Q185" s="2" t="s">
        <v>151</v>
      </c>
      <c r="R185" s="2" t="s">
        <v>164</v>
      </c>
      <c r="S185" s="2"/>
      <c r="T185" s="2">
        <v>1.1599999999999999</v>
      </c>
      <c r="U185" s="398">
        <v>12026.88</v>
      </c>
      <c r="V185" s="7">
        <v>10990.08</v>
      </c>
      <c r="W185" s="7" t="s">
        <v>660</v>
      </c>
    </row>
    <row r="186" spans="1:23" x14ac:dyDescent="0.35">
      <c r="A186" s="2">
        <v>26</v>
      </c>
      <c r="B186" s="109" t="s">
        <v>166</v>
      </c>
      <c r="C186" s="110" t="s">
        <v>167</v>
      </c>
      <c r="D186" s="2">
        <v>10368</v>
      </c>
      <c r="E186" s="51">
        <v>1.06</v>
      </c>
      <c r="F186" s="105"/>
      <c r="H186" s="2"/>
      <c r="I186" s="2">
        <v>216</v>
      </c>
      <c r="J186" s="2">
        <v>0</v>
      </c>
      <c r="K186" s="2">
        <v>0</v>
      </c>
      <c r="L186" s="2">
        <v>1615.68</v>
      </c>
      <c r="M186" s="2">
        <v>1663.2</v>
      </c>
      <c r="N186" s="244">
        <v>7.354152</v>
      </c>
      <c r="O186" s="2" t="s">
        <v>150</v>
      </c>
      <c r="P186" s="2">
        <v>175</v>
      </c>
      <c r="Q186" s="2" t="s">
        <v>151</v>
      </c>
      <c r="R186" s="2" t="s">
        <v>166</v>
      </c>
      <c r="S186" s="2"/>
      <c r="T186" s="2">
        <v>1.1599999999999999</v>
      </c>
      <c r="U186" s="398">
        <v>12026.88</v>
      </c>
      <c r="V186" s="7">
        <v>10990.08</v>
      </c>
      <c r="W186" s="7" t="s">
        <v>660</v>
      </c>
    </row>
    <row r="187" spans="1:23" x14ac:dyDescent="0.35">
      <c r="A187" s="2">
        <v>26</v>
      </c>
      <c r="B187" s="109" t="s">
        <v>156</v>
      </c>
      <c r="C187" s="110" t="s">
        <v>157</v>
      </c>
      <c r="D187" s="2">
        <v>3840</v>
      </c>
      <c r="E187" s="51">
        <v>1.03</v>
      </c>
      <c r="F187" s="105"/>
      <c r="H187" s="2"/>
      <c r="I187" s="2">
        <v>80</v>
      </c>
      <c r="J187" s="2">
        <v>0</v>
      </c>
      <c r="K187" s="2">
        <v>0</v>
      </c>
      <c r="L187" s="2">
        <v>503.04</v>
      </c>
      <c r="M187" s="2">
        <v>562.88</v>
      </c>
      <c r="N187" s="244">
        <v>2.0992000000000002</v>
      </c>
      <c r="O187" s="2" t="s">
        <v>150</v>
      </c>
      <c r="P187" s="2">
        <v>150</v>
      </c>
      <c r="Q187" s="2" t="s">
        <v>151</v>
      </c>
      <c r="R187" s="2" t="s">
        <v>156</v>
      </c>
      <c r="S187" s="2"/>
      <c r="T187" s="2">
        <v>0.81599999999999995</v>
      </c>
      <c r="U187" s="398">
        <v>3133.4399999999996</v>
      </c>
      <c r="V187" s="7">
        <v>3955.2000000000003</v>
      </c>
      <c r="W187" s="7" t="s">
        <v>660</v>
      </c>
    </row>
    <row r="188" spans="1:23" x14ac:dyDescent="0.35">
      <c r="A188" s="2">
        <v>27</v>
      </c>
      <c r="B188" s="109" t="s">
        <v>179</v>
      </c>
      <c r="C188" s="110" t="s">
        <v>181</v>
      </c>
      <c r="D188" s="2">
        <v>22092</v>
      </c>
      <c r="E188" s="51">
        <v>1</v>
      </c>
      <c r="F188" s="105"/>
      <c r="H188" s="2"/>
      <c r="I188" s="2">
        <v>461</v>
      </c>
      <c r="J188" s="2">
        <v>0</v>
      </c>
      <c r="K188" s="2">
        <v>0</v>
      </c>
      <c r="L188" s="2">
        <v>0</v>
      </c>
      <c r="M188" s="2">
        <v>0</v>
      </c>
      <c r="N188" s="244">
        <v>0</v>
      </c>
      <c r="O188" s="2" t="s">
        <v>180</v>
      </c>
      <c r="P188" s="2">
        <v>0</v>
      </c>
      <c r="Q188" s="2">
        <v>33072000</v>
      </c>
      <c r="R188" s="2" t="s">
        <v>179</v>
      </c>
      <c r="S188" s="2"/>
      <c r="T188" s="2">
        <v>0.93</v>
      </c>
      <c r="U188" s="398">
        <v>20545.560000000001</v>
      </c>
      <c r="V188" s="7">
        <v>22092</v>
      </c>
      <c r="W188" s="7" t="s">
        <v>660</v>
      </c>
    </row>
    <row r="189" spans="1:23" x14ac:dyDescent="0.35">
      <c r="A189" s="2">
        <v>27</v>
      </c>
      <c r="B189" s="109" t="s">
        <v>182</v>
      </c>
      <c r="C189" s="110" t="s">
        <v>183</v>
      </c>
      <c r="D189" s="2">
        <v>24828</v>
      </c>
      <c r="E189" s="51">
        <v>1</v>
      </c>
      <c r="F189" s="105"/>
      <c r="H189" s="2"/>
      <c r="I189" s="2">
        <v>518</v>
      </c>
      <c r="J189" s="2">
        <v>0</v>
      </c>
      <c r="K189" s="2">
        <v>0</v>
      </c>
      <c r="L189" s="2">
        <v>0</v>
      </c>
      <c r="M189" s="2">
        <v>0</v>
      </c>
      <c r="N189" s="244">
        <v>0</v>
      </c>
      <c r="O189" s="2" t="s">
        <v>180</v>
      </c>
      <c r="P189" s="2">
        <v>0</v>
      </c>
      <c r="Q189" s="2">
        <v>33072000</v>
      </c>
      <c r="R189" s="2" t="s">
        <v>182</v>
      </c>
      <c r="S189" s="2"/>
      <c r="T189" s="2">
        <v>0.93</v>
      </c>
      <c r="U189" s="398">
        <v>23090.04</v>
      </c>
      <c r="V189" s="7">
        <v>24828</v>
      </c>
      <c r="W189" s="7" t="s">
        <v>660</v>
      </c>
    </row>
    <row r="190" spans="1:23" x14ac:dyDescent="0.35">
      <c r="A190" s="2">
        <v>27</v>
      </c>
      <c r="B190" s="109" t="s">
        <v>184</v>
      </c>
      <c r="C190" s="110" t="s">
        <v>185</v>
      </c>
      <c r="D190" s="2">
        <v>21120</v>
      </c>
      <c r="E190" s="51">
        <v>1</v>
      </c>
      <c r="F190" s="105"/>
      <c r="H190" s="2"/>
      <c r="I190" s="2">
        <v>440</v>
      </c>
      <c r="J190" s="2">
        <v>0</v>
      </c>
      <c r="K190" s="2">
        <v>0</v>
      </c>
      <c r="L190" s="2">
        <v>0</v>
      </c>
      <c r="M190" s="2">
        <v>0</v>
      </c>
      <c r="N190" s="244">
        <v>0</v>
      </c>
      <c r="O190" s="2" t="s">
        <v>180</v>
      </c>
      <c r="P190" s="2">
        <v>0</v>
      </c>
      <c r="Q190" s="2">
        <v>33072000</v>
      </c>
      <c r="R190" s="2" t="s">
        <v>184</v>
      </c>
      <c r="S190" s="2"/>
      <c r="T190" s="2">
        <v>0.93</v>
      </c>
      <c r="U190" s="398">
        <v>19641.600000000002</v>
      </c>
      <c r="V190" s="7">
        <v>21120</v>
      </c>
      <c r="W190" s="7" t="s">
        <v>660</v>
      </c>
    </row>
    <row r="191" spans="1:23" x14ac:dyDescent="0.35">
      <c r="A191" s="2">
        <v>27</v>
      </c>
      <c r="B191" s="109" t="s">
        <v>186</v>
      </c>
      <c r="C191" s="110" t="s">
        <v>187</v>
      </c>
      <c r="D191" s="2">
        <v>23352</v>
      </c>
      <c r="E191" s="51">
        <v>1</v>
      </c>
      <c r="F191" s="105"/>
      <c r="H191" s="2"/>
      <c r="I191" s="2">
        <v>487</v>
      </c>
      <c r="J191" s="2">
        <v>0</v>
      </c>
      <c r="K191" s="2">
        <v>0</v>
      </c>
      <c r="L191" s="2">
        <v>0</v>
      </c>
      <c r="M191" s="2">
        <v>0</v>
      </c>
      <c r="N191" s="244">
        <v>0</v>
      </c>
      <c r="O191" s="2" t="s">
        <v>180</v>
      </c>
      <c r="P191" s="2">
        <v>0</v>
      </c>
      <c r="Q191" s="2">
        <v>33072000</v>
      </c>
      <c r="R191" s="2" t="s">
        <v>186</v>
      </c>
      <c r="S191" s="2"/>
      <c r="T191" s="2">
        <v>0.93</v>
      </c>
      <c r="U191" s="398">
        <v>21717.360000000001</v>
      </c>
      <c r="V191" s="7">
        <v>23352</v>
      </c>
      <c r="W191" s="7" t="s">
        <v>660</v>
      </c>
    </row>
    <row r="192" spans="1:23" x14ac:dyDescent="0.35">
      <c r="A192" s="2">
        <v>28</v>
      </c>
      <c r="B192" s="109" t="s">
        <v>105</v>
      </c>
      <c r="C192" s="110" t="s">
        <v>106</v>
      </c>
      <c r="D192" s="2">
        <v>228</v>
      </c>
      <c r="E192" s="51">
        <v>5</v>
      </c>
      <c r="F192" s="105"/>
      <c r="H192" s="2"/>
      <c r="I192" s="2">
        <v>10</v>
      </c>
      <c r="J192" s="2">
        <v>0</v>
      </c>
      <c r="K192" s="2">
        <v>0</v>
      </c>
      <c r="L192" s="2">
        <v>65.265000000000001</v>
      </c>
      <c r="M192" s="2">
        <v>71.819999999999993</v>
      </c>
      <c r="N192" s="244">
        <v>0.2389725</v>
      </c>
      <c r="O192" s="2" t="s">
        <v>1147</v>
      </c>
      <c r="P192" s="2">
        <v>100</v>
      </c>
      <c r="Q192" s="2" t="s">
        <v>55</v>
      </c>
      <c r="R192" s="2" t="s">
        <v>105</v>
      </c>
      <c r="S192" s="2"/>
      <c r="T192" s="2"/>
      <c r="U192" s="398" t="s">
        <v>861</v>
      </c>
      <c r="V192" s="7">
        <v>1140</v>
      </c>
      <c r="W192" s="7" t="s">
        <v>1084</v>
      </c>
    </row>
    <row r="193" spans="1:23" x14ac:dyDescent="0.35">
      <c r="A193" s="2">
        <v>28</v>
      </c>
      <c r="B193" s="109" t="s">
        <v>107</v>
      </c>
      <c r="C193" s="110" t="s">
        <v>109</v>
      </c>
      <c r="D193" s="2">
        <v>2934</v>
      </c>
      <c r="E193" s="51">
        <v>11.68</v>
      </c>
      <c r="F193" s="105"/>
      <c r="H193" s="2">
        <v>2008</v>
      </c>
      <c r="I193" s="2">
        <v>123</v>
      </c>
      <c r="J193" s="2">
        <v>0</v>
      </c>
      <c r="K193" s="2">
        <v>84</v>
      </c>
      <c r="L193" s="2">
        <v>1952.09</v>
      </c>
      <c r="M193" s="2">
        <v>2038.575</v>
      </c>
      <c r="N193" s="244">
        <v>2.1146193750000002</v>
      </c>
      <c r="O193" s="2" t="s">
        <v>108</v>
      </c>
      <c r="P193" s="2">
        <v>100</v>
      </c>
      <c r="Q193" s="2" t="s">
        <v>55</v>
      </c>
      <c r="R193" s="2" t="s">
        <v>107</v>
      </c>
      <c r="S193" s="2"/>
      <c r="T193" s="2"/>
      <c r="U193" s="398" t="s">
        <v>861</v>
      </c>
      <c r="V193" s="7">
        <v>34269.120000000003</v>
      </c>
      <c r="W193" s="7" t="s">
        <v>1084</v>
      </c>
    </row>
    <row r="194" spans="1:23" x14ac:dyDescent="0.35">
      <c r="A194" s="2">
        <v>28</v>
      </c>
      <c r="B194" s="109" t="s">
        <v>112</v>
      </c>
      <c r="C194" s="110" t="s">
        <v>648</v>
      </c>
      <c r="D194" s="2">
        <v>2140</v>
      </c>
      <c r="E194" s="51">
        <v>11.68</v>
      </c>
      <c r="F194" s="105"/>
      <c r="H194" s="2">
        <v>832</v>
      </c>
      <c r="I194" s="2">
        <v>90</v>
      </c>
      <c r="J194" s="2">
        <v>0</v>
      </c>
      <c r="K194" s="2">
        <v>35</v>
      </c>
      <c r="L194" s="2">
        <v>1173.94</v>
      </c>
      <c r="M194" s="2">
        <v>1225.95</v>
      </c>
      <c r="N194" s="244">
        <v>1.5423604166666667</v>
      </c>
      <c r="O194" s="2" t="s">
        <v>108</v>
      </c>
      <c r="P194" s="2">
        <v>100</v>
      </c>
      <c r="Q194" s="2" t="s">
        <v>55</v>
      </c>
      <c r="R194" s="2" t="s">
        <v>112</v>
      </c>
      <c r="S194" s="2"/>
      <c r="T194" s="2"/>
      <c r="U194" s="398" t="s">
        <v>861</v>
      </c>
      <c r="V194" s="7">
        <v>24995.200000000001</v>
      </c>
      <c r="W194" s="7" t="s">
        <v>1084</v>
      </c>
    </row>
    <row r="195" spans="1:23" x14ac:dyDescent="0.35">
      <c r="A195" s="2">
        <v>29</v>
      </c>
      <c r="B195" s="109" t="s">
        <v>672</v>
      </c>
      <c r="C195" s="110" t="s">
        <v>851</v>
      </c>
      <c r="D195" s="2">
        <v>2496</v>
      </c>
      <c r="E195" s="51">
        <v>4.21</v>
      </c>
      <c r="F195" s="105"/>
      <c r="H195" s="2"/>
      <c r="I195" s="2">
        <v>104</v>
      </c>
      <c r="J195" s="2">
        <v>0</v>
      </c>
      <c r="K195" s="2">
        <v>0</v>
      </c>
      <c r="L195" s="2">
        <v>676.41599999999994</v>
      </c>
      <c r="M195" s="2">
        <v>737.36</v>
      </c>
      <c r="N195" s="244">
        <v>1.6680299999999999</v>
      </c>
      <c r="O195" s="2" t="s">
        <v>150</v>
      </c>
      <c r="P195" s="2">
        <v>100</v>
      </c>
      <c r="Q195" s="2">
        <v>33072000</v>
      </c>
      <c r="R195" s="2" t="s">
        <v>672</v>
      </c>
      <c r="S195" s="2"/>
      <c r="T195" s="2"/>
      <c r="U195" s="398" t="s">
        <v>861</v>
      </c>
      <c r="V195" s="7">
        <v>10508.16</v>
      </c>
      <c r="W195" s="7" t="s">
        <v>1084</v>
      </c>
    </row>
    <row r="196" spans="1:23" x14ac:dyDescent="0.35">
      <c r="A196" s="2">
        <v>29</v>
      </c>
      <c r="B196" s="109" t="s">
        <v>674</v>
      </c>
      <c r="C196" s="110" t="s">
        <v>852</v>
      </c>
      <c r="D196" s="2">
        <v>2496</v>
      </c>
      <c r="E196" s="51">
        <v>4.21</v>
      </c>
      <c r="F196" s="105"/>
      <c r="H196" s="2"/>
      <c r="I196" s="2">
        <v>104</v>
      </c>
      <c r="J196" s="2">
        <v>0</v>
      </c>
      <c r="K196" s="2">
        <v>0</v>
      </c>
      <c r="L196" s="2">
        <v>676.41599999999994</v>
      </c>
      <c r="M196" s="2">
        <v>737.36</v>
      </c>
      <c r="N196" s="244">
        <v>1.6680299999999999</v>
      </c>
      <c r="O196" s="2" t="s">
        <v>150</v>
      </c>
      <c r="P196" s="2">
        <v>100</v>
      </c>
      <c r="Q196" s="2">
        <v>33072000</v>
      </c>
      <c r="R196" s="2" t="s">
        <v>674</v>
      </c>
      <c r="S196" s="2"/>
      <c r="T196" s="2"/>
      <c r="U196" s="398" t="s">
        <v>861</v>
      </c>
      <c r="V196" s="7">
        <v>10508.16</v>
      </c>
      <c r="W196" s="7" t="s">
        <v>1084</v>
      </c>
    </row>
    <row r="197" spans="1:23" x14ac:dyDescent="0.35">
      <c r="A197" s="2">
        <v>29</v>
      </c>
      <c r="B197" s="109" t="s">
        <v>676</v>
      </c>
      <c r="C197" s="110" t="s">
        <v>853</v>
      </c>
      <c r="D197" s="2">
        <v>2496</v>
      </c>
      <c r="E197" s="51">
        <v>4.21</v>
      </c>
      <c r="F197" s="105"/>
      <c r="H197" s="2"/>
      <c r="I197" s="2">
        <v>104</v>
      </c>
      <c r="J197" s="2">
        <v>0</v>
      </c>
      <c r="K197" s="2">
        <v>0</v>
      </c>
      <c r="L197" s="2">
        <v>676.41599999999994</v>
      </c>
      <c r="M197" s="2">
        <v>737.36</v>
      </c>
      <c r="N197" s="244">
        <v>1.6680299999999999</v>
      </c>
      <c r="O197" s="2" t="s">
        <v>150</v>
      </c>
      <c r="P197" s="2">
        <v>100</v>
      </c>
      <c r="Q197" s="2">
        <v>33072000</v>
      </c>
      <c r="R197" s="2" t="s">
        <v>676</v>
      </c>
      <c r="S197" s="2"/>
      <c r="T197" s="2"/>
      <c r="U197" s="398" t="s">
        <v>861</v>
      </c>
      <c r="V197" s="7">
        <v>10508.16</v>
      </c>
      <c r="W197" s="7" t="s">
        <v>1084</v>
      </c>
    </row>
    <row r="198" spans="1:23" x14ac:dyDescent="0.35">
      <c r="A198" s="2">
        <v>29</v>
      </c>
      <c r="B198" s="109" t="s">
        <v>678</v>
      </c>
      <c r="C198" s="110" t="s">
        <v>854</v>
      </c>
      <c r="D198" s="2">
        <v>2496</v>
      </c>
      <c r="E198" s="51">
        <v>4.21</v>
      </c>
      <c r="F198" s="105"/>
      <c r="H198" s="2"/>
      <c r="I198" s="2">
        <v>104</v>
      </c>
      <c r="J198" s="2">
        <v>0</v>
      </c>
      <c r="K198" s="2">
        <v>0</v>
      </c>
      <c r="L198" s="2">
        <v>676.41599999999994</v>
      </c>
      <c r="M198" s="2">
        <v>737.36</v>
      </c>
      <c r="N198" s="244">
        <v>1.6680299999999999</v>
      </c>
      <c r="O198" s="2" t="s">
        <v>150</v>
      </c>
      <c r="P198" s="2">
        <v>100</v>
      </c>
      <c r="Q198" s="2">
        <v>33072000</v>
      </c>
      <c r="R198" s="2" t="s">
        <v>678</v>
      </c>
      <c r="S198" s="2"/>
      <c r="T198" s="2"/>
      <c r="U198" s="398" t="s">
        <v>861</v>
      </c>
      <c r="V198" s="7">
        <v>10508.16</v>
      </c>
      <c r="W198" s="7" t="s">
        <v>1084</v>
      </c>
    </row>
    <row r="199" spans="1:23" x14ac:dyDescent="0.35">
      <c r="A199" s="2">
        <v>29</v>
      </c>
      <c r="B199" s="109" t="s">
        <v>682</v>
      </c>
      <c r="C199" s="110" t="s">
        <v>848</v>
      </c>
      <c r="D199" s="2">
        <v>5016</v>
      </c>
      <c r="E199" s="51">
        <v>4.21</v>
      </c>
      <c r="F199" s="105"/>
      <c r="H199" s="2"/>
      <c r="I199" s="2">
        <v>209</v>
      </c>
      <c r="J199" s="2">
        <v>0</v>
      </c>
      <c r="K199" s="2">
        <v>0</v>
      </c>
      <c r="L199" s="2">
        <v>1274.0640000000001</v>
      </c>
      <c r="M199" s="2">
        <v>1421.2</v>
      </c>
      <c r="N199" s="244">
        <v>4.7383957499999996</v>
      </c>
      <c r="O199" s="2" t="s">
        <v>150</v>
      </c>
      <c r="P199" s="2">
        <v>100</v>
      </c>
      <c r="Q199" s="2">
        <v>33072000</v>
      </c>
      <c r="R199" s="2" t="s">
        <v>682</v>
      </c>
      <c r="S199" s="2"/>
      <c r="T199" s="2"/>
      <c r="U199" s="398" t="s">
        <v>861</v>
      </c>
      <c r="V199" s="7">
        <v>21117.360000000001</v>
      </c>
      <c r="W199" s="7" t="s">
        <v>1084</v>
      </c>
    </row>
    <row r="200" spans="1:23" x14ac:dyDescent="0.35">
      <c r="A200" s="2">
        <v>29</v>
      </c>
      <c r="B200" s="109" t="s">
        <v>684</v>
      </c>
      <c r="C200" s="110" t="s">
        <v>850</v>
      </c>
      <c r="D200" s="2">
        <v>5016</v>
      </c>
      <c r="E200" s="51">
        <v>4.21</v>
      </c>
      <c r="F200" s="105"/>
      <c r="H200" s="2"/>
      <c r="I200" s="2">
        <v>209</v>
      </c>
      <c r="J200" s="2">
        <v>0</v>
      </c>
      <c r="K200" s="2">
        <v>0</v>
      </c>
      <c r="L200" s="2">
        <v>1274.0640000000001</v>
      </c>
      <c r="M200" s="2">
        <v>1421.2</v>
      </c>
      <c r="N200" s="244">
        <v>4.7383957499999996</v>
      </c>
      <c r="O200" s="2" t="s">
        <v>150</v>
      </c>
      <c r="P200" s="2">
        <v>100</v>
      </c>
      <c r="Q200" s="2">
        <v>33072000</v>
      </c>
      <c r="R200" s="2" t="s">
        <v>684</v>
      </c>
      <c r="S200" s="2"/>
      <c r="T200" s="2"/>
      <c r="U200" s="398" t="s">
        <v>861</v>
      </c>
      <c r="V200" s="7">
        <v>21117.360000000001</v>
      </c>
      <c r="W200" s="7" t="s">
        <v>1084</v>
      </c>
    </row>
    <row r="201" spans="1:23" x14ac:dyDescent="0.35">
      <c r="A201" s="2">
        <v>29</v>
      </c>
      <c r="B201" s="109" t="s">
        <v>686</v>
      </c>
      <c r="C201" s="110" t="s">
        <v>849</v>
      </c>
      <c r="D201" s="2">
        <v>5016</v>
      </c>
      <c r="E201" s="51">
        <v>4.21</v>
      </c>
      <c r="F201" s="105"/>
      <c r="H201" s="2"/>
      <c r="I201" s="2">
        <v>209</v>
      </c>
      <c r="J201" s="2">
        <v>0</v>
      </c>
      <c r="K201" s="2">
        <v>0</v>
      </c>
      <c r="L201" s="2">
        <v>1274.0640000000001</v>
      </c>
      <c r="M201" s="2">
        <v>1421.2</v>
      </c>
      <c r="N201" s="244">
        <v>4.7383957499999996</v>
      </c>
      <c r="O201" s="2" t="s">
        <v>150</v>
      </c>
      <c r="P201" s="2">
        <v>100</v>
      </c>
      <c r="Q201" s="2">
        <v>33072000</v>
      </c>
      <c r="R201" s="2" t="s">
        <v>686</v>
      </c>
      <c r="S201" s="2"/>
      <c r="T201" s="2"/>
      <c r="U201" s="398" t="s">
        <v>861</v>
      </c>
      <c r="V201" s="7">
        <v>21117.360000000001</v>
      </c>
      <c r="W201" s="7" t="s">
        <v>1084</v>
      </c>
    </row>
    <row r="202" spans="1:23" x14ac:dyDescent="0.35">
      <c r="A202" s="2">
        <v>29</v>
      </c>
      <c r="B202" s="109" t="s">
        <v>751</v>
      </c>
      <c r="C202" s="110" t="s">
        <v>752</v>
      </c>
      <c r="D202" s="2">
        <v>14720</v>
      </c>
      <c r="E202" s="51">
        <v>0.158</v>
      </c>
      <c r="F202" s="105"/>
      <c r="H202" s="2"/>
      <c r="I202" s="2" t="s">
        <v>861</v>
      </c>
      <c r="J202" s="2" t="s">
        <v>861</v>
      </c>
      <c r="K202" s="2" t="s">
        <v>861</v>
      </c>
      <c r="L202" s="2" t="s">
        <v>861</v>
      </c>
      <c r="M202" s="2" t="s">
        <v>861</v>
      </c>
      <c r="N202" s="244" t="s">
        <v>861</v>
      </c>
      <c r="O202" s="2">
        <v>0</v>
      </c>
      <c r="P202" s="2">
        <v>0</v>
      </c>
      <c r="Q202" s="2">
        <v>0</v>
      </c>
      <c r="R202" s="2" t="s">
        <v>751</v>
      </c>
      <c r="S202" s="2"/>
      <c r="T202" s="2"/>
      <c r="U202" s="398" t="s">
        <v>861</v>
      </c>
      <c r="V202" s="7">
        <v>2325.7600000000002</v>
      </c>
      <c r="W202" s="7" t="s">
        <v>1084</v>
      </c>
    </row>
    <row r="203" spans="1:23" x14ac:dyDescent="0.35">
      <c r="A203" s="2">
        <v>29</v>
      </c>
      <c r="B203" s="109" t="s">
        <v>753</v>
      </c>
      <c r="C203" s="110" t="s">
        <v>754</v>
      </c>
      <c r="D203" s="2">
        <v>14720</v>
      </c>
      <c r="E203" s="51">
        <v>0.158</v>
      </c>
      <c r="F203" s="105"/>
      <c r="H203" s="2"/>
      <c r="I203" s="2" t="s">
        <v>861</v>
      </c>
      <c r="J203" s="2" t="s">
        <v>861</v>
      </c>
      <c r="K203" s="2" t="s">
        <v>861</v>
      </c>
      <c r="L203" s="2" t="s">
        <v>861</v>
      </c>
      <c r="M203" s="2" t="s">
        <v>861</v>
      </c>
      <c r="N203" s="244" t="s">
        <v>861</v>
      </c>
      <c r="O203" s="2">
        <v>0</v>
      </c>
      <c r="P203" s="2">
        <v>0</v>
      </c>
      <c r="Q203" s="2">
        <v>0</v>
      </c>
      <c r="R203" s="2" t="s">
        <v>753</v>
      </c>
      <c r="S203" s="2"/>
      <c r="T203" s="2"/>
      <c r="U203" s="398" t="s">
        <v>861</v>
      </c>
      <c r="V203" s="7">
        <v>2325.7600000000002</v>
      </c>
      <c r="W203" s="7" t="s">
        <v>1084</v>
      </c>
    </row>
    <row r="204" spans="1:23" x14ac:dyDescent="0.35">
      <c r="A204" s="2">
        <v>30</v>
      </c>
      <c r="B204" s="109" t="s">
        <v>160</v>
      </c>
      <c r="C204" s="110" t="s">
        <v>161</v>
      </c>
      <c r="D204" s="2">
        <v>4512</v>
      </c>
      <c r="E204" s="51">
        <v>0.81599999999999995</v>
      </c>
      <c r="F204" s="105"/>
      <c r="H204" s="2"/>
      <c r="I204" s="2">
        <v>94</v>
      </c>
      <c r="J204" s="2">
        <v>0</v>
      </c>
      <c r="K204" s="2">
        <v>0</v>
      </c>
      <c r="L204" s="2">
        <v>703.12</v>
      </c>
      <c r="M204" s="2">
        <v>723.80000000000007</v>
      </c>
      <c r="N204" s="244">
        <v>3.200418</v>
      </c>
      <c r="O204" s="2" t="s">
        <v>150</v>
      </c>
      <c r="P204" s="2">
        <v>175</v>
      </c>
      <c r="Q204" s="2" t="s">
        <v>151</v>
      </c>
      <c r="R204" s="2" t="s">
        <v>160</v>
      </c>
      <c r="S204" s="2"/>
      <c r="T204" s="2"/>
      <c r="U204" s="398" t="s">
        <v>861</v>
      </c>
      <c r="V204" s="7">
        <v>3681.7919999999999</v>
      </c>
      <c r="W204" s="7" t="s">
        <v>1084</v>
      </c>
    </row>
    <row r="205" spans="1:23" x14ac:dyDescent="0.35">
      <c r="A205" s="2">
        <v>30</v>
      </c>
      <c r="B205" s="109" t="s">
        <v>162</v>
      </c>
      <c r="C205" s="110" t="s">
        <v>163</v>
      </c>
      <c r="D205" s="2">
        <v>3504</v>
      </c>
      <c r="E205" s="51">
        <v>0.81599999999999995</v>
      </c>
      <c r="F205" s="105"/>
      <c r="H205" s="2"/>
      <c r="I205" s="2">
        <v>73</v>
      </c>
      <c r="J205" s="2">
        <v>0</v>
      </c>
      <c r="K205" s="2">
        <v>0</v>
      </c>
      <c r="L205" s="2">
        <v>546.04000000000008</v>
      </c>
      <c r="M205" s="2">
        <v>562.1</v>
      </c>
      <c r="N205" s="244">
        <v>2.4854310000000002</v>
      </c>
      <c r="O205" s="2" t="s">
        <v>150</v>
      </c>
      <c r="P205" s="2">
        <v>175</v>
      </c>
      <c r="Q205" s="2" t="s">
        <v>151</v>
      </c>
      <c r="R205" s="2" t="s">
        <v>162</v>
      </c>
      <c r="S205" s="2"/>
      <c r="T205" s="2"/>
      <c r="U205" s="398" t="s">
        <v>861</v>
      </c>
      <c r="V205" s="7">
        <v>2859.2639999999997</v>
      </c>
      <c r="W205" s="7" t="s">
        <v>1084</v>
      </c>
    </row>
    <row r="206" spans="1:23" x14ac:dyDescent="0.35">
      <c r="A206" s="2">
        <v>30</v>
      </c>
      <c r="B206" s="109" t="s">
        <v>164</v>
      </c>
      <c r="C206" s="110" t="s">
        <v>165</v>
      </c>
      <c r="D206" s="2">
        <v>5088</v>
      </c>
      <c r="E206" s="51">
        <v>0.81599999999999995</v>
      </c>
      <c r="F206" s="105"/>
      <c r="H206" s="2"/>
      <c r="I206" s="2">
        <v>106</v>
      </c>
      <c r="J206" s="2">
        <v>0</v>
      </c>
      <c r="K206" s="2">
        <v>0</v>
      </c>
      <c r="L206" s="2">
        <v>792.88</v>
      </c>
      <c r="M206" s="2">
        <v>816.2</v>
      </c>
      <c r="N206" s="244">
        <v>3.6089820000000001</v>
      </c>
      <c r="O206" s="2" t="s">
        <v>150</v>
      </c>
      <c r="P206" s="2">
        <v>175</v>
      </c>
      <c r="Q206" s="2" t="s">
        <v>151</v>
      </c>
      <c r="R206" s="2" t="s">
        <v>164</v>
      </c>
      <c r="S206" s="2"/>
      <c r="T206" s="2"/>
      <c r="U206" s="398" t="s">
        <v>861</v>
      </c>
      <c r="V206" s="7">
        <v>4151.808</v>
      </c>
      <c r="W206" s="7" t="s">
        <v>1084</v>
      </c>
    </row>
    <row r="207" spans="1:23" x14ac:dyDescent="0.35">
      <c r="A207" s="2">
        <v>30</v>
      </c>
      <c r="B207" s="109" t="s">
        <v>166</v>
      </c>
      <c r="C207" s="110" t="s">
        <v>167</v>
      </c>
      <c r="D207" s="2">
        <v>4656</v>
      </c>
      <c r="E207" s="51">
        <v>0.81599999999999995</v>
      </c>
      <c r="F207" s="105"/>
      <c r="H207" s="2"/>
      <c r="I207" s="2">
        <v>97</v>
      </c>
      <c r="J207" s="2">
        <v>0</v>
      </c>
      <c r="K207" s="2">
        <v>0</v>
      </c>
      <c r="L207" s="2">
        <v>725.56000000000006</v>
      </c>
      <c r="M207" s="2">
        <v>746.9</v>
      </c>
      <c r="N207" s="244">
        <v>3.302559</v>
      </c>
      <c r="O207" s="2" t="s">
        <v>150</v>
      </c>
      <c r="P207" s="2">
        <v>175</v>
      </c>
      <c r="Q207" s="2" t="s">
        <v>151</v>
      </c>
      <c r="R207" s="2" t="s">
        <v>166</v>
      </c>
      <c r="S207" s="2"/>
      <c r="T207" s="2"/>
      <c r="U207" s="398" t="s">
        <v>861</v>
      </c>
      <c r="V207" s="7">
        <v>3799.2959999999998</v>
      </c>
      <c r="W207" s="7" t="s">
        <v>1084</v>
      </c>
    </row>
    <row r="208" spans="1:23" x14ac:dyDescent="0.35">
      <c r="A208" s="2">
        <v>30</v>
      </c>
      <c r="B208" s="109" t="s">
        <v>149</v>
      </c>
      <c r="C208" s="110" t="s">
        <v>152</v>
      </c>
      <c r="D208" s="2">
        <v>3840</v>
      </c>
      <c r="E208" s="51">
        <v>0.81599999999999995</v>
      </c>
      <c r="F208" s="105"/>
      <c r="H208" s="2"/>
      <c r="I208" s="2">
        <v>80</v>
      </c>
      <c r="J208" s="2">
        <v>0</v>
      </c>
      <c r="K208" s="2">
        <v>0</v>
      </c>
      <c r="L208" s="2">
        <v>503.04</v>
      </c>
      <c r="M208" s="2">
        <v>562.88</v>
      </c>
      <c r="N208" s="244">
        <v>2.0992000000000002</v>
      </c>
      <c r="O208" s="2" t="s">
        <v>150</v>
      </c>
      <c r="P208" s="2">
        <v>150</v>
      </c>
      <c r="Q208" s="2">
        <v>33072000</v>
      </c>
      <c r="R208" s="2" t="s">
        <v>149</v>
      </c>
      <c r="S208" s="2"/>
      <c r="T208" s="2"/>
      <c r="U208" s="398" t="s">
        <v>861</v>
      </c>
      <c r="V208" s="7">
        <v>3133.4399999999996</v>
      </c>
      <c r="W208" s="7" t="s">
        <v>1084</v>
      </c>
    </row>
    <row r="209" spans="1:23" x14ac:dyDescent="0.35">
      <c r="A209" s="2">
        <v>32</v>
      </c>
      <c r="B209" s="109" t="s">
        <v>72</v>
      </c>
      <c r="C209" s="110" t="s">
        <v>73</v>
      </c>
      <c r="D209" s="2"/>
      <c r="E209" s="51"/>
      <c r="F209" s="105"/>
      <c r="H209" s="2">
        <v>6</v>
      </c>
      <c r="I209" s="2">
        <v>0</v>
      </c>
      <c r="K209" s="2">
        <v>1</v>
      </c>
      <c r="L209" s="2">
        <v>2.9249999999999998</v>
      </c>
      <c r="M209" s="2">
        <v>3.3</v>
      </c>
      <c r="N209" s="244">
        <v>0</v>
      </c>
      <c r="O209" s="2" t="s">
        <v>18</v>
      </c>
      <c r="P209" s="2">
        <v>100</v>
      </c>
      <c r="Q209" s="2">
        <v>0</v>
      </c>
      <c r="R209" s="2" t="s">
        <v>72</v>
      </c>
      <c r="S209" s="2"/>
      <c r="T209" s="2"/>
      <c r="U209" s="398">
        <v>0</v>
      </c>
      <c r="V209" s="7">
        <v>0</v>
      </c>
      <c r="W209" s="7" t="s">
        <v>1099</v>
      </c>
    </row>
    <row r="210" spans="1:23" x14ac:dyDescent="0.35">
      <c r="A210" s="2">
        <v>32</v>
      </c>
      <c r="B210" s="109" t="s">
        <v>74</v>
      </c>
      <c r="C210" s="110" t="s">
        <v>75</v>
      </c>
      <c r="D210" s="2"/>
      <c r="E210" s="51"/>
      <c r="F210" s="105"/>
      <c r="H210" s="2">
        <v>6</v>
      </c>
      <c r="I210" s="2">
        <v>0</v>
      </c>
      <c r="K210" s="2">
        <v>1</v>
      </c>
      <c r="L210" s="2">
        <v>2.9249999999999998</v>
      </c>
      <c r="M210" s="2">
        <v>3.3</v>
      </c>
      <c r="N210" s="244">
        <v>0</v>
      </c>
      <c r="O210" s="2" t="s">
        <v>18</v>
      </c>
      <c r="P210" s="2">
        <v>100</v>
      </c>
      <c r="Q210" s="2">
        <v>0</v>
      </c>
      <c r="R210" s="2" t="s">
        <v>74</v>
      </c>
      <c r="S210" s="2"/>
      <c r="T210" s="2"/>
      <c r="U210" s="398">
        <v>0</v>
      </c>
      <c r="V210" s="7">
        <v>0</v>
      </c>
      <c r="W210" s="7" t="s">
        <v>1099</v>
      </c>
    </row>
    <row r="211" spans="1:23" x14ac:dyDescent="0.35">
      <c r="A211" s="2">
        <v>32</v>
      </c>
      <c r="B211" s="109" t="s">
        <v>76</v>
      </c>
      <c r="C211" s="110" t="s">
        <v>77</v>
      </c>
      <c r="D211" s="2"/>
      <c r="E211" s="51"/>
      <c r="F211" s="105"/>
      <c r="H211" s="2">
        <v>6</v>
      </c>
      <c r="I211" s="2">
        <v>0</v>
      </c>
      <c r="K211" s="2">
        <v>1</v>
      </c>
      <c r="L211" s="2">
        <v>2.9249999999999998</v>
      </c>
      <c r="M211" s="2">
        <v>3.3</v>
      </c>
      <c r="N211" s="244">
        <v>0</v>
      </c>
      <c r="O211" s="2" t="s">
        <v>18</v>
      </c>
      <c r="P211" s="2">
        <v>100</v>
      </c>
      <c r="Q211" s="2">
        <v>0</v>
      </c>
      <c r="R211" s="2" t="s">
        <v>76</v>
      </c>
      <c r="S211" s="2"/>
      <c r="T211" s="2"/>
      <c r="U211" s="398">
        <v>0</v>
      </c>
      <c r="V211" s="7">
        <v>0</v>
      </c>
      <c r="W211" s="7" t="s">
        <v>1099</v>
      </c>
    </row>
    <row r="212" spans="1:23" x14ac:dyDescent="0.35">
      <c r="A212" s="2">
        <v>32</v>
      </c>
      <c r="B212" s="109" t="s">
        <v>78</v>
      </c>
      <c r="C212" s="110" t="s">
        <v>79</v>
      </c>
      <c r="D212" s="2"/>
      <c r="E212" s="51"/>
      <c r="F212" s="105"/>
      <c r="H212" s="2">
        <v>6</v>
      </c>
      <c r="I212" s="2">
        <v>0</v>
      </c>
      <c r="K212" s="2">
        <v>1</v>
      </c>
      <c r="L212" s="2">
        <v>2.9249999999999998</v>
      </c>
      <c r="M212" s="2">
        <v>3.3</v>
      </c>
      <c r="N212" s="244">
        <v>0</v>
      </c>
      <c r="O212" s="2" t="s">
        <v>18</v>
      </c>
      <c r="P212" s="2">
        <v>100</v>
      </c>
      <c r="Q212" s="2">
        <v>0</v>
      </c>
      <c r="R212" s="2" t="s">
        <v>78</v>
      </c>
      <c r="S212" s="2"/>
      <c r="T212" s="2"/>
      <c r="U212" s="398">
        <v>0</v>
      </c>
      <c r="V212" s="7">
        <v>0</v>
      </c>
      <c r="W212" s="7" t="s">
        <v>1099</v>
      </c>
    </row>
    <row r="213" spans="1:23" x14ac:dyDescent="0.35">
      <c r="A213" s="2">
        <v>32</v>
      </c>
      <c r="B213" s="109" t="s">
        <v>17</v>
      </c>
      <c r="C213" s="110" t="s">
        <v>20</v>
      </c>
      <c r="D213" s="2"/>
      <c r="E213" s="51"/>
      <c r="F213" s="105"/>
      <c r="H213" s="2">
        <v>6</v>
      </c>
      <c r="I213" s="2">
        <v>0</v>
      </c>
      <c r="K213" s="2">
        <v>1</v>
      </c>
      <c r="L213" s="2">
        <v>2.52</v>
      </c>
      <c r="M213" s="2">
        <v>2.895</v>
      </c>
      <c r="N213" s="244">
        <v>0</v>
      </c>
      <c r="O213" s="2" t="s">
        <v>18</v>
      </c>
      <c r="P213" s="2">
        <v>50</v>
      </c>
      <c r="Q213" s="2">
        <v>0</v>
      </c>
      <c r="R213" s="2" t="s">
        <v>17</v>
      </c>
      <c r="S213" s="2"/>
      <c r="T213" s="2"/>
      <c r="U213" s="398">
        <v>5.23</v>
      </c>
      <c r="V213" s="7">
        <v>31.380000000000003</v>
      </c>
      <c r="W213" s="7" t="s">
        <v>1099</v>
      </c>
    </row>
    <row r="214" spans="1:23" x14ac:dyDescent="0.35">
      <c r="A214" s="2">
        <v>32</v>
      </c>
      <c r="B214" s="109" t="s">
        <v>23</v>
      </c>
      <c r="C214" s="110" t="s">
        <v>24</v>
      </c>
      <c r="D214" s="2"/>
      <c r="E214" s="51"/>
      <c r="F214" s="105"/>
      <c r="H214" s="2">
        <v>6</v>
      </c>
      <c r="I214" s="2">
        <v>0</v>
      </c>
      <c r="K214" s="2">
        <v>1</v>
      </c>
      <c r="L214" s="2">
        <v>2.52</v>
      </c>
      <c r="M214" s="2">
        <v>2.895</v>
      </c>
      <c r="N214" s="244">
        <v>0</v>
      </c>
      <c r="O214" s="2" t="s">
        <v>18</v>
      </c>
      <c r="P214" s="2">
        <v>50</v>
      </c>
      <c r="Q214" s="2">
        <v>0</v>
      </c>
      <c r="R214" s="2" t="s">
        <v>23</v>
      </c>
      <c r="S214" s="2"/>
      <c r="T214" s="2"/>
      <c r="U214" s="398">
        <v>5.23</v>
      </c>
      <c r="V214" s="7">
        <v>31.380000000000003</v>
      </c>
      <c r="W214" s="7" t="s">
        <v>1099</v>
      </c>
    </row>
    <row r="215" spans="1:23" x14ac:dyDescent="0.35">
      <c r="A215" s="2">
        <v>32</v>
      </c>
      <c r="B215" s="109" t="s">
        <v>25</v>
      </c>
      <c r="C215" s="110" t="s">
        <v>26</v>
      </c>
      <c r="D215" s="2"/>
      <c r="E215" s="51"/>
      <c r="F215" s="105"/>
      <c r="H215" s="2">
        <v>6</v>
      </c>
      <c r="I215" s="2">
        <v>0</v>
      </c>
      <c r="K215" s="2">
        <v>1</v>
      </c>
      <c r="L215" s="2">
        <v>2.52</v>
      </c>
      <c r="M215" s="2">
        <v>2.895</v>
      </c>
      <c r="N215" s="244">
        <v>0</v>
      </c>
      <c r="O215" s="2" t="s">
        <v>18</v>
      </c>
      <c r="P215" s="2">
        <v>50</v>
      </c>
      <c r="Q215" s="2">
        <v>0</v>
      </c>
      <c r="R215" s="2" t="s">
        <v>25</v>
      </c>
      <c r="S215" s="2"/>
      <c r="T215" s="2"/>
      <c r="U215" s="398">
        <v>5.23</v>
      </c>
      <c r="V215" s="7">
        <v>31.380000000000003</v>
      </c>
      <c r="W215" s="7" t="s">
        <v>1099</v>
      </c>
    </row>
    <row r="216" spans="1:23" x14ac:dyDescent="0.35">
      <c r="A216" s="2">
        <v>32</v>
      </c>
      <c r="B216" s="109" t="s">
        <v>27</v>
      </c>
      <c r="C216" s="110" t="s">
        <v>28</v>
      </c>
      <c r="D216" s="2"/>
      <c r="E216" s="51"/>
      <c r="F216" s="105"/>
      <c r="H216" s="2">
        <v>6</v>
      </c>
      <c r="I216" s="2">
        <v>0</v>
      </c>
      <c r="K216" s="2">
        <v>1</v>
      </c>
      <c r="L216" s="2">
        <v>2.52</v>
      </c>
      <c r="M216" s="2">
        <v>2.895</v>
      </c>
      <c r="N216" s="244">
        <v>0</v>
      </c>
      <c r="O216" s="2" t="s">
        <v>18</v>
      </c>
      <c r="P216" s="2">
        <v>50</v>
      </c>
      <c r="Q216" s="2">
        <v>0</v>
      </c>
      <c r="R216" s="2" t="s">
        <v>27</v>
      </c>
      <c r="S216" s="2"/>
      <c r="T216" s="2"/>
      <c r="U216" s="398">
        <v>5.23</v>
      </c>
      <c r="V216" s="7">
        <v>31.380000000000003</v>
      </c>
      <c r="W216" s="7" t="s">
        <v>1099</v>
      </c>
    </row>
    <row r="217" spans="1:23" x14ac:dyDescent="0.35">
      <c r="A217" s="2">
        <v>32</v>
      </c>
      <c r="B217" s="109" t="s">
        <v>29</v>
      </c>
      <c r="C217" s="110" t="s">
        <v>31</v>
      </c>
      <c r="D217" s="2"/>
      <c r="E217" s="51"/>
      <c r="F217" s="105"/>
      <c r="H217" s="2">
        <v>6</v>
      </c>
      <c r="I217" s="2">
        <v>0</v>
      </c>
      <c r="K217" s="2">
        <v>1</v>
      </c>
      <c r="L217" s="2">
        <v>2.39</v>
      </c>
      <c r="M217" s="2">
        <v>2.625</v>
      </c>
      <c r="N217" s="244">
        <v>0</v>
      </c>
      <c r="O217" s="2" t="s">
        <v>18</v>
      </c>
      <c r="P217" s="2">
        <v>50</v>
      </c>
      <c r="Q217" s="2">
        <v>0</v>
      </c>
      <c r="R217" s="2" t="s">
        <v>29</v>
      </c>
      <c r="S217" s="2"/>
      <c r="T217" s="2"/>
      <c r="U217" s="398">
        <v>5.23</v>
      </c>
      <c r="V217" s="7">
        <v>31.380000000000003</v>
      </c>
      <c r="W217" s="7" t="s">
        <v>1099</v>
      </c>
    </row>
    <row r="218" spans="1:23" x14ac:dyDescent="0.35">
      <c r="A218" s="2">
        <v>32</v>
      </c>
      <c r="B218" s="109" t="s">
        <v>32</v>
      </c>
      <c r="C218" s="110" t="s">
        <v>33</v>
      </c>
      <c r="D218" s="2"/>
      <c r="E218" s="51"/>
      <c r="F218" s="105"/>
      <c r="H218" s="2">
        <v>6</v>
      </c>
      <c r="I218" s="2">
        <v>0</v>
      </c>
      <c r="K218" s="2">
        <v>1</v>
      </c>
      <c r="L218" s="2">
        <v>2.39</v>
      </c>
      <c r="M218" s="2">
        <v>2.625</v>
      </c>
      <c r="N218" s="244">
        <v>0</v>
      </c>
      <c r="O218" s="2" t="s">
        <v>18</v>
      </c>
      <c r="P218" s="2">
        <v>50</v>
      </c>
      <c r="Q218" s="2">
        <v>0</v>
      </c>
      <c r="R218" s="2" t="s">
        <v>32</v>
      </c>
      <c r="S218" s="2"/>
      <c r="T218" s="2"/>
      <c r="U218" s="398">
        <v>5.23</v>
      </c>
      <c r="V218" s="7">
        <v>31.380000000000003</v>
      </c>
      <c r="W218" s="7" t="s">
        <v>1099</v>
      </c>
    </row>
    <row r="219" spans="1:23" x14ac:dyDescent="0.35">
      <c r="A219" s="2">
        <v>32</v>
      </c>
      <c r="B219" s="109" t="s">
        <v>34</v>
      </c>
      <c r="C219" s="110" t="s">
        <v>35</v>
      </c>
      <c r="D219" s="2"/>
      <c r="E219" s="51"/>
      <c r="F219" s="105"/>
      <c r="H219" s="2">
        <v>6</v>
      </c>
      <c r="I219" s="2">
        <v>0</v>
      </c>
      <c r="K219" s="2">
        <v>1</v>
      </c>
      <c r="L219" s="2">
        <v>2.39</v>
      </c>
      <c r="M219" s="2">
        <v>2.625</v>
      </c>
      <c r="N219" s="244">
        <v>0</v>
      </c>
      <c r="O219" s="2" t="s">
        <v>18</v>
      </c>
      <c r="P219" s="2">
        <v>50</v>
      </c>
      <c r="Q219" s="2">
        <v>0</v>
      </c>
      <c r="R219" s="2" t="s">
        <v>34</v>
      </c>
      <c r="S219" s="2"/>
      <c r="T219" s="2"/>
      <c r="U219" s="398">
        <v>5.23</v>
      </c>
      <c r="V219" s="7">
        <v>31.380000000000003</v>
      </c>
      <c r="W219" s="7" t="s">
        <v>1099</v>
      </c>
    </row>
    <row r="220" spans="1:23" x14ac:dyDescent="0.35">
      <c r="A220" s="2">
        <v>32</v>
      </c>
      <c r="B220" s="109" t="s">
        <v>36</v>
      </c>
      <c r="C220" s="110" t="s">
        <v>37</v>
      </c>
      <c r="D220" s="2"/>
      <c r="E220" s="51"/>
      <c r="F220" s="105"/>
      <c r="H220" s="2">
        <v>6</v>
      </c>
      <c r="I220" s="2">
        <v>0</v>
      </c>
      <c r="K220" s="2">
        <v>1</v>
      </c>
      <c r="L220" s="2">
        <v>2.39</v>
      </c>
      <c r="M220" s="2">
        <v>2.625</v>
      </c>
      <c r="N220" s="244">
        <v>0</v>
      </c>
      <c r="O220" s="2" t="s">
        <v>18</v>
      </c>
      <c r="P220" s="2">
        <v>50</v>
      </c>
      <c r="Q220" s="2">
        <v>0</v>
      </c>
      <c r="R220" s="2" t="s">
        <v>36</v>
      </c>
      <c r="S220" s="2"/>
      <c r="T220" s="2"/>
      <c r="U220" s="398">
        <v>5.23</v>
      </c>
      <c r="V220" s="7">
        <v>31.380000000000003</v>
      </c>
      <c r="W220" s="7" t="s">
        <v>1099</v>
      </c>
    </row>
    <row r="221" spans="1:23" x14ac:dyDescent="0.35">
      <c r="A221" s="2">
        <v>32</v>
      </c>
      <c r="B221" s="109" t="s">
        <v>80</v>
      </c>
      <c r="C221" s="110" t="s">
        <v>81</v>
      </c>
      <c r="D221" s="2"/>
      <c r="E221" s="51"/>
      <c r="F221" s="105"/>
      <c r="H221" s="2">
        <v>6</v>
      </c>
      <c r="I221" s="2">
        <v>0</v>
      </c>
      <c r="K221" s="2">
        <v>1</v>
      </c>
      <c r="L221" s="2">
        <v>2.625</v>
      </c>
      <c r="M221" s="2">
        <v>3</v>
      </c>
      <c r="N221" s="244">
        <v>0</v>
      </c>
      <c r="O221" s="2" t="s">
        <v>18</v>
      </c>
      <c r="P221" s="2">
        <v>100</v>
      </c>
      <c r="Q221" s="2">
        <v>0</v>
      </c>
      <c r="R221" s="2" t="s">
        <v>80</v>
      </c>
      <c r="S221" s="2"/>
      <c r="T221" s="2"/>
      <c r="U221" s="398">
        <v>0</v>
      </c>
      <c r="V221" s="7">
        <v>0</v>
      </c>
      <c r="W221" s="7" t="s">
        <v>1099</v>
      </c>
    </row>
    <row r="222" spans="1:23" x14ac:dyDescent="0.35">
      <c r="A222" s="2">
        <v>32</v>
      </c>
      <c r="B222" s="109" t="s">
        <v>82</v>
      </c>
      <c r="C222" s="110" t="s">
        <v>83</v>
      </c>
      <c r="D222" s="2"/>
      <c r="E222" s="51"/>
      <c r="F222" s="105"/>
      <c r="H222" s="2">
        <v>6</v>
      </c>
      <c r="I222" s="2">
        <v>0</v>
      </c>
      <c r="K222" s="2">
        <v>1</v>
      </c>
      <c r="L222" s="2">
        <v>2.625</v>
      </c>
      <c r="M222" s="2">
        <v>3</v>
      </c>
      <c r="N222" s="244">
        <v>0</v>
      </c>
      <c r="O222" s="2" t="s">
        <v>18</v>
      </c>
      <c r="P222" s="2">
        <v>100</v>
      </c>
      <c r="Q222" s="2">
        <v>0</v>
      </c>
      <c r="R222" s="2" t="s">
        <v>82</v>
      </c>
      <c r="S222" s="2"/>
      <c r="T222" s="2"/>
      <c r="U222" s="398">
        <v>0</v>
      </c>
      <c r="V222" s="7">
        <v>0</v>
      </c>
      <c r="W222" s="7" t="s">
        <v>1099</v>
      </c>
    </row>
    <row r="223" spans="1:23" x14ac:dyDescent="0.35">
      <c r="A223" s="2">
        <v>32</v>
      </c>
      <c r="B223" s="109" t="s">
        <v>84</v>
      </c>
      <c r="C223" s="110" t="s">
        <v>85</v>
      </c>
      <c r="D223" s="2"/>
      <c r="E223" s="51"/>
      <c r="F223" s="105"/>
      <c r="H223" s="2">
        <v>6</v>
      </c>
      <c r="I223" s="2">
        <v>0</v>
      </c>
      <c r="K223" s="2">
        <v>1</v>
      </c>
      <c r="L223" s="2">
        <v>2.625</v>
      </c>
      <c r="M223" s="2">
        <v>3</v>
      </c>
      <c r="N223" s="244">
        <v>0</v>
      </c>
      <c r="O223" s="2" t="s">
        <v>18</v>
      </c>
      <c r="P223" s="2">
        <v>100</v>
      </c>
      <c r="Q223" s="2">
        <v>0</v>
      </c>
      <c r="R223" s="2" t="s">
        <v>84</v>
      </c>
      <c r="S223" s="2"/>
      <c r="T223" s="2"/>
      <c r="U223" s="398">
        <v>0</v>
      </c>
      <c r="V223" s="7">
        <v>0</v>
      </c>
      <c r="W223" s="7" t="s">
        <v>1099</v>
      </c>
    </row>
    <row r="224" spans="1:23" x14ac:dyDescent="0.35">
      <c r="A224" s="2">
        <v>32</v>
      </c>
      <c r="B224" s="109" t="s">
        <v>86</v>
      </c>
      <c r="C224" s="110" t="s">
        <v>87</v>
      </c>
      <c r="D224" s="2"/>
      <c r="E224" s="51"/>
      <c r="F224" s="105"/>
      <c r="H224" s="2">
        <v>6</v>
      </c>
      <c r="I224" s="2">
        <v>0</v>
      </c>
      <c r="K224" s="2">
        <v>1</v>
      </c>
      <c r="L224" s="2">
        <v>2.625</v>
      </c>
      <c r="M224" s="2">
        <v>3</v>
      </c>
      <c r="N224" s="244">
        <v>0</v>
      </c>
      <c r="O224" s="2" t="s">
        <v>18</v>
      </c>
      <c r="P224" s="2">
        <v>100</v>
      </c>
      <c r="Q224" s="2">
        <v>0</v>
      </c>
      <c r="R224" s="2" t="s">
        <v>86</v>
      </c>
      <c r="S224" s="2"/>
      <c r="T224" s="2"/>
      <c r="U224" s="398">
        <v>0</v>
      </c>
      <c r="V224" s="7">
        <v>0</v>
      </c>
      <c r="W224" s="7" t="s">
        <v>1099</v>
      </c>
    </row>
    <row r="225" spans="1:23" x14ac:dyDescent="0.35">
      <c r="A225" s="2">
        <v>32</v>
      </c>
      <c r="B225" s="109" t="s">
        <v>91</v>
      </c>
      <c r="C225" s="110" t="s">
        <v>92</v>
      </c>
      <c r="D225" s="2"/>
      <c r="E225" s="51"/>
      <c r="F225" s="105"/>
      <c r="H225" s="2">
        <v>45</v>
      </c>
      <c r="I225" s="2">
        <v>0</v>
      </c>
      <c r="K225" s="2">
        <v>2</v>
      </c>
      <c r="L225" s="2">
        <v>14.1</v>
      </c>
      <c r="M225" s="2">
        <v>15.43125</v>
      </c>
      <c r="N225" s="244">
        <v>0</v>
      </c>
      <c r="O225" s="2" t="s">
        <v>1147</v>
      </c>
      <c r="P225" s="2">
        <v>100</v>
      </c>
      <c r="Q225" s="2" t="s">
        <v>55</v>
      </c>
      <c r="R225" s="2" t="s">
        <v>91</v>
      </c>
      <c r="S225" s="2"/>
      <c r="T225" s="2"/>
      <c r="U225" s="398">
        <v>5</v>
      </c>
      <c r="V225" s="7">
        <v>225</v>
      </c>
      <c r="W225" s="7" t="s">
        <v>1099</v>
      </c>
    </row>
    <row r="226" spans="1:23" x14ac:dyDescent="0.35">
      <c r="A226" s="2">
        <v>32</v>
      </c>
      <c r="B226" s="109" t="s">
        <v>93</v>
      </c>
      <c r="C226" s="110" t="s">
        <v>94</v>
      </c>
      <c r="D226" s="2"/>
      <c r="E226" s="51"/>
      <c r="F226" s="105"/>
      <c r="H226" s="2">
        <v>25</v>
      </c>
      <c r="I226" s="2">
        <v>0</v>
      </c>
      <c r="K226" s="2">
        <v>2</v>
      </c>
      <c r="L226" s="2">
        <v>7.833333333333333</v>
      </c>
      <c r="M226" s="2">
        <v>8.5729166666666679</v>
      </c>
      <c r="N226" s="244">
        <v>0</v>
      </c>
      <c r="O226" s="2" t="s">
        <v>1147</v>
      </c>
      <c r="P226" s="2">
        <v>100</v>
      </c>
      <c r="Q226" s="2" t="s">
        <v>55</v>
      </c>
      <c r="R226" s="2" t="s">
        <v>93</v>
      </c>
      <c r="S226" s="2"/>
      <c r="T226" s="2"/>
      <c r="U226" s="398">
        <v>5</v>
      </c>
      <c r="V226" s="7">
        <v>125</v>
      </c>
      <c r="W226" s="7" t="s">
        <v>1099</v>
      </c>
    </row>
    <row r="227" spans="1:23" x14ac:dyDescent="0.35">
      <c r="A227" s="2">
        <v>32</v>
      </c>
      <c r="B227" s="109" t="s">
        <v>95</v>
      </c>
      <c r="C227" s="110" t="s">
        <v>96</v>
      </c>
      <c r="D227" s="2"/>
      <c r="E227" s="51"/>
      <c r="F227" s="105"/>
      <c r="H227" s="2">
        <v>45</v>
      </c>
      <c r="I227" s="2">
        <v>0</v>
      </c>
      <c r="K227" s="2">
        <v>2</v>
      </c>
      <c r="L227" s="2">
        <v>14.1</v>
      </c>
      <c r="M227" s="2">
        <v>15.43125</v>
      </c>
      <c r="N227" s="244">
        <v>0</v>
      </c>
      <c r="O227" s="2" t="s">
        <v>1147</v>
      </c>
      <c r="P227" s="2">
        <v>100</v>
      </c>
      <c r="Q227" s="2" t="s">
        <v>55</v>
      </c>
      <c r="R227" s="2" t="s">
        <v>95</v>
      </c>
      <c r="S227" s="2"/>
      <c r="T227" s="2"/>
      <c r="U227" s="398">
        <v>5</v>
      </c>
      <c r="V227" s="7">
        <v>225</v>
      </c>
      <c r="W227" s="7" t="s">
        <v>1099</v>
      </c>
    </row>
    <row r="228" spans="1:23" x14ac:dyDescent="0.35">
      <c r="A228" s="2">
        <v>32</v>
      </c>
      <c r="B228" s="109" t="s">
        <v>97</v>
      </c>
      <c r="C228" s="110" t="s">
        <v>98</v>
      </c>
      <c r="D228" s="2"/>
      <c r="E228" s="51"/>
      <c r="F228" s="105"/>
      <c r="H228" s="2">
        <v>25</v>
      </c>
      <c r="I228" s="2">
        <v>0</v>
      </c>
      <c r="K228" s="2">
        <v>2</v>
      </c>
      <c r="L228" s="2">
        <v>7.833333333333333</v>
      </c>
      <c r="M228" s="2">
        <v>8.5729166666666679</v>
      </c>
      <c r="N228" s="244">
        <v>0</v>
      </c>
      <c r="O228" s="2" t="s">
        <v>1147</v>
      </c>
      <c r="P228" s="2">
        <v>100</v>
      </c>
      <c r="Q228" s="2" t="s">
        <v>55</v>
      </c>
      <c r="R228" s="2" t="s">
        <v>97</v>
      </c>
      <c r="S228" s="2"/>
      <c r="T228" s="2"/>
      <c r="U228" s="398">
        <v>5</v>
      </c>
      <c r="V228" s="7">
        <v>125</v>
      </c>
      <c r="W228" s="7" t="s">
        <v>1099</v>
      </c>
    </row>
    <row r="229" spans="1:23" x14ac:dyDescent="0.35">
      <c r="A229" s="2">
        <v>32</v>
      </c>
      <c r="B229" s="109" t="s">
        <v>99</v>
      </c>
      <c r="C229" s="110" t="s">
        <v>100</v>
      </c>
      <c r="D229" s="2"/>
      <c r="E229" s="51"/>
      <c r="F229" s="105"/>
      <c r="H229" s="2">
        <v>25</v>
      </c>
      <c r="I229" s="2">
        <v>0</v>
      </c>
      <c r="K229" s="2">
        <v>2</v>
      </c>
      <c r="L229" s="2">
        <v>7.1562500000000009</v>
      </c>
      <c r="M229" s="2">
        <v>7.875</v>
      </c>
      <c r="N229" s="244">
        <v>0</v>
      </c>
      <c r="O229" s="2" t="s">
        <v>1147</v>
      </c>
      <c r="P229" s="2">
        <v>100</v>
      </c>
      <c r="Q229" s="2" t="s">
        <v>55</v>
      </c>
      <c r="R229" s="2" t="s">
        <v>99</v>
      </c>
      <c r="S229" s="2"/>
      <c r="T229" s="2"/>
      <c r="U229" s="398">
        <v>5</v>
      </c>
      <c r="V229" s="7">
        <v>125</v>
      </c>
      <c r="W229" s="7" t="s">
        <v>1099</v>
      </c>
    </row>
    <row r="230" spans="1:23" x14ac:dyDescent="0.35">
      <c r="A230" s="2">
        <v>32</v>
      </c>
      <c r="B230" s="109" t="s">
        <v>101</v>
      </c>
      <c r="C230" s="110" t="s">
        <v>102</v>
      </c>
      <c r="D230" s="2"/>
      <c r="E230" s="51"/>
      <c r="F230" s="105"/>
      <c r="H230" s="2">
        <v>45</v>
      </c>
      <c r="I230" s="2">
        <v>0</v>
      </c>
      <c r="K230" s="2">
        <v>2</v>
      </c>
      <c r="L230" s="2">
        <v>12.88125</v>
      </c>
      <c r="M230" s="2">
        <v>14.174999999999999</v>
      </c>
      <c r="N230" s="244">
        <v>0</v>
      </c>
      <c r="O230" s="2" t="s">
        <v>1147</v>
      </c>
      <c r="P230" s="2">
        <v>100</v>
      </c>
      <c r="Q230" s="2" t="s">
        <v>55</v>
      </c>
      <c r="R230" s="2" t="s">
        <v>101</v>
      </c>
      <c r="S230" s="2"/>
      <c r="T230" s="2"/>
      <c r="U230" s="398">
        <v>5</v>
      </c>
      <c r="V230" s="7">
        <v>225</v>
      </c>
      <c r="W230" s="7" t="s">
        <v>1099</v>
      </c>
    </row>
    <row r="231" spans="1:23" x14ac:dyDescent="0.35">
      <c r="A231" s="2">
        <v>32</v>
      </c>
      <c r="B231" s="109" t="s">
        <v>103</v>
      </c>
      <c r="C231" s="110" t="s">
        <v>104</v>
      </c>
      <c r="D231" s="2"/>
      <c r="E231" s="51"/>
      <c r="F231" s="105"/>
      <c r="H231" s="2">
        <v>25</v>
      </c>
      <c r="I231" s="2">
        <v>0</v>
      </c>
      <c r="K231" s="2">
        <v>2</v>
      </c>
      <c r="L231" s="2">
        <v>7.1562500000000009</v>
      </c>
      <c r="M231" s="2">
        <v>7.875</v>
      </c>
      <c r="N231" s="244">
        <v>0</v>
      </c>
      <c r="O231" s="2" t="s">
        <v>1147</v>
      </c>
      <c r="P231" s="2">
        <v>100</v>
      </c>
      <c r="Q231" s="2" t="s">
        <v>55</v>
      </c>
      <c r="R231" s="2" t="s">
        <v>103</v>
      </c>
      <c r="S231" s="2"/>
      <c r="T231" s="2"/>
      <c r="U231" s="398">
        <v>5</v>
      </c>
      <c r="V231" s="7">
        <v>125</v>
      </c>
      <c r="W231" s="7" t="s">
        <v>1099</v>
      </c>
    </row>
    <row r="232" spans="1:23" x14ac:dyDescent="0.35">
      <c r="A232" s="2">
        <v>32</v>
      </c>
      <c r="B232" s="109" t="s">
        <v>105</v>
      </c>
      <c r="C232" s="110" t="s">
        <v>106</v>
      </c>
      <c r="D232" s="2"/>
      <c r="E232" s="51"/>
      <c r="F232" s="105"/>
      <c r="H232" s="2">
        <v>45</v>
      </c>
      <c r="I232" s="2">
        <v>0</v>
      </c>
      <c r="K232" s="2">
        <v>2</v>
      </c>
      <c r="L232" s="2">
        <v>12.88125</v>
      </c>
      <c r="M232" s="2">
        <v>14.174999999999999</v>
      </c>
      <c r="N232" s="244">
        <v>0</v>
      </c>
      <c r="O232" s="2" t="s">
        <v>1147</v>
      </c>
      <c r="P232" s="2">
        <v>100</v>
      </c>
      <c r="Q232" s="2" t="s">
        <v>55</v>
      </c>
      <c r="R232" s="2" t="s">
        <v>105</v>
      </c>
      <c r="S232" s="2"/>
      <c r="T232" s="2"/>
      <c r="U232" s="398">
        <v>5</v>
      </c>
      <c r="V232" s="7">
        <v>225</v>
      </c>
      <c r="W232" s="7" t="s">
        <v>1099</v>
      </c>
    </row>
    <row r="233" spans="1:23" x14ac:dyDescent="0.35">
      <c r="A233" s="2">
        <v>32</v>
      </c>
      <c r="B233" s="109" t="s">
        <v>168</v>
      </c>
      <c r="C233" s="110" t="s">
        <v>171</v>
      </c>
      <c r="D233" s="2"/>
      <c r="E233" s="51"/>
      <c r="F233" s="105"/>
      <c r="H233" s="2">
        <v>31</v>
      </c>
      <c r="I233" s="2">
        <v>0</v>
      </c>
      <c r="K233" s="2">
        <v>2</v>
      </c>
      <c r="L233" s="2">
        <v>8.2020833333333325</v>
      </c>
      <c r="M233" s="2">
        <v>9.0416666666666679</v>
      </c>
      <c r="N233" s="244">
        <v>0</v>
      </c>
      <c r="O233" s="2" t="s">
        <v>169</v>
      </c>
      <c r="P233" s="2">
        <v>200</v>
      </c>
      <c r="Q233" s="2" t="s">
        <v>170</v>
      </c>
      <c r="R233" s="2" t="s">
        <v>168</v>
      </c>
      <c r="S233" s="2"/>
      <c r="T233" s="2"/>
      <c r="U233" s="398">
        <v>2.0499999999999998</v>
      </c>
      <c r="V233" s="7">
        <v>63.55</v>
      </c>
      <c r="W233" s="7" t="s">
        <v>1099</v>
      </c>
    </row>
    <row r="234" spans="1:23" x14ac:dyDescent="0.35">
      <c r="A234" s="2">
        <v>32</v>
      </c>
      <c r="B234" s="109" t="s">
        <v>173</v>
      </c>
      <c r="C234" s="110" t="s">
        <v>174</v>
      </c>
      <c r="D234" s="2"/>
      <c r="E234" s="51"/>
      <c r="F234" s="105"/>
      <c r="H234" s="2">
        <v>31</v>
      </c>
      <c r="I234" s="2">
        <v>0</v>
      </c>
      <c r="K234" s="2">
        <v>2</v>
      </c>
      <c r="L234" s="2">
        <v>8.2020833333333325</v>
      </c>
      <c r="M234" s="2">
        <v>9.0416666666666679</v>
      </c>
      <c r="N234" s="244">
        <v>0</v>
      </c>
      <c r="O234" s="2" t="s">
        <v>169</v>
      </c>
      <c r="P234" s="2">
        <v>200</v>
      </c>
      <c r="Q234" s="2" t="s">
        <v>170</v>
      </c>
      <c r="R234" s="2" t="s">
        <v>173</v>
      </c>
      <c r="S234" s="2"/>
      <c r="T234" s="2"/>
      <c r="U234" s="398">
        <v>2.0499999999999998</v>
      </c>
      <c r="V234" s="7">
        <v>63.55</v>
      </c>
      <c r="W234" s="7" t="s">
        <v>1099</v>
      </c>
    </row>
    <row r="235" spans="1:23" x14ac:dyDescent="0.35">
      <c r="A235" s="2">
        <v>32</v>
      </c>
      <c r="B235" s="109" t="s">
        <v>175</v>
      </c>
      <c r="C235" s="110" t="s">
        <v>176</v>
      </c>
      <c r="D235" s="2"/>
      <c r="E235" s="51"/>
      <c r="F235" s="105"/>
      <c r="H235" s="2">
        <v>31</v>
      </c>
      <c r="I235" s="2">
        <v>0</v>
      </c>
      <c r="K235" s="2">
        <v>2</v>
      </c>
      <c r="L235" s="2">
        <v>8.2020833333333325</v>
      </c>
      <c r="M235" s="2">
        <v>9.0416666666666679</v>
      </c>
      <c r="N235" s="244">
        <v>0</v>
      </c>
      <c r="O235" s="2" t="s">
        <v>169</v>
      </c>
      <c r="P235" s="2">
        <v>200</v>
      </c>
      <c r="Q235" s="2" t="s">
        <v>170</v>
      </c>
      <c r="R235" s="2" t="s">
        <v>175</v>
      </c>
      <c r="S235" s="2"/>
      <c r="T235" s="2"/>
      <c r="U235" s="398">
        <v>2.0499999999999998</v>
      </c>
      <c r="V235" s="7">
        <v>63.55</v>
      </c>
      <c r="W235" s="7" t="s">
        <v>1099</v>
      </c>
    </row>
    <row r="236" spans="1:23" x14ac:dyDescent="0.35">
      <c r="A236" s="2">
        <v>32</v>
      </c>
      <c r="B236" s="109" t="s">
        <v>177</v>
      </c>
      <c r="C236" s="110" t="s">
        <v>178</v>
      </c>
      <c r="D236" s="2"/>
      <c r="E236" s="51"/>
      <c r="F236" s="105"/>
      <c r="H236" s="2">
        <v>31</v>
      </c>
      <c r="I236" s="2">
        <v>0</v>
      </c>
      <c r="K236" s="2">
        <v>2</v>
      </c>
      <c r="L236" s="2">
        <v>8.2020833333333325</v>
      </c>
      <c r="M236" s="2">
        <v>9.0416666666666679</v>
      </c>
      <c r="N236" s="244">
        <v>0</v>
      </c>
      <c r="O236" s="2" t="s">
        <v>169</v>
      </c>
      <c r="P236" s="2">
        <v>200</v>
      </c>
      <c r="Q236" s="2" t="s">
        <v>170</v>
      </c>
      <c r="R236" s="2" t="s">
        <v>177</v>
      </c>
      <c r="S236" s="2"/>
      <c r="T236" s="2"/>
      <c r="U236" s="398">
        <v>2.0499999999999998</v>
      </c>
      <c r="V236" s="7">
        <v>63.55</v>
      </c>
      <c r="W236" s="7" t="s">
        <v>1099</v>
      </c>
    </row>
    <row r="237" spans="1:23" x14ac:dyDescent="0.35">
      <c r="A237" s="2">
        <v>34</v>
      </c>
      <c r="B237" s="109" t="s">
        <v>107</v>
      </c>
      <c r="C237" s="110" t="s">
        <v>109</v>
      </c>
      <c r="D237" s="2">
        <v>600</v>
      </c>
      <c r="E237" s="51">
        <v>12.5</v>
      </c>
      <c r="F237" s="105"/>
      <c r="H237" s="2">
        <v>50</v>
      </c>
      <c r="I237" s="2">
        <v>25</v>
      </c>
      <c r="J237" s="2">
        <v>0</v>
      </c>
      <c r="K237" s="2">
        <v>3</v>
      </c>
      <c r="L237" s="2">
        <v>256.75</v>
      </c>
      <c r="M237" s="2">
        <v>268.125</v>
      </c>
      <c r="N237" s="244">
        <v>0.46847395833333333</v>
      </c>
      <c r="O237" s="2" t="s">
        <v>108</v>
      </c>
      <c r="P237" s="2">
        <v>100</v>
      </c>
      <c r="Q237" s="2" t="s">
        <v>55</v>
      </c>
      <c r="R237" s="2" t="s">
        <v>107</v>
      </c>
      <c r="S237" s="2"/>
      <c r="T237" s="2">
        <v>11.68</v>
      </c>
      <c r="U237" s="398">
        <v>7592</v>
      </c>
      <c r="V237" s="7">
        <v>7500</v>
      </c>
      <c r="W237" s="7" t="s">
        <v>660</v>
      </c>
    </row>
    <row r="238" spans="1:23" x14ac:dyDescent="0.35">
      <c r="A238" s="2">
        <v>34</v>
      </c>
      <c r="B238" s="109" t="s">
        <v>110</v>
      </c>
      <c r="C238" s="110" t="s">
        <v>111</v>
      </c>
      <c r="D238" s="2"/>
      <c r="E238" s="51"/>
      <c r="F238" s="105">
        <v>24</v>
      </c>
      <c r="G238" s="51">
        <v>6.25</v>
      </c>
      <c r="H238" s="2"/>
      <c r="I238" s="2">
        <v>0</v>
      </c>
      <c r="J238" s="2">
        <v>1</v>
      </c>
      <c r="K238" s="2">
        <v>0</v>
      </c>
      <c r="L238" s="2">
        <v>9.48</v>
      </c>
      <c r="M238" s="2">
        <v>9.9</v>
      </c>
      <c r="N238" s="244">
        <v>1.72975E-2</v>
      </c>
      <c r="O238" s="2" t="s">
        <v>108</v>
      </c>
      <c r="P238" s="2">
        <v>100</v>
      </c>
      <c r="Q238" s="2" t="s">
        <v>55</v>
      </c>
      <c r="R238" s="2" t="s">
        <v>110</v>
      </c>
      <c r="S238" s="2"/>
      <c r="T238" s="2">
        <v>11.68</v>
      </c>
      <c r="U238" s="398">
        <v>280.32</v>
      </c>
      <c r="V238" s="7">
        <v>150</v>
      </c>
      <c r="W238" s="7" t="s">
        <v>660</v>
      </c>
    </row>
    <row r="239" spans="1:23" x14ac:dyDescent="0.35">
      <c r="A239" s="2">
        <v>34</v>
      </c>
      <c r="B239" s="109" t="s">
        <v>114</v>
      </c>
      <c r="C239" s="110" t="s">
        <v>115</v>
      </c>
      <c r="D239" s="2">
        <v>300</v>
      </c>
      <c r="E239" s="51">
        <v>12.5</v>
      </c>
      <c r="F239" s="105">
        <v>24</v>
      </c>
      <c r="G239" s="51">
        <v>6.25</v>
      </c>
      <c r="H239" s="2">
        <v>25</v>
      </c>
      <c r="I239" s="2">
        <v>13</v>
      </c>
      <c r="J239" s="2">
        <v>1</v>
      </c>
      <c r="K239" s="2">
        <v>2</v>
      </c>
      <c r="L239" s="2">
        <v>137.85499999999999</v>
      </c>
      <c r="M239" s="2">
        <v>143.96250000000001</v>
      </c>
      <c r="N239" s="244">
        <v>0.25153447916666666</v>
      </c>
      <c r="O239" s="2" t="s">
        <v>108</v>
      </c>
      <c r="P239" s="2">
        <v>100</v>
      </c>
      <c r="Q239" s="2" t="s">
        <v>55</v>
      </c>
      <c r="R239" s="2" t="s">
        <v>114</v>
      </c>
      <c r="S239" s="2"/>
      <c r="T239" s="2">
        <v>11.68</v>
      </c>
      <c r="U239" s="398">
        <v>4076.3199999999997</v>
      </c>
      <c r="V239" s="7">
        <v>3900</v>
      </c>
      <c r="W239" s="7" t="s">
        <v>660</v>
      </c>
    </row>
    <row r="240" spans="1:23" x14ac:dyDescent="0.35">
      <c r="A240" s="2">
        <v>34</v>
      </c>
      <c r="B240" s="109" t="s">
        <v>120</v>
      </c>
      <c r="C240" s="110" t="s">
        <v>121</v>
      </c>
      <c r="D240" s="2">
        <v>24</v>
      </c>
      <c r="E240" s="51">
        <v>12.5</v>
      </c>
      <c r="F240" s="105">
        <v>12</v>
      </c>
      <c r="G240" s="51">
        <v>6.25</v>
      </c>
      <c r="H240" s="2">
        <v>2</v>
      </c>
      <c r="I240" s="2">
        <v>1</v>
      </c>
      <c r="J240" s="2">
        <v>1</v>
      </c>
      <c r="K240" s="2">
        <v>1</v>
      </c>
      <c r="L240" s="2">
        <v>14.439999999999998</v>
      </c>
      <c r="M240" s="2">
        <v>15.041666666666666</v>
      </c>
      <c r="N240" s="244">
        <v>2.77578125E-2</v>
      </c>
      <c r="O240" s="2" t="s">
        <v>108</v>
      </c>
      <c r="P240" s="2">
        <v>100</v>
      </c>
      <c r="Q240" s="2" t="s">
        <v>55</v>
      </c>
      <c r="R240" s="2" t="s">
        <v>120</v>
      </c>
      <c r="S240" s="2"/>
      <c r="T240" s="2">
        <v>11.68</v>
      </c>
      <c r="U240" s="398">
        <v>443.84</v>
      </c>
      <c r="V240" s="7">
        <v>375</v>
      </c>
      <c r="W240" s="7" t="s">
        <v>660</v>
      </c>
    </row>
    <row r="241" spans="1:23" x14ac:dyDescent="0.35">
      <c r="A241" s="2">
        <v>34</v>
      </c>
      <c r="B241" s="109" t="s">
        <v>122</v>
      </c>
      <c r="C241" s="110" t="s">
        <v>123</v>
      </c>
      <c r="D241" s="2">
        <v>72</v>
      </c>
      <c r="E241" s="51">
        <v>12.5</v>
      </c>
      <c r="F241" s="105"/>
      <c r="H241" s="2">
        <v>6</v>
      </c>
      <c r="I241" s="2">
        <v>3</v>
      </c>
      <c r="J241" s="2">
        <v>0</v>
      </c>
      <c r="K241" s="2">
        <v>1</v>
      </c>
      <c r="L241" s="2">
        <v>29.639999999999997</v>
      </c>
      <c r="M241" s="2">
        <v>30.875</v>
      </c>
      <c r="N241" s="244">
        <v>5.6976562500000001E-2</v>
      </c>
      <c r="O241" s="2" t="s">
        <v>108</v>
      </c>
      <c r="P241" s="2">
        <v>100</v>
      </c>
      <c r="Q241" s="2" t="s">
        <v>55</v>
      </c>
      <c r="R241" s="2" t="s">
        <v>122</v>
      </c>
      <c r="S241" s="2"/>
      <c r="T241" s="2">
        <v>11.68</v>
      </c>
      <c r="U241" s="398">
        <v>911.04</v>
      </c>
      <c r="V241" s="7">
        <v>900</v>
      </c>
      <c r="W241" s="7" t="s">
        <v>660</v>
      </c>
    </row>
    <row r="242" spans="1:23" x14ac:dyDescent="0.35">
      <c r="A242" s="2">
        <v>35</v>
      </c>
      <c r="B242" s="109" t="s">
        <v>17</v>
      </c>
      <c r="C242" s="110" t="s">
        <v>20</v>
      </c>
      <c r="D242" s="2">
        <v>1440</v>
      </c>
      <c r="E242" s="51">
        <v>5.3403431101272822</v>
      </c>
      <c r="F242" s="105"/>
      <c r="H242" s="2"/>
      <c r="I242" s="2">
        <v>120</v>
      </c>
      <c r="J242" s="2">
        <v>0</v>
      </c>
      <c r="K242" s="2">
        <v>0</v>
      </c>
      <c r="L242" s="2">
        <v>604.79999999999995</v>
      </c>
      <c r="M242" s="2">
        <v>694.8</v>
      </c>
      <c r="N242" s="244">
        <v>3.3699599999999998</v>
      </c>
      <c r="O242" s="2" t="s">
        <v>18</v>
      </c>
      <c r="P242" s="2">
        <v>50</v>
      </c>
      <c r="Q242" s="2">
        <v>0</v>
      </c>
      <c r="R242" s="2" t="s">
        <v>17</v>
      </c>
      <c r="S242" s="2"/>
      <c r="T242" s="2">
        <v>5.23</v>
      </c>
      <c r="U242" s="398">
        <v>7531.2000000000007</v>
      </c>
      <c r="V242" s="7">
        <v>7690.0940785832863</v>
      </c>
      <c r="W242" s="7" t="s">
        <v>660</v>
      </c>
    </row>
    <row r="243" spans="1:23" x14ac:dyDescent="0.35">
      <c r="A243" s="2">
        <v>35</v>
      </c>
      <c r="B243" s="109" t="s">
        <v>23</v>
      </c>
      <c r="C243" s="110" t="s">
        <v>24</v>
      </c>
      <c r="D243" s="2">
        <v>1440</v>
      </c>
      <c r="E243" s="51">
        <v>5.3403431101272822</v>
      </c>
      <c r="F243" s="105"/>
      <c r="H243" s="2"/>
      <c r="I243" s="2">
        <v>120</v>
      </c>
      <c r="J243" s="2">
        <v>0</v>
      </c>
      <c r="K243" s="2">
        <v>0</v>
      </c>
      <c r="L243" s="2">
        <v>604.79999999999995</v>
      </c>
      <c r="M243" s="2">
        <v>694.8</v>
      </c>
      <c r="N243" s="244">
        <v>3.3699599999999998</v>
      </c>
      <c r="O243" s="2" t="s">
        <v>18</v>
      </c>
      <c r="P243" s="2">
        <v>50</v>
      </c>
      <c r="Q243" s="2">
        <v>0</v>
      </c>
      <c r="R243" s="2" t="s">
        <v>23</v>
      </c>
      <c r="S243" s="2"/>
      <c r="T243" s="2">
        <v>5.23</v>
      </c>
      <c r="U243" s="398">
        <v>7531.2000000000007</v>
      </c>
      <c r="V243" s="7">
        <v>7690.0940785832863</v>
      </c>
      <c r="W243" s="7" t="s">
        <v>660</v>
      </c>
    </row>
    <row r="244" spans="1:23" x14ac:dyDescent="0.35">
      <c r="A244" s="2">
        <v>35</v>
      </c>
      <c r="B244" s="109" t="s">
        <v>25</v>
      </c>
      <c r="C244" s="110" t="s">
        <v>26</v>
      </c>
      <c r="D244" s="2">
        <v>1440</v>
      </c>
      <c r="E244" s="51">
        <v>5.3403431101272822</v>
      </c>
      <c r="F244" s="105"/>
      <c r="H244" s="2"/>
      <c r="I244" s="2">
        <v>120</v>
      </c>
      <c r="J244" s="2">
        <v>0</v>
      </c>
      <c r="K244" s="2">
        <v>0</v>
      </c>
      <c r="L244" s="2">
        <v>604.79999999999995</v>
      </c>
      <c r="M244" s="2">
        <v>694.8</v>
      </c>
      <c r="N244" s="244">
        <v>3.3699599999999998</v>
      </c>
      <c r="O244" s="2" t="s">
        <v>18</v>
      </c>
      <c r="P244" s="2">
        <v>50</v>
      </c>
      <c r="Q244" s="2">
        <v>0</v>
      </c>
      <c r="R244" s="2" t="s">
        <v>25</v>
      </c>
      <c r="S244" s="2"/>
      <c r="T244" s="2">
        <v>5.23</v>
      </c>
      <c r="U244" s="398">
        <v>7531.2000000000007</v>
      </c>
      <c r="V244" s="7">
        <v>7690.0940785832863</v>
      </c>
      <c r="W244" s="7" t="s">
        <v>660</v>
      </c>
    </row>
    <row r="245" spans="1:23" x14ac:dyDescent="0.35">
      <c r="A245" s="2">
        <v>35</v>
      </c>
      <c r="B245" s="109" t="s">
        <v>27</v>
      </c>
      <c r="C245" s="110" t="s">
        <v>28</v>
      </c>
      <c r="D245" s="2">
        <v>1440</v>
      </c>
      <c r="E245" s="51">
        <v>5.3403431101272822</v>
      </c>
      <c r="F245" s="105"/>
      <c r="H245" s="2"/>
      <c r="I245" s="2">
        <v>120</v>
      </c>
      <c r="J245" s="2">
        <v>0</v>
      </c>
      <c r="K245" s="2">
        <v>0</v>
      </c>
      <c r="L245" s="2">
        <v>604.79999999999995</v>
      </c>
      <c r="M245" s="2">
        <v>694.8</v>
      </c>
      <c r="N245" s="244">
        <v>3.3699599999999998</v>
      </c>
      <c r="O245" s="2" t="s">
        <v>18</v>
      </c>
      <c r="P245" s="2">
        <v>50</v>
      </c>
      <c r="Q245" s="2">
        <v>0</v>
      </c>
      <c r="R245" s="2" t="s">
        <v>27</v>
      </c>
      <c r="S245" s="2"/>
      <c r="T245" s="2">
        <v>5.23</v>
      </c>
      <c r="U245" s="398">
        <v>7531.2000000000007</v>
      </c>
      <c r="V245" s="7">
        <v>7690.0940785832863</v>
      </c>
      <c r="W245" s="7" t="s">
        <v>660</v>
      </c>
    </row>
    <row r="246" spans="1:23" x14ac:dyDescent="0.35">
      <c r="A246" s="2">
        <v>35</v>
      </c>
      <c r="B246" s="109" t="s">
        <v>29</v>
      </c>
      <c r="C246" s="110" t="s">
        <v>31</v>
      </c>
      <c r="D246" s="2">
        <v>1200</v>
      </c>
      <c r="E246" s="51">
        <v>5.3403431101272822</v>
      </c>
      <c r="F246" s="105"/>
      <c r="H246" s="2"/>
      <c r="I246" s="2">
        <v>100</v>
      </c>
      <c r="J246" s="2">
        <v>0</v>
      </c>
      <c r="K246" s="2">
        <v>0</v>
      </c>
      <c r="L246" s="2">
        <v>478</v>
      </c>
      <c r="M246" s="2">
        <v>525</v>
      </c>
      <c r="N246" s="244">
        <v>2.8083</v>
      </c>
      <c r="O246" s="2" t="s">
        <v>18</v>
      </c>
      <c r="P246" s="2">
        <v>50</v>
      </c>
      <c r="Q246" s="2">
        <v>0</v>
      </c>
      <c r="R246" s="2" t="s">
        <v>29</v>
      </c>
      <c r="S246" s="2"/>
      <c r="T246" s="2">
        <v>5.23</v>
      </c>
      <c r="U246" s="398">
        <v>6276.0000000000009</v>
      </c>
      <c r="V246" s="7">
        <v>6408.4117321527383</v>
      </c>
      <c r="W246" s="7" t="s">
        <v>660</v>
      </c>
    </row>
    <row r="247" spans="1:23" x14ac:dyDescent="0.35">
      <c r="A247" s="2">
        <v>35</v>
      </c>
      <c r="B247" s="109" t="s">
        <v>32</v>
      </c>
      <c r="C247" s="110" t="s">
        <v>33</v>
      </c>
      <c r="D247" s="2">
        <v>1200</v>
      </c>
      <c r="E247" s="51">
        <v>5.3403431101272822</v>
      </c>
      <c r="F247" s="105"/>
      <c r="H247" s="2"/>
      <c r="I247" s="2">
        <v>100</v>
      </c>
      <c r="J247" s="2">
        <v>0</v>
      </c>
      <c r="K247" s="2">
        <v>0</v>
      </c>
      <c r="L247" s="2">
        <v>478</v>
      </c>
      <c r="M247" s="2">
        <v>525</v>
      </c>
      <c r="N247" s="244">
        <v>2.8083</v>
      </c>
      <c r="O247" s="2" t="s">
        <v>18</v>
      </c>
      <c r="P247" s="2">
        <v>50</v>
      </c>
      <c r="Q247" s="2">
        <v>0</v>
      </c>
      <c r="R247" s="2" t="s">
        <v>32</v>
      </c>
      <c r="S247" s="2"/>
      <c r="T247" s="2">
        <v>5.23</v>
      </c>
      <c r="U247" s="398">
        <v>6276.0000000000009</v>
      </c>
      <c r="V247" s="7">
        <v>6408.4117321527383</v>
      </c>
      <c r="W247" s="7" t="s">
        <v>660</v>
      </c>
    </row>
    <row r="248" spans="1:23" x14ac:dyDescent="0.35">
      <c r="A248" s="2">
        <v>35</v>
      </c>
      <c r="B248" s="109" t="s">
        <v>34</v>
      </c>
      <c r="C248" s="110" t="s">
        <v>35</v>
      </c>
      <c r="D248" s="2">
        <v>1200</v>
      </c>
      <c r="E248" s="51">
        <v>5.3403431101272822</v>
      </c>
      <c r="F248" s="105"/>
      <c r="H248" s="2"/>
      <c r="I248" s="2">
        <v>100</v>
      </c>
      <c r="J248" s="2">
        <v>0</v>
      </c>
      <c r="K248" s="2">
        <v>0</v>
      </c>
      <c r="L248" s="2">
        <v>478</v>
      </c>
      <c r="M248" s="2">
        <v>525</v>
      </c>
      <c r="N248" s="244">
        <v>2.8083</v>
      </c>
      <c r="O248" s="2" t="s">
        <v>18</v>
      </c>
      <c r="P248" s="2">
        <v>50</v>
      </c>
      <c r="Q248" s="2">
        <v>0</v>
      </c>
      <c r="R248" s="2" t="s">
        <v>34</v>
      </c>
      <c r="S248" s="2"/>
      <c r="T248" s="2">
        <v>5.23</v>
      </c>
      <c r="U248" s="398">
        <v>6276.0000000000009</v>
      </c>
      <c r="V248" s="7">
        <v>6408.4117321527383</v>
      </c>
      <c r="W248" s="7" t="s">
        <v>660</v>
      </c>
    </row>
    <row r="249" spans="1:23" x14ac:dyDescent="0.35">
      <c r="A249" s="2">
        <v>35</v>
      </c>
      <c r="B249" s="109" t="s">
        <v>36</v>
      </c>
      <c r="C249" s="110" t="s">
        <v>37</v>
      </c>
      <c r="D249" s="2">
        <v>1200</v>
      </c>
      <c r="E249" s="51">
        <v>5.3403431101272822</v>
      </c>
      <c r="F249" s="105"/>
      <c r="H249" s="2"/>
      <c r="I249" s="2">
        <v>100</v>
      </c>
      <c r="J249" s="2">
        <v>0</v>
      </c>
      <c r="K249" s="2">
        <v>0</v>
      </c>
      <c r="L249" s="2">
        <v>478</v>
      </c>
      <c r="M249" s="2">
        <v>525</v>
      </c>
      <c r="N249" s="244">
        <v>2.8083</v>
      </c>
      <c r="O249" s="2" t="s">
        <v>18</v>
      </c>
      <c r="P249" s="2">
        <v>50</v>
      </c>
      <c r="Q249" s="2">
        <v>0</v>
      </c>
      <c r="R249" s="2" t="s">
        <v>36</v>
      </c>
      <c r="S249" s="2"/>
      <c r="T249" s="2">
        <v>5.23</v>
      </c>
      <c r="U249" s="398">
        <v>6276.0000000000009</v>
      </c>
      <c r="V249" s="7">
        <v>6408.4117321527383</v>
      </c>
      <c r="W249" s="7" t="s">
        <v>660</v>
      </c>
    </row>
    <row r="250" spans="1:23" x14ac:dyDescent="0.35">
      <c r="A250" s="2">
        <v>35</v>
      </c>
      <c r="B250" s="109" t="s">
        <v>91</v>
      </c>
      <c r="C250" s="110" t="s">
        <v>92</v>
      </c>
      <c r="D250" s="2">
        <v>720</v>
      </c>
      <c r="E250" s="51">
        <v>5.3403431101272822</v>
      </c>
      <c r="F250" s="105"/>
      <c r="H250" s="2">
        <v>72</v>
      </c>
      <c r="I250" s="2">
        <v>30</v>
      </c>
      <c r="J250" s="2">
        <v>0</v>
      </c>
      <c r="K250" s="2">
        <v>3</v>
      </c>
      <c r="L250" s="2">
        <v>248.16</v>
      </c>
      <c r="M250" s="2">
        <v>271.59000000000003</v>
      </c>
      <c r="N250" s="244">
        <v>0.74071799999999999</v>
      </c>
      <c r="O250" s="2" t="s">
        <v>934</v>
      </c>
      <c r="P250" s="2">
        <v>100</v>
      </c>
      <c r="Q250" s="2" t="s">
        <v>55</v>
      </c>
      <c r="R250" s="2" t="s">
        <v>91</v>
      </c>
      <c r="S250" s="2"/>
      <c r="T250" s="2">
        <v>5</v>
      </c>
      <c r="U250" s="398">
        <v>3960</v>
      </c>
      <c r="V250" s="7">
        <v>3845.0470392916432</v>
      </c>
      <c r="W250" s="7" t="s">
        <v>660</v>
      </c>
    </row>
    <row r="251" spans="1:23" x14ac:dyDescent="0.35">
      <c r="A251" s="2">
        <v>35</v>
      </c>
      <c r="B251" s="109" t="s">
        <v>93</v>
      </c>
      <c r="C251" s="110" t="s">
        <v>94</v>
      </c>
      <c r="D251" s="2">
        <v>1200</v>
      </c>
      <c r="E251" s="51">
        <v>5.3403431101272822</v>
      </c>
      <c r="F251" s="105"/>
      <c r="H251" s="2">
        <v>120</v>
      </c>
      <c r="I251" s="2">
        <v>50</v>
      </c>
      <c r="J251" s="2">
        <v>0</v>
      </c>
      <c r="K251" s="2">
        <v>5</v>
      </c>
      <c r="L251" s="2">
        <v>413.59999999999997</v>
      </c>
      <c r="M251" s="2">
        <v>452.65000000000003</v>
      </c>
      <c r="N251" s="244">
        <v>1.2345299999999999</v>
      </c>
      <c r="O251" s="2" t="s">
        <v>934</v>
      </c>
      <c r="P251" s="2">
        <v>100</v>
      </c>
      <c r="Q251" s="2" t="s">
        <v>55</v>
      </c>
      <c r="R251" s="2" t="s">
        <v>93</v>
      </c>
      <c r="S251" s="2"/>
      <c r="T251" s="2">
        <v>5</v>
      </c>
      <c r="U251" s="398">
        <v>6600</v>
      </c>
      <c r="V251" s="7">
        <v>6408.4117321527383</v>
      </c>
      <c r="W251" s="7" t="s">
        <v>660</v>
      </c>
    </row>
    <row r="252" spans="1:23" x14ac:dyDescent="0.35">
      <c r="A252" s="2">
        <v>35</v>
      </c>
      <c r="B252" s="109" t="s">
        <v>95</v>
      </c>
      <c r="C252" s="110" t="s">
        <v>96</v>
      </c>
      <c r="D252" s="2">
        <v>720</v>
      </c>
      <c r="E252" s="51">
        <v>5.3403431101272822</v>
      </c>
      <c r="F252" s="105"/>
      <c r="H252" s="2">
        <v>72</v>
      </c>
      <c r="I252" s="2">
        <v>30</v>
      </c>
      <c r="J252" s="2">
        <v>0</v>
      </c>
      <c r="K252" s="2">
        <v>3</v>
      </c>
      <c r="L252" s="2">
        <v>248.16</v>
      </c>
      <c r="M252" s="2">
        <v>271.59000000000003</v>
      </c>
      <c r="N252" s="244">
        <v>0.74071799999999999</v>
      </c>
      <c r="O252" s="2" t="s">
        <v>934</v>
      </c>
      <c r="P252" s="2">
        <v>100</v>
      </c>
      <c r="Q252" s="2" t="s">
        <v>55</v>
      </c>
      <c r="R252" s="2" t="s">
        <v>95</v>
      </c>
      <c r="S252" s="2"/>
      <c r="T252" s="2">
        <v>5</v>
      </c>
      <c r="U252" s="398">
        <v>3960</v>
      </c>
      <c r="V252" s="7">
        <v>3845.0470392916432</v>
      </c>
      <c r="W252" s="7" t="s">
        <v>660</v>
      </c>
    </row>
    <row r="253" spans="1:23" x14ac:dyDescent="0.35">
      <c r="A253" s="2">
        <v>35</v>
      </c>
      <c r="B253" s="109" t="s">
        <v>97</v>
      </c>
      <c r="C253" s="110" t="s">
        <v>98</v>
      </c>
      <c r="D253" s="2">
        <v>1200</v>
      </c>
      <c r="E253" s="51">
        <v>5.3403431101272822</v>
      </c>
      <c r="F253" s="105"/>
      <c r="H253" s="2">
        <v>120</v>
      </c>
      <c r="I253" s="2">
        <v>50</v>
      </c>
      <c r="J253" s="2">
        <v>0</v>
      </c>
      <c r="K253" s="2">
        <v>5</v>
      </c>
      <c r="L253" s="2">
        <v>413.59999999999997</v>
      </c>
      <c r="M253" s="2">
        <v>452.65000000000003</v>
      </c>
      <c r="N253" s="244">
        <v>1.2345299999999999</v>
      </c>
      <c r="O253" s="2" t="s">
        <v>934</v>
      </c>
      <c r="P253" s="2">
        <v>100</v>
      </c>
      <c r="Q253" s="2" t="s">
        <v>55</v>
      </c>
      <c r="R253" s="2" t="s">
        <v>97</v>
      </c>
      <c r="S253" s="2"/>
      <c r="T253" s="2">
        <v>5</v>
      </c>
      <c r="U253" s="398">
        <v>6600</v>
      </c>
      <c r="V253" s="7">
        <v>6408.4117321527383</v>
      </c>
      <c r="W253" s="7" t="s">
        <v>660</v>
      </c>
    </row>
    <row r="254" spans="1:23" x14ac:dyDescent="0.35">
      <c r="A254" s="2">
        <v>35</v>
      </c>
      <c r="B254" s="109" t="s">
        <v>99</v>
      </c>
      <c r="C254" s="110" t="s">
        <v>100</v>
      </c>
      <c r="D254" s="2">
        <v>600</v>
      </c>
      <c r="E254" s="51">
        <v>5.3403431101272822</v>
      </c>
      <c r="F254" s="105"/>
      <c r="H254" s="2">
        <v>60</v>
      </c>
      <c r="I254" s="2">
        <v>25</v>
      </c>
      <c r="J254" s="2">
        <v>0</v>
      </c>
      <c r="K254" s="2">
        <v>3</v>
      </c>
      <c r="L254" s="2">
        <v>188.92500000000001</v>
      </c>
      <c r="M254" s="2">
        <v>207.89999999999998</v>
      </c>
      <c r="N254" s="244">
        <v>0.69176249999999995</v>
      </c>
      <c r="O254" s="2" t="s">
        <v>934</v>
      </c>
      <c r="P254" s="2">
        <v>100</v>
      </c>
      <c r="Q254" s="2" t="s">
        <v>55</v>
      </c>
      <c r="R254" s="2" t="s">
        <v>99</v>
      </c>
      <c r="S254" s="2"/>
      <c r="T254" s="2">
        <v>5</v>
      </c>
      <c r="U254" s="398">
        <v>3300</v>
      </c>
      <c r="V254" s="7">
        <v>3204.2058660763691</v>
      </c>
      <c r="W254" s="7" t="s">
        <v>660</v>
      </c>
    </row>
    <row r="255" spans="1:23" x14ac:dyDescent="0.35">
      <c r="A255" s="2">
        <v>35</v>
      </c>
      <c r="B255" s="109" t="s">
        <v>101</v>
      </c>
      <c r="C255" s="110" t="s">
        <v>102</v>
      </c>
      <c r="D255" s="2">
        <v>720</v>
      </c>
      <c r="E255" s="51">
        <v>5.3403431101272822</v>
      </c>
      <c r="F255" s="105"/>
      <c r="H255" s="2">
        <v>72</v>
      </c>
      <c r="I255" s="2">
        <v>30</v>
      </c>
      <c r="J255" s="2">
        <v>0</v>
      </c>
      <c r="K255" s="2">
        <v>3</v>
      </c>
      <c r="L255" s="2">
        <v>226.71</v>
      </c>
      <c r="M255" s="2">
        <v>249.48</v>
      </c>
      <c r="N255" s="244">
        <v>0.83011500000000005</v>
      </c>
      <c r="O255" s="2" t="s">
        <v>934</v>
      </c>
      <c r="P255" s="2">
        <v>100</v>
      </c>
      <c r="Q255" s="2" t="s">
        <v>55</v>
      </c>
      <c r="R255" s="2" t="s">
        <v>101</v>
      </c>
      <c r="S255" s="2"/>
      <c r="T255" s="2">
        <v>5</v>
      </c>
      <c r="U255" s="398">
        <v>3960</v>
      </c>
      <c r="V255" s="7">
        <v>3845.0470392916432</v>
      </c>
      <c r="W255" s="7" t="s">
        <v>660</v>
      </c>
    </row>
    <row r="256" spans="1:23" x14ac:dyDescent="0.35">
      <c r="A256" s="2">
        <v>35</v>
      </c>
      <c r="B256" s="109" t="s">
        <v>103</v>
      </c>
      <c r="C256" s="110" t="s">
        <v>104</v>
      </c>
      <c r="D256" s="2">
        <v>600</v>
      </c>
      <c r="E256" s="51">
        <v>5.3403431101272822</v>
      </c>
      <c r="F256" s="105"/>
      <c r="H256" s="2">
        <v>60</v>
      </c>
      <c r="I256" s="2">
        <v>25</v>
      </c>
      <c r="J256" s="2">
        <v>0</v>
      </c>
      <c r="K256" s="2">
        <v>3</v>
      </c>
      <c r="L256" s="2">
        <v>188.92500000000001</v>
      </c>
      <c r="M256" s="2">
        <v>207.89999999999998</v>
      </c>
      <c r="N256" s="244">
        <v>0.69176249999999995</v>
      </c>
      <c r="O256" s="2" t="s">
        <v>934</v>
      </c>
      <c r="P256" s="2">
        <v>100</v>
      </c>
      <c r="Q256" s="2" t="s">
        <v>55</v>
      </c>
      <c r="R256" s="2" t="s">
        <v>103</v>
      </c>
      <c r="S256" s="2"/>
      <c r="T256" s="2">
        <v>5</v>
      </c>
      <c r="U256" s="398">
        <v>3300</v>
      </c>
      <c r="V256" s="7">
        <v>3204.2058660763691</v>
      </c>
      <c r="W256" s="7" t="s">
        <v>660</v>
      </c>
    </row>
    <row r="257" spans="1:23" x14ac:dyDescent="0.35">
      <c r="A257" s="2">
        <v>35</v>
      </c>
      <c r="B257" s="109" t="s">
        <v>105</v>
      </c>
      <c r="C257" s="110" t="s">
        <v>106</v>
      </c>
      <c r="D257" s="2">
        <v>720</v>
      </c>
      <c r="E257" s="51">
        <v>5.3403431101272822</v>
      </c>
      <c r="F257" s="105"/>
      <c r="H257" s="2">
        <v>72</v>
      </c>
      <c r="I257" s="2">
        <v>30</v>
      </c>
      <c r="J257" s="2">
        <v>0</v>
      </c>
      <c r="K257" s="2">
        <v>3</v>
      </c>
      <c r="L257" s="2">
        <v>226.71</v>
      </c>
      <c r="M257" s="2">
        <v>249.48</v>
      </c>
      <c r="N257" s="244">
        <v>0.83011500000000005</v>
      </c>
      <c r="O257" s="2" t="s">
        <v>934</v>
      </c>
      <c r="P257" s="2">
        <v>100</v>
      </c>
      <c r="Q257" s="2" t="s">
        <v>55</v>
      </c>
      <c r="R257" s="2" t="s">
        <v>105</v>
      </c>
      <c r="S257" s="2"/>
      <c r="T257" s="2">
        <v>5</v>
      </c>
      <c r="U257" s="398">
        <v>3960</v>
      </c>
      <c r="V257" s="7">
        <v>3845.0470392916432</v>
      </c>
      <c r="W257" s="7" t="s">
        <v>660</v>
      </c>
    </row>
    <row r="258" spans="1:23" x14ac:dyDescent="0.35">
      <c r="A258" s="2">
        <v>37</v>
      </c>
      <c r="B258" s="109" t="s">
        <v>91</v>
      </c>
      <c r="C258" s="110" t="s">
        <v>92</v>
      </c>
      <c r="D258" s="2">
        <v>700</v>
      </c>
      <c r="E258" s="51">
        <v>5.2533300000000001</v>
      </c>
      <c r="F258" s="105"/>
      <c r="H258" s="2"/>
      <c r="I258" s="2">
        <v>30</v>
      </c>
      <c r="J258" s="2">
        <v>0</v>
      </c>
      <c r="K258" s="2">
        <v>0</v>
      </c>
      <c r="L258" s="2">
        <v>219.33333333333334</v>
      </c>
      <c r="M258" s="2">
        <v>240.04166666666669</v>
      </c>
      <c r="N258" s="244">
        <v>0.65467500000000012</v>
      </c>
      <c r="O258" s="2" t="s">
        <v>934</v>
      </c>
      <c r="P258" s="2">
        <v>100</v>
      </c>
      <c r="Q258" s="2" t="s">
        <v>55</v>
      </c>
      <c r="R258" s="2" t="s">
        <v>91</v>
      </c>
      <c r="S258" s="2"/>
      <c r="T258" s="2">
        <v>5</v>
      </c>
      <c r="U258" s="398">
        <v>3500</v>
      </c>
      <c r="V258" s="7">
        <v>3677.3310000000001</v>
      </c>
      <c r="W258" s="7" t="s">
        <v>660</v>
      </c>
    </row>
    <row r="259" spans="1:23" x14ac:dyDescent="0.35">
      <c r="A259" s="2">
        <v>37</v>
      </c>
      <c r="B259" s="109" t="s">
        <v>93</v>
      </c>
      <c r="C259" s="110" t="s">
        <v>94</v>
      </c>
      <c r="D259" s="2">
        <v>750</v>
      </c>
      <c r="E259" s="51">
        <v>5.2533300000000001</v>
      </c>
      <c r="F259" s="105"/>
      <c r="H259" s="2"/>
      <c r="I259" s="2">
        <v>32</v>
      </c>
      <c r="J259" s="2">
        <v>0</v>
      </c>
      <c r="K259" s="2">
        <v>0</v>
      </c>
      <c r="L259" s="2">
        <v>235</v>
      </c>
      <c r="M259" s="2">
        <v>257.1875</v>
      </c>
      <c r="N259" s="244">
        <v>0.70143750000000005</v>
      </c>
      <c r="O259" s="2" t="s">
        <v>934</v>
      </c>
      <c r="P259" s="2">
        <v>100</v>
      </c>
      <c r="Q259" s="2" t="s">
        <v>55</v>
      </c>
      <c r="R259" s="2" t="s">
        <v>93</v>
      </c>
      <c r="S259" s="2"/>
      <c r="T259" s="2">
        <v>5</v>
      </c>
      <c r="U259" s="398">
        <v>3750</v>
      </c>
      <c r="V259" s="7">
        <v>3939.9974999999999</v>
      </c>
      <c r="W259" s="7" t="s">
        <v>660</v>
      </c>
    </row>
    <row r="260" spans="1:23" x14ac:dyDescent="0.35">
      <c r="A260" s="2">
        <v>37</v>
      </c>
      <c r="B260" s="109" t="s">
        <v>97</v>
      </c>
      <c r="C260" s="110" t="s">
        <v>98</v>
      </c>
      <c r="D260" s="2">
        <v>300</v>
      </c>
      <c r="E260" s="51">
        <v>5.2533300000000001</v>
      </c>
      <c r="F260" s="105"/>
      <c r="H260" s="2"/>
      <c r="I260" s="2">
        <v>13</v>
      </c>
      <c r="J260" s="2">
        <v>0</v>
      </c>
      <c r="K260" s="2">
        <v>0</v>
      </c>
      <c r="L260" s="2">
        <v>94</v>
      </c>
      <c r="M260" s="2">
        <v>102.875</v>
      </c>
      <c r="N260" s="244">
        <v>0.28057500000000002</v>
      </c>
      <c r="O260" s="2" t="s">
        <v>934</v>
      </c>
      <c r="P260" s="2">
        <v>100</v>
      </c>
      <c r="Q260" s="2" t="s">
        <v>55</v>
      </c>
      <c r="R260" s="2" t="s">
        <v>97</v>
      </c>
      <c r="S260" s="2"/>
      <c r="T260" s="2">
        <v>5</v>
      </c>
      <c r="U260" s="398">
        <v>1500</v>
      </c>
      <c r="V260" s="7">
        <v>1575.999</v>
      </c>
      <c r="W260" s="7" t="s">
        <v>660</v>
      </c>
    </row>
    <row r="261" spans="1:23" x14ac:dyDescent="0.35">
      <c r="A261" s="2">
        <v>38</v>
      </c>
      <c r="B261" s="109" t="s">
        <v>766</v>
      </c>
      <c r="C261" s="110" t="s">
        <v>804</v>
      </c>
      <c r="D261" s="2">
        <v>30</v>
      </c>
      <c r="E261" s="51">
        <v>13.11</v>
      </c>
      <c r="F261" s="105"/>
      <c r="H261" s="2"/>
      <c r="I261" s="2" t="s">
        <v>861</v>
      </c>
      <c r="J261" s="2" t="s">
        <v>861</v>
      </c>
      <c r="K261" s="2" t="s">
        <v>861</v>
      </c>
      <c r="L261" s="2" t="s">
        <v>861</v>
      </c>
      <c r="M261" s="2" t="s">
        <v>861</v>
      </c>
      <c r="N261" s="244" t="s">
        <v>861</v>
      </c>
      <c r="O261" s="2" t="s">
        <v>870</v>
      </c>
      <c r="P261" s="2">
        <v>0</v>
      </c>
      <c r="Q261" s="2">
        <v>0</v>
      </c>
      <c r="R261" s="2" t="s">
        <v>766</v>
      </c>
      <c r="S261" s="2"/>
      <c r="T261" s="2"/>
      <c r="U261" s="398" t="s">
        <v>861</v>
      </c>
      <c r="V261" s="7">
        <v>393.29999999999995</v>
      </c>
      <c r="W261" s="7" t="s">
        <v>660</v>
      </c>
    </row>
    <row r="262" spans="1:23" x14ac:dyDescent="0.35">
      <c r="A262" s="2">
        <v>38</v>
      </c>
      <c r="B262" s="109" t="s">
        <v>767</v>
      </c>
      <c r="C262" s="110" t="s">
        <v>805</v>
      </c>
      <c r="D262" s="2">
        <v>30</v>
      </c>
      <c r="E262" s="51">
        <v>13.11</v>
      </c>
      <c r="F262" s="105"/>
      <c r="H262" s="2"/>
      <c r="I262" s="2" t="s">
        <v>861</v>
      </c>
      <c r="J262" s="2" t="s">
        <v>861</v>
      </c>
      <c r="K262" s="2" t="s">
        <v>861</v>
      </c>
      <c r="L262" s="2" t="s">
        <v>861</v>
      </c>
      <c r="M262" s="2" t="s">
        <v>861</v>
      </c>
      <c r="N262" s="244" t="s">
        <v>861</v>
      </c>
      <c r="O262" s="2" t="s">
        <v>870</v>
      </c>
      <c r="P262" s="2">
        <v>0</v>
      </c>
      <c r="Q262" s="2">
        <v>0</v>
      </c>
      <c r="R262" s="2" t="s">
        <v>767</v>
      </c>
      <c r="S262" s="2"/>
      <c r="T262" s="2"/>
      <c r="U262" s="398" t="s">
        <v>861</v>
      </c>
      <c r="V262" s="7">
        <v>393.29999999999995</v>
      </c>
      <c r="W262" s="7" t="s">
        <v>660</v>
      </c>
    </row>
    <row r="263" spans="1:23" x14ac:dyDescent="0.35">
      <c r="A263" s="2">
        <v>38</v>
      </c>
      <c r="B263" s="109" t="s">
        <v>768</v>
      </c>
      <c r="C263" s="110" t="s">
        <v>806</v>
      </c>
      <c r="D263" s="2">
        <v>30</v>
      </c>
      <c r="E263" s="51">
        <v>13.11</v>
      </c>
      <c r="F263" s="105"/>
      <c r="H263" s="2"/>
      <c r="I263" s="2" t="s">
        <v>861</v>
      </c>
      <c r="J263" s="2" t="s">
        <v>861</v>
      </c>
      <c r="K263" s="2" t="s">
        <v>861</v>
      </c>
      <c r="L263" s="2" t="s">
        <v>861</v>
      </c>
      <c r="M263" s="2" t="s">
        <v>861</v>
      </c>
      <c r="N263" s="244" t="s">
        <v>861</v>
      </c>
      <c r="O263" s="2" t="s">
        <v>870</v>
      </c>
      <c r="P263" s="2">
        <v>0</v>
      </c>
      <c r="Q263" s="2">
        <v>0</v>
      </c>
      <c r="R263" s="2" t="s">
        <v>768</v>
      </c>
      <c r="S263" s="2"/>
      <c r="T263" s="2"/>
      <c r="U263" s="398" t="s">
        <v>861</v>
      </c>
      <c r="V263" s="7">
        <v>393.29999999999995</v>
      </c>
      <c r="W263" s="7" t="s">
        <v>660</v>
      </c>
    </row>
    <row r="264" spans="1:23" x14ac:dyDescent="0.35">
      <c r="A264" s="2">
        <v>38</v>
      </c>
      <c r="B264" s="109" t="s">
        <v>770</v>
      </c>
      <c r="C264" s="110" t="s">
        <v>808</v>
      </c>
      <c r="D264" s="2">
        <v>30</v>
      </c>
      <c r="E264" s="51">
        <v>13.11</v>
      </c>
      <c r="F264" s="105"/>
      <c r="H264" s="2"/>
      <c r="I264" s="2" t="s">
        <v>861</v>
      </c>
      <c r="J264" s="2" t="s">
        <v>861</v>
      </c>
      <c r="K264" s="2" t="s">
        <v>861</v>
      </c>
      <c r="L264" s="2" t="s">
        <v>861</v>
      </c>
      <c r="M264" s="2" t="s">
        <v>861</v>
      </c>
      <c r="N264" s="244" t="s">
        <v>861</v>
      </c>
      <c r="O264" s="2" t="s">
        <v>870</v>
      </c>
      <c r="P264" s="2">
        <v>0</v>
      </c>
      <c r="Q264" s="2">
        <v>0</v>
      </c>
      <c r="R264" s="2" t="s">
        <v>770</v>
      </c>
      <c r="S264" s="2"/>
      <c r="T264" s="2"/>
      <c r="U264" s="398" t="s">
        <v>861</v>
      </c>
      <c r="V264" s="7">
        <v>393.29999999999995</v>
      </c>
      <c r="W264" s="7" t="s">
        <v>660</v>
      </c>
    </row>
    <row r="265" spans="1:23" x14ac:dyDescent="0.35">
      <c r="A265" s="2">
        <v>38</v>
      </c>
      <c r="B265" s="109" t="s">
        <v>772</v>
      </c>
      <c r="C265" s="110" t="s">
        <v>810</v>
      </c>
      <c r="D265" s="2">
        <v>30</v>
      </c>
      <c r="E265" s="51">
        <v>13.11</v>
      </c>
      <c r="F265" s="105"/>
      <c r="H265" s="2"/>
      <c r="I265" s="2" t="s">
        <v>861</v>
      </c>
      <c r="J265" s="2" t="s">
        <v>861</v>
      </c>
      <c r="K265" s="2" t="s">
        <v>861</v>
      </c>
      <c r="L265" s="2" t="s">
        <v>861</v>
      </c>
      <c r="M265" s="2" t="s">
        <v>861</v>
      </c>
      <c r="N265" s="244" t="s">
        <v>861</v>
      </c>
      <c r="O265" s="2" t="s">
        <v>870</v>
      </c>
      <c r="P265" s="2">
        <v>0</v>
      </c>
      <c r="Q265" s="2">
        <v>0</v>
      </c>
      <c r="R265" s="2" t="s">
        <v>772</v>
      </c>
      <c r="S265" s="2"/>
      <c r="T265" s="2"/>
      <c r="U265" s="398" t="s">
        <v>861</v>
      </c>
      <c r="V265" s="7">
        <v>393.29999999999995</v>
      </c>
      <c r="W265" s="7" t="s">
        <v>660</v>
      </c>
    </row>
    <row r="266" spans="1:23" x14ac:dyDescent="0.35">
      <c r="A266" s="2">
        <v>38</v>
      </c>
      <c r="B266" s="109" t="s">
        <v>773</v>
      </c>
      <c r="C266" s="110" t="s">
        <v>811</v>
      </c>
      <c r="D266" s="2">
        <v>30</v>
      </c>
      <c r="E266" s="51">
        <v>13.11</v>
      </c>
      <c r="F266" s="105"/>
      <c r="H266" s="2"/>
      <c r="I266" s="2" t="s">
        <v>861</v>
      </c>
      <c r="J266" s="2" t="s">
        <v>861</v>
      </c>
      <c r="K266" s="2" t="s">
        <v>861</v>
      </c>
      <c r="L266" s="2" t="s">
        <v>861</v>
      </c>
      <c r="M266" s="2" t="s">
        <v>861</v>
      </c>
      <c r="N266" s="244" t="s">
        <v>861</v>
      </c>
      <c r="O266" s="2" t="s">
        <v>870</v>
      </c>
      <c r="P266" s="2">
        <v>0</v>
      </c>
      <c r="Q266" s="2">
        <v>0</v>
      </c>
      <c r="R266" s="2" t="s">
        <v>773</v>
      </c>
      <c r="S266" s="2"/>
      <c r="T266" s="2"/>
      <c r="U266" s="398" t="s">
        <v>861</v>
      </c>
      <c r="V266" s="7">
        <v>393.29999999999995</v>
      </c>
      <c r="W266" s="7" t="s">
        <v>660</v>
      </c>
    </row>
    <row r="267" spans="1:23" x14ac:dyDescent="0.35">
      <c r="A267" s="2">
        <v>38</v>
      </c>
      <c r="B267" s="109" t="s">
        <v>774</v>
      </c>
      <c r="C267" s="110" t="s">
        <v>812</v>
      </c>
      <c r="D267" s="2">
        <v>30</v>
      </c>
      <c r="E267" s="51">
        <v>13.11</v>
      </c>
      <c r="F267" s="105"/>
      <c r="H267" s="2"/>
      <c r="I267" s="2" t="s">
        <v>861</v>
      </c>
      <c r="J267" s="2" t="s">
        <v>861</v>
      </c>
      <c r="K267" s="2" t="s">
        <v>861</v>
      </c>
      <c r="L267" s="2" t="s">
        <v>861</v>
      </c>
      <c r="M267" s="2" t="s">
        <v>861</v>
      </c>
      <c r="N267" s="244" t="s">
        <v>861</v>
      </c>
      <c r="O267" s="2" t="s">
        <v>870</v>
      </c>
      <c r="P267" s="2">
        <v>0</v>
      </c>
      <c r="Q267" s="2">
        <v>0</v>
      </c>
      <c r="R267" s="2" t="s">
        <v>774</v>
      </c>
      <c r="S267" s="2"/>
      <c r="T267" s="2"/>
      <c r="U267" s="398" t="s">
        <v>861</v>
      </c>
      <c r="V267" s="7">
        <v>393.29999999999995</v>
      </c>
      <c r="W267" s="7" t="s">
        <v>660</v>
      </c>
    </row>
    <row r="268" spans="1:23" x14ac:dyDescent="0.35">
      <c r="A268" s="2">
        <v>38</v>
      </c>
      <c r="B268" s="109" t="s">
        <v>777</v>
      </c>
      <c r="C268" s="110" t="s">
        <v>815</v>
      </c>
      <c r="D268" s="2">
        <v>30</v>
      </c>
      <c r="E268" s="51">
        <v>13.11</v>
      </c>
      <c r="F268" s="105"/>
      <c r="H268" s="2"/>
      <c r="I268" s="2" t="s">
        <v>861</v>
      </c>
      <c r="J268" s="2" t="s">
        <v>861</v>
      </c>
      <c r="K268" s="2" t="s">
        <v>861</v>
      </c>
      <c r="L268" s="2" t="s">
        <v>861</v>
      </c>
      <c r="M268" s="2" t="s">
        <v>861</v>
      </c>
      <c r="N268" s="244" t="s">
        <v>861</v>
      </c>
      <c r="O268" s="2" t="s">
        <v>870</v>
      </c>
      <c r="P268" s="2">
        <v>0</v>
      </c>
      <c r="Q268" s="2">
        <v>0</v>
      </c>
      <c r="R268" s="2" t="s">
        <v>777</v>
      </c>
      <c r="S268" s="2"/>
      <c r="T268" s="2"/>
      <c r="U268" s="398" t="s">
        <v>861</v>
      </c>
      <c r="V268" s="7">
        <v>393.29999999999995</v>
      </c>
      <c r="W268" s="7" t="s">
        <v>660</v>
      </c>
    </row>
    <row r="269" spans="1:23" x14ac:dyDescent="0.35">
      <c r="A269" s="2">
        <v>38</v>
      </c>
      <c r="B269" s="109" t="s">
        <v>778</v>
      </c>
      <c r="C269" s="110" t="s">
        <v>816</v>
      </c>
      <c r="D269" s="2">
        <v>30</v>
      </c>
      <c r="E269" s="51">
        <v>13.11</v>
      </c>
      <c r="F269" s="105"/>
      <c r="H269" s="2"/>
      <c r="I269" s="2" t="s">
        <v>861</v>
      </c>
      <c r="J269" s="2" t="s">
        <v>861</v>
      </c>
      <c r="K269" s="2" t="s">
        <v>861</v>
      </c>
      <c r="L269" s="2" t="s">
        <v>861</v>
      </c>
      <c r="M269" s="2" t="s">
        <v>861</v>
      </c>
      <c r="N269" s="244" t="s">
        <v>861</v>
      </c>
      <c r="O269" s="2" t="s">
        <v>870</v>
      </c>
      <c r="P269" s="2">
        <v>0</v>
      </c>
      <c r="Q269" s="2">
        <v>0</v>
      </c>
      <c r="R269" s="2" t="s">
        <v>778</v>
      </c>
      <c r="S269" s="2"/>
      <c r="T269" s="2"/>
      <c r="U269" s="398" t="s">
        <v>861</v>
      </c>
      <c r="V269" s="7">
        <v>393.29999999999995</v>
      </c>
      <c r="W269" s="7" t="s">
        <v>660</v>
      </c>
    </row>
    <row r="270" spans="1:23" x14ac:dyDescent="0.35">
      <c r="A270" s="2">
        <v>38</v>
      </c>
      <c r="B270" s="109" t="s">
        <v>779</v>
      </c>
      <c r="C270" s="110" t="s">
        <v>817</v>
      </c>
      <c r="D270" s="2">
        <v>30</v>
      </c>
      <c r="E270" s="51">
        <v>13.11</v>
      </c>
      <c r="F270" s="105"/>
      <c r="H270" s="2"/>
      <c r="I270" s="2" t="s">
        <v>861</v>
      </c>
      <c r="J270" s="2" t="s">
        <v>861</v>
      </c>
      <c r="K270" s="2" t="s">
        <v>861</v>
      </c>
      <c r="L270" s="2" t="s">
        <v>861</v>
      </c>
      <c r="M270" s="2" t="s">
        <v>861</v>
      </c>
      <c r="N270" s="244" t="s">
        <v>861</v>
      </c>
      <c r="O270" s="2" t="s">
        <v>870</v>
      </c>
      <c r="P270" s="2">
        <v>0</v>
      </c>
      <c r="Q270" s="2">
        <v>0</v>
      </c>
      <c r="R270" s="2" t="s">
        <v>779</v>
      </c>
      <c r="S270" s="2"/>
      <c r="T270" s="2"/>
      <c r="U270" s="398" t="s">
        <v>861</v>
      </c>
      <c r="V270" s="7">
        <v>393.29999999999995</v>
      </c>
      <c r="W270" s="7" t="s">
        <v>660</v>
      </c>
    </row>
    <row r="271" spans="1:23" x14ac:dyDescent="0.35">
      <c r="A271" s="2">
        <v>38</v>
      </c>
      <c r="B271" s="109" t="s">
        <v>780</v>
      </c>
      <c r="C271" s="110" t="s">
        <v>818</v>
      </c>
      <c r="D271" s="2">
        <v>30</v>
      </c>
      <c r="E271" s="51">
        <v>13.11</v>
      </c>
      <c r="F271" s="105"/>
      <c r="H271" s="2"/>
      <c r="I271" s="2" t="s">
        <v>861</v>
      </c>
      <c r="J271" s="2" t="s">
        <v>861</v>
      </c>
      <c r="K271" s="2" t="s">
        <v>861</v>
      </c>
      <c r="L271" s="2" t="s">
        <v>861</v>
      </c>
      <c r="M271" s="2" t="s">
        <v>861</v>
      </c>
      <c r="N271" s="244" t="s">
        <v>861</v>
      </c>
      <c r="O271" s="2" t="s">
        <v>870</v>
      </c>
      <c r="P271" s="2">
        <v>0</v>
      </c>
      <c r="Q271" s="2">
        <v>0</v>
      </c>
      <c r="R271" s="2" t="s">
        <v>780</v>
      </c>
      <c r="S271" s="2"/>
      <c r="T271" s="2"/>
      <c r="U271" s="398" t="s">
        <v>861</v>
      </c>
      <c r="V271" s="7">
        <v>393.29999999999995</v>
      </c>
      <c r="W271" s="7" t="s">
        <v>660</v>
      </c>
    </row>
    <row r="272" spans="1:23" x14ac:dyDescent="0.35">
      <c r="A272" s="2">
        <v>38</v>
      </c>
      <c r="B272" s="109" t="s">
        <v>787</v>
      </c>
      <c r="C272" s="110" t="s">
        <v>825</v>
      </c>
      <c r="D272" s="2">
        <v>30</v>
      </c>
      <c r="E272" s="51">
        <v>13.11</v>
      </c>
      <c r="F272" s="105"/>
      <c r="H272" s="2"/>
      <c r="I272" s="2" t="s">
        <v>861</v>
      </c>
      <c r="J272" s="2" t="s">
        <v>861</v>
      </c>
      <c r="K272" s="2" t="s">
        <v>861</v>
      </c>
      <c r="L272" s="2" t="s">
        <v>861</v>
      </c>
      <c r="M272" s="2" t="s">
        <v>861</v>
      </c>
      <c r="N272" s="244" t="s">
        <v>861</v>
      </c>
      <c r="O272" s="2" t="s">
        <v>870</v>
      </c>
      <c r="P272" s="2">
        <v>0</v>
      </c>
      <c r="Q272" s="2">
        <v>0</v>
      </c>
      <c r="R272" s="2" t="s">
        <v>787</v>
      </c>
      <c r="S272" s="2"/>
      <c r="T272" s="2"/>
      <c r="U272" s="398" t="s">
        <v>861</v>
      </c>
      <c r="V272" s="7">
        <v>393.29999999999995</v>
      </c>
      <c r="W272" s="7" t="s">
        <v>660</v>
      </c>
    </row>
    <row r="273" spans="1:23" x14ac:dyDescent="0.35">
      <c r="A273" s="2">
        <v>38</v>
      </c>
      <c r="B273" s="109" t="s">
        <v>788</v>
      </c>
      <c r="C273" s="110" t="s">
        <v>826</v>
      </c>
      <c r="D273" s="2">
        <v>30</v>
      </c>
      <c r="E273" s="51">
        <v>13.11</v>
      </c>
      <c r="F273" s="105"/>
      <c r="H273" s="2"/>
      <c r="I273" s="2" t="s">
        <v>861</v>
      </c>
      <c r="J273" s="2" t="s">
        <v>861</v>
      </c>
      <c r="K273" s="2" t="s">
        <v>861</v>
      </c>
      <c r="L273" s="2" t="s">
        <v>861</v>
      </c>
      <c r="M273" s="2" t="s">
        <v>861</v>
      </c>
      <c r="N273" s="244" t="s">
        <v>861</v>
      </c>
      <c r="O273" s="2" t="s">
        <v>870</v>
      </c>
      <c r="P273" s="2">
        <v>0</v>
      </c>
      <c r="Q273" s="2">
        <v>0</v>
      </c>
      <c r="R273" s="2" t="s">
        <v>788</v>
      </c>
      <c r="S273" s="2"/>
      <c r="T273" s="2"/>
      <c r="U273" s="398" t="s">
        <v>861</v>
      </c>
      <c r="V273" s="7">
        <v>393.29999999999995</v>
      </c>
      <c r="W273" s="7" t="s">
        <v>660</v>
      </c>
    </row>
    <row r="274" spans="1:23" x14ac:dyDescent="0.35">
      <c r="A274" s="2">
        <v>38</v>
      </c>
      <c r="B274" s="109" t="s">
        <v>789</v>
      </c>
      <c r="C274" s="110" t="s">
        <v>827</v>
      </c>
      <c r="D274" s="2">
        <v>30</v>
      </c>
      <c r="E274" s="51">
        <v>13.11</v>
      </c>
      <c r="F274" s="105"/>
      <c r="H274" s="2"/>
      <c r="I274" s="2" t="s">
        <v>861</v>
      </c>
      <c r="J274" s="2" t="s">
        <v>861</v>
      </c>
      <c r="K274" s="2" t="s">
        <v>861</v>
      </c>
      <c r="L274" s="2" t="s">
        <v>861</v>
      </c>
      <c r="M274" s="2" t="s">
        <v>861</v>
      </c>
      <c r="N274" s="244" t="s">
        <v>861</v>
      </c>
      <c r="O274" s="2" t="s">
        <v>870</v>
      </c>
      <c r="P274" s="2">
        <v>0</v>
      </c>
      <c r="Q274" s="2">
        <v>0</v>
      </c>
      <c r="R274" s="2" t="s">
        <v>789</v>
      </c>
      <c r="S274" s="2"/>
      <c r="T274" s="2"/>
      <c r="U274" s="398" t="s">
        <v>861</v>
      </c>
      <c r="V274" s="7">
        <v>393.29999999999995</v>
      </c>
      <c r="W274" s="7" t="s">
        <v>660</v>
      </c>
    </row>
    <row r="275" spans="1:23" x14ac:dyDescent="0.35">
      <c r="A275" s="2">
        <v>38</v>
      </c>
      <c r="B275" s="109" t="s">
        <v>790</v>
      </c>
      <c r="C275" s="110" t="s">
        <v>828</v>
      </c>
      <c r="D275" s="2">
        <v>30</v>
      </c>
      <c r="E275" s="51">
        <v>13.11</v>
      </c>
      <c r="F275" s="105"/>
      <c r="H275" s="2"/>
      <c r="I275" s="2" t="s">
        <v>861</v>
      </c>
      <c r="J275" s="2" t="s">
        <v>861</v>
      </c>
      <c r="K275" s="2" t="s">
        <v>861</v>
      </c>
      <c r="L275" s="2" t="s">
        <v>861</v>
      </c>
      <c r="M275" s="2" t="s">
        <v>861</v>
      </c>
      <c r="N275" s="244" t="s">
        <v>861</v>
      </c>
      <c r="O275" s="2" t="s">
        <v>870</v>
      </c>
      <c r="P275" s="2">
        <v>0</v>
      </c>
      <c r="Q275" s="2">
        <v>0</v>
      </c>
      <c r="R275" s="2" t="s">
        <v>790</v>
      </c>
      <c r="S275" s="2"/>
      <c r="T275" s="2"/>
      <c r="U275" s="398" t="s">
        <v>861</v>
      </c>
      <c r="V275" s="7">
        <v>393.29999999999995</v>
      </c>
      <c r="W275" s="7" t="s">
        <v>660</v>
      </c>
    </row>
    <row r="276" spans="1:23" x14ac:dyDescent="0.35">
      <c r="A276" s="2">
        <v>38</v>
      </c>
      <c r="B276" s="109" t="s">
        <v>791</v>
      </c>
      <c r="C276" s="110" t="s">
        <v>829</v>
      </c>
      <c r="D276" s="2">
        <v>30</v>
      </c>
      <c r="E276" s="51">
        <v>13.11</v>
      </c>
      <c r="F276" s="105"/>
      <c r="H276" s="2"/>
      <c r="I276" s="2" t="s">
        <v>861</v>
      </c>
      <c r="J276" s="2" t="s">
        <v>861</v>
      </c>
      <c r="K276" s="2" t="s">
        <v>861</v>
      </c>
      <c r="L276" s="2" t="s">
        <v>861</v>
      </c>
      <c r="M276" s="2" t="s">
        <v>861</v>
      </c>
      <c r="N276" s="244" t="s">
        <v>861</v>
      </c>
      <c r="O276" s="2" t="s">
        <v>870</v>
      </c>
      <c r="P276" s="2">
        <v>0</v>
      </c>
      <c r="Q276" s="2">
        <v>0</v>
      </c>
      <c r="R276" s="2" t="s">
        <v>791</v>
      </c>
      <c r="S276" s="2"/>
      <c r="T276" s="2"/>
      <c r="U276" s="398" t="s">
        <v>861</v>
      </c>
      <c r="V276" s="7">
        <v>393.29999999999995</v>
      </c>
      <c r="W276" s="7" t="s">
        <v>660</v>
      </c>
    </row>
    <row r="277" spans="1:23" x14ac:dyDescent="0.35">
      <c r="A277" s="2">
        <v>38</v>
      </c>
      <c r="B277" s="109" t="s">
        <v>792</v>
      </c>
      <c r="C277" s="110" t="s">
        <v>830</v>
      </c>
      <c r="D277" s="2">
        <v>30</v>
      </c>
      <c r="E277" s="51">
        <v>13.11</v>
      </c>
      <c r="F277" s="105"/>
      <c r="H277" s="2"/>
      <c r="I277" s="2" t="s">
        <v>861</v>
      </c>
      <c r="J277" s="2" t="s">
        <v>861</v>
      </c>
      <c r="K277" s="2" t="s">
        <v>861</v>
      </c>
      <c r="L277" s="2" t="s">
        <v>861</v>
      </c>
      <c r="M277" s="2" t="s">
        <v>861</v>
      </c>
      <c r="N277" s="244" t="s">
        <v>861</v>
      </c>
      <c r="O277" s="2" t="s">
        <v>870</v>
      </c>
      <c r="P277" s="2">
        <v>0</v>
      </c>
      <c r="Q277" s="2">
        <v>0</v>
      </c>
      <c r="R277" s="2" t="s">
        <v>792</v>
      </c>
      <c r="S277" s="2"/>
      <c r="T277" s="2"/>
      <c r="U277" s="398" t="s">
        <v>861</v>
      </c>
      <c r="V277" s="7">
        <v>393.29999999999995</v>
      </c>
      <c r="W277" s="7" t="s">
        <v>660</v>
      </c>
    </row>
    <row r="278" spans="1:23" x14ac:dyDescent="0.35">
      <c r="A278" s="2">
        <v>38</v>
      </c>
      <c r="B278" s="109" t="s">
        <v>793</v>
      </c>
      <c r="C278" s="110" t="s">
        <v>831</v>
      </c>
      <c r="D278" s="2">
        <v>30</v>
      </c>
      <c r="E278" s="51">
        <v>13.11</v>
      </c>
      <c r="F278" s="105"/>
      <c r="H278" s="2"/>
      <c r="I278" s="2" t="s">
        <v>861</v>
      </c>
      <c r="J278" s="2" t="s">
        <v>861</v>
      </c>
      <c r="K278" s="2" t="s">
        <v>861</v>
      </c>
      <c r="L278" s="2" t="s">
        <v>861</v>
      </c>
      <c r="M278" s="2" t="s">
        <v>861</v>
      </c>
      <c r="N278" s="244" t="s">
        <v>861</v>
      </c>
      <c r="O278" s="2" t="s">
        <v>870</v>
      </c>
      <c r="P278" s="2">
        <v>0</v>
      </c>
      <c r="Q278" s="2">
        <v>0</v>
      </c>
      <c r="R278" s="2" t="s">
        <v>793</v>
      </c>
      <c r="S278" s="2"/>
      <c r="T278" s="2"/>
      <c r="U278" s="398" t="s">
        <v>861</v>
      </c>
      <c r="V278" s="7">
        <v>393.29999999999995</v>
      </c>
      <c r="W278" s="7" t="s">
        <v>660</v>
      </c>
    </row>
    <row r="279" spans="1:23" x14ac:dyDescent="0.35">
      <c r="A279" s="2">
        <v>38</v>
      </c>
      <c r="B279" s="109" t="s">
        <v>794</v>
      </c>
      <c r="C279" s="110" t="s">
        <v>832</v>
      </c>
      <c r="D279" s="2">
        <v>30</v>
      </c>
      <c r="E279" s="51">
        <v>13.11</v>
      </c>
      <c r="F279" s="105"/>
      <c r="H279" s="2"/>
      <c r="I279" s="2" t="s">
        <v>861</v>
      </c>
      <c r="J279" s="2" t="s">
        <v>861</v>
      </c>
      <c r="K279" s="2" t="s">
        <v>861</v>
      </c>
      <c r="L279" s="2" t="s">
        <v>861</v>
      </c>
      <c r="M279" s="2" t="s">
        <v>861</v>
      </c>
      <c r="N279" s="244" t="s">
        <v>861</v>
      </c>
      <c r="O279" s="2" t="s">
        <v>870</v>
      </c>
      <c r="P279" s="2">
        <v>0</v>
      </c>
      <c r="Q279" s="2">
        <v>0</v>
      </c>
      <c r="R279" s="2" t="s">
        <v>794</v>
      </c>
      <c r="S279" s="2"/>
      <c r="T279" s="2"/>
      <c r="U279" s="398" t="s">
        <v>861</v>
      </c>
      <c r="V279" s="7">
        <v>393.29999999999995</v>
      </c>
      <c r="W279" s="7" t="s">
        <v>660</v>
      </c>
    </row>
    <row r="280" spans="1:23" x14ac:dyDescent="0.35">
      <c r="A280" s="2">
        <v>38</v>
      </c>
      <c r="B280" s="109" t="s">
        <v>795</v>
      </c>
      <c r="C280" s="110" t="s">
        <v>833</v>
      </c>
      <c r="D280" s="2">
        <v>30</v>
      </c>
      <c r="E280" s="51">
        <v>13.11</v>
      </c>
      <c r="F280" s="105"/>
      <c r="H280" s="2"/>
      <c r="I280" s="2" t="s">
        <v>861</v>
      </c>
      <c r="J280" s="2" t="s">
        <v>861</v>
      </c>
      <c r="K280" s="2" t="s">
        <v>861</v>
      </c>
      <c r="L280" s="2" t="s">
        <v>861</v>
      </c>
      <c r="M280" s="2" t="s">
        <v>861</v>
      </c>
      <c r="N280" s="244" t="s">
        <v>861</v>
      </c>
      <c r="O280" s="2" t="s">
        <v>870</v>
      </c>
      <c r="P280" s="2">
        <v>0</v>
      </c>
      <c r="Q280" s="2">
        <v>0</v>
      </c>
      <c r="R280" s="2" t="s">
        <v>795</v>
      </c>
      <c r="S280" s="2"/>
      <c r="T280" s="2"/>
      <c r="U280" s="398" t="s">
        <v>861</v>
      </c>
      <c r="V280" s="7">
        <v>393.29999999999995</v>
      </c>
      <c r="W280" s="7" t="s">
        <v>660</v>
      </c>
    </row>
    <row r="281" spans="1:23" x14ac:dyDescent="0.35">
      <c r="A281" s="2">
        <v>38</v>
      </c>
      <c r="B281" s="109" t="s">
        <v>796</v>
      </c>
      <c r="C281" s="110" t="s">
        <v>834</v>
      </c>
      <c r="D281" s="2">
        <v>30</v>
      </c>
      <c r="E281" s="51">
        <v>13.11</v>
      </c>
      <c r="F281" s="105"/>
      <c r="H281" s="2"/>
      <c r="I281" s="2" t="s">
        <v>861</v>
      </c>
      <c r="J281" s="2" t="s">
        <v>861</v>
      </c>
      <c r="K281" s="2" t="s">
        <v>861</v>
      </c>
      <c r="L281" s="2" t="s">
        <v>861</v>
      </c>
      <c r="M281" s="2" t="s">
        <v>861</v>
      </c>
      <c r="N281" s="244" t="s">
        <v>861</v>
      </c>
      <c r="O281" s="2" t="s">
        <v>870</v>
      </c>
      <c r="P281" s="2">
        <v>0</v>
      </c>
      <c r="Q281" s="2">
        <v>0</v>
      </c>
      <c r="R281" s="2" t="s">
        <v>796</v>
      </c>
      <c r="S281" s="2"/>
      <c r="T281" s="2"/>
      <c r="U281" s="398" t="s">
        <v>861</v>
      </c>
      <c r="V281" s="7">
        <v>393.29999999999995</v>
      </c>
      <c r="W281" s="7" t="s">
        <v>660</v>
      </c>
    </row>
    <row r="282" spans="1:23" x14ac:dyDescent="0.35">
      <c r="A282" s="2">
        <v>38</v>
      </c>
      <c r="B282" s="109" t="s">
        <v>797</v>
      </c>
      <c r="C282" s="110" t="s">
        <v>835</v>
      </c>
      <c r="D282" s="2">
        <v>30</v>
      </c>
      <c r="E282" s="51">
        <v>13.11</v>
      </c>
      <c r="F282" s="105"/>
      <c r="H282" s="2"/>
      <c r="I282" s="2" t="s">
        <v>861</v>
      </c>
      <c r="J282" s="2" t="s">
        <v>861</v>
      </c>
      <c r="K282" s="2" t="s">
        <v>861</v>
      </c>
      <c r="L282" s="2" t="s">
        <v>861</v>
      </c>
      <c r="M282" s="2" t="s">
        <v>861</v>
      </c>
      <c r="N282" s="244" t="s">
        <v>861</v>
      </c>
      <c r="O282" s="2" t="s">
        <v>870</v>
      </c>
      <c r="P282" s="2">
        <v>0</v>
      </c>
      <c r="Q282" s="2">
        <v>0</v>
      </c>
      <c r="R282" s="2" t="s">
        <v>797</v>
      </c>
      <c r="S282" s="2"/>
      <c r="T282" s="2"/>
      <c r="U282" s="398" t="s">
        <v>861</v>
      </c>
      <c r="V282" s="7">
        <v>393.29999999999995</v>
      </c>
      <c r="W282" s="7" t="s">
        <v>660</v>
      </c>
    </row>
    <row r="283" spans="1:23" x14ac:dyDescent="0.35">
      <c r="A283" s="2">
        <v>38</v>
      </c>
      <c r="B283" s="109" t="s">
        <v>798</v>
      </c>
      <c r="C283" s="110" t="s">
        <v>836</v>
      </c>
      <c r="D283" s="2">
        <v>30</v>
      </c>
      <c r="E283" s="51">
        <v>13.11</v>
      </c>
      <c r="F283" s="105"/>
      <c r="H283" s="2"/>
      <c r="I283" s="2" t="s">
        <v>861</v>
      </c>
      <c r="J283" s="2" t="s">
        <v>861</v>
      </c>
      <c r="K283" s="2" t="s">
        <v>861</v>
      </c>
      <c r="L283" s="2" t="s">
        <v>861</v>
      </c>
      <c r="M283" s="2" t="s">
        <v>861</v>
      </c>
      <c r="N283" s="244" t="s">
        <v>861</v>
      </c>
      <c r="O283" s="2" t="s">
        <v>870</v>
      </c>
      <c r="P283" s="2">
        <v>0</v>
      </c>
      <c r="Q283" s="2">
        <v>0</v>
      </c>
      <c r="R283" s="2" t="s">
        <v>798</v>
      </c>
      <c r="S283" s="2"/>
      <c r="T283" s="2"/>
      <c r="U283" s="398" t="s">
        <v>861</v>
      </c>
      <c r="V283" s="7">
        <v>393.29999999999995</v>
      </c>
      <c r="W283" s="7" t="s">
        <v>660</v>
      </c>
    </row>
    <row r="284" spans="1:23" x14ac:dyDescent="0.35">
      <c r="A284" s="2">
        <v>38</v>
      </c>
      <c r="B284" s="109" t="s">
        <v>799</v>
      </c>
      <c r="C284" s="110" t="s">
        <v>837</v>
      </c>
      <c r="D284" s="2">
        <v>30</v>
      </c>
      <c r="E284" s="51">
        <v>13.11</v>
      </c>
      <c r="F284" s="105"/>
      <c r="H284" s="2"/>
      <c r="I284" s="2" t="s">
        <v>861</v>
      </c>
      <c r="J284" s="2" t="s">
        <v>861</v>
      </c>
      <c r="K284" s="2" t="s">
        <v>861</v>
      </c>
      <c r="L284" s="2" t="s">
        <v>861</v>
      </c>
      <c r="M284" s="2" t="s">
        <v>861</v>
      </c>
      <c r="N284" s="244" t="s">
        <v>861</v>
      </c>
      <c r="O284" s="2" t="s">
        <v>870</v>
      </c>
      <c r="P284" s="2">
        <v>0</v>
      </c>
      <c r="Q284" s="2">
        <v>0</v>
      </c>
      <c r="R284" s="2" t="s">
        <v>799</v>
      </c>
      <c r="S284" s="2"/>
      <c r="T284" s="2"/>
      <c r="U284" s="398" t="s">
        <v>861</v>
      </c>
      <c r="V284" s="7">
        <v>393.29999999999995</v>
      </c>
      <c r="W284" s="7" t="s">
        <v>660</v>
      </c>
    </row>
    <row r="285" spans="1:23" x14ac:dyDescent="0.35">
      <c r="A285" s="2">
        <v>38</v>
      </c>
      <c r="B285" s="109" t="s">
        <v>800</v>
      </c>
      <c r="C285" s="110" t="s">
        <v>838</v>
      </c>
      <c r="D285" s="2">
        <v>30</v>
      </c>
      <c r="E285" s="51">
        <v>13.11</v>
      </c>
      <c r="F285" s="105"/>
      <c r="H285" s="2"/>
      <c r="I285" s="2" t="s">
        <v>861</v>
      </c>
      <c r="J285" s="2" t="s">
        <v>861</v>
      </c>
      <c r="K285" s="2" t="s">
        <v>861</v>
      </c>
      <c r="L285" s="2" t="s">
        <v>861</v>
      </c>
      <c r="M285" s="2" t="s">
        <v>861</v>
      </c>
      <c r="N285" s="244" t="s">
        <v>861</v>
      </c>
      <c r="O285" s="2" t="s">
        <v>870</v>
      </c>
      <c r="P285" s="2">
        <v>0</v>
      </c>
      <c r="Q285" s="2">
        <v>0</v>
      </c>
      <c r="R285" s="2" t="s">
        <v>800</v>
      </c>
      <c r="S285" s="2"/>
      <c r="T285" s="2"/>
      <c r="U285" s="398" t="s">
        <v>861</v>
      </c>
      <c r="V285" s="7">
        <v>393.29999999999995</v>
      </c>
      <c r="W285" s="7" t="s">
        <v>660</v>
      </c>
    </row>
    <row r="286" spans="1:23" x14ac:dyDescent="0.35">
      <c r="A286" s="2">
        <v>38</v>
      </c>
      <c r="B286" s="109" t="s">
        <v>801</v>
      </c>
      <c r="C286" s="110" t="s">
        <v>839</v>
      </c>
      <c r="D286" s="2">
        <v>30</v>
      </c>
      <c r="E286" s="51">
        <v>13.11</v>
      </c>
      <c r="F286" s="105"/>
      <c r="H286" s="2"/>
      <c r="I286" s="2" t="s">
        <v>861</v>
      </c>
      <c r="J286" s="2" t="s">
        <v>861</v>
      </c>
      <c r="K286" s="2" t="s">
        <v>861</v>
      </c>
      <c r="L286" s="2" t="s">
        <v>861</v>
      </c>
      <c r="M286" s="2" t="s">
        <v>861</v>
      </c>
      <c r="N286" s="244" t="s">
        <v>861</v>
      </c>
      <c r="O286" s="2" t="s">
        <v>870</v>
      </c>
      <c r="P286" s="2">
        <v>0</v>
      </c>
      <c r="Q286" s="2">
        <v>0</v>
      </c>
      <c r="R286" s="2" t="s">
        <v>801</v>
      </c>
      <c r="S286" s="2"/>
      <c r="T286" s="2"/>
      <c r="U286" s="398" t="s">
        <v>861</v>
      </c>
      <c r="V286" s="7">
        <v>393.29999999999995</v>
      </c>
      <c r="W286" s="7" t="s">
        <v>660</v>
      </c>
    </row>
    <row r="287" spans="1:23" x14ac:dyDescent="0.35">
      <c r="A287" s="2">
        <v>38</v>
      </c>
      <c r="B287" s="109" t="s">
        <v>802</v>
      </c>
      <c r="C287" s="110" t="s">
        <v>840</v>
      </c>
      <c r="D287" s="2">
        <v>330</v>
      </c>
      <c r="E287" s="51">
        <v>0</v>
      </c>
      <c r="F287" s="105"/>
      <c r="H287" s="2"/>
      <c r="I287" s="2">
        <v>4</v>
      </c>
      <c r="J287" s="2">
        <v>0</v>
      </c>
      <c r="K287" s="2" t="s">
        <v>861</v>
      </c>
      <c r="L287" s="2">
        <v>0</v>
      </c>
      <c r="M287" s="2">
        <v>0</v>
      </c>
      <c r="N287" s="244">
        <v>0</v>
      </c>
      <c r="O287" s="2" t="s">
        <v>870</v>
      </c>
      <c r="P287" s="2">
        <v>0</v>
      </c>
      <c r="Q287" s="2">
        <v>0</v>
      </c>
      <c r="R287" s="2" t="s">
        <v>802</v>
      </c>
      <c r="S287" s="2"/>
      <c r="T287" s="2"/>
      <c r="U287" s="398" t="s">
        <v>861</v>
      </c>
      <c r="V287" s="7">
        <v>0</v>
      </c>
      <c r="W287" s="7" t="s">
        <v>660</v>
      </c>
    </row>
    <row r="288" spans="1:23" x14ac:dyDescent="0.35">
      <c r="A288" s="2">
        <v>38</v>
      </c>
      <c r="B288" s="109" t="s">
        <v>803</v>
      </c>
      <c r="C288" s="110" t="s">
        <v>841</v>
      </c>
      <c r="D288" s="2">
        <v>450</v>
      </c>
      <c r="E288" s="51">
        <v>0</v>
      </c>
      <c r="F288" s="105"/>
      <c r="H288" s="2"/>
      <c r="I288" s="2">
        <v>5</v>
      </c>
      <c r="J288" s="2">
        <v>0</v>
      </c>
      <c r="K288" s="2" t="s">
        <v>861</v>
      </c>
      <c r="L288" s="2">
        <v>0</v>
      </c>
      <c r="M288" s="2">
        <v>0</v>
      </c>
      <c r="N288" s="244">
        <v>0</v>
      </c>
      <c r="O288" s="2" t="s">
        <v>870</v>
      </c>
      <c r="P288" s="2">
        <v>0</v>
      </c>
      <c r="Q288" s="2">
        <v>0</v>
      </c>
      <c r="R288" s="2" t="s">
        <v>803</v>
      </c>
      <c r="S288" s="2"/>
      <c r="T288" s="2"/>
      <c r="U288" s="398" t="s">
        <v>861</v>
      </c>
      <c r="V288" s="7">
        <v>0</v>
      </c>
      <c r="W288" s="7" t="s">
        <v>660</v>
      </c>
    </row>
    <row r="289" spans="1:23" x14ac:dyDescent="0.35">
      <c r="A289" s="2">
        <v>39</v>
      </c>
      <c r="B289" s="109" t="s">
        <v>17</v>
      </c>
      <c r="C289" s="110" t="s">
        <v>20</v>
      </c>
      <c r="D289" s="2">
        <v>48</v>
      </c>
      <c r="E289" s="51">
        <v>7.5</v>
      </c>
      <c r="F289" s="105"/>
      <c r="H289" s="2"/>
      <c r="I289" s="2">
        <v>4</v>
      </c>
      <c r="J289" s="2">
        <v>0</v>
      </c>
      <c r="K289" s="2">
        <v>0</v>
      </c>
      <c r="L289" s="2">
        <v>20.16</v>
      </c>
      <c r="M289" s="2">
        <v>23.16</v>
      </c>
      <c r="N289" s="244">
        <v>0.112332</v>
      </c>
      <c r="O289" s="2" t="s">
        <v>18</v>
      </c>
      <c r="P289" s="2">
        <v>50</v>
      </c>
      <c r="Q289" s="2">
        <v>0</v>
      </c>
      <c r="R289" s="2" t="s">
        <v>17</v>
      </c>
      <c r="S289" s="2">
        <v>48</v>
      </c>
      <c r="T289" s="2">
        <v>5.23</v>
      </c>
      <c r="U289" s="398">
        <v>251.04000000000002</v>
      </c>
      <c r="V289" s="7">
        <v>360</v>
      </c>
      <c r="W289" s="7" t="s">
        <v>660</v>
      </c>
    </row>
    <row r="290" spans="1:23" x14ac:dyDescent="0.35">
      <c r="A290" s="2">
        <v>39</v>
      </c>
      <c r="B290" s="109" t="s">
        <v>23</v>
      </c>
      <c r="C290" s="110" t="s">
        <v>24</v>
      </c>
      <c r="D290" s="2">
        <v>48</v>
      </c>
      <c r="E290" s="51">
        <v>7.5</v>
      </c>
      <c r="F290" s="105"/>
      <c r="H290" s="2"/>
      <c r="I290" s="2">
        <v>4</v>
      </c>
      <c r="J290" s="2">
        <v>0</v>
      </c>
      <c r="K290" s="2">
        <v>0</v>
      </c>
      <c r="L290" s="2">
        <v>20.16</v>
      </c>
      <c r="M290" s="2">
        <v>23.16</v>
      </c>
      <c r="N290" s="244">
        <v>0.112332</v>
      </c>
      <c r="O290" s="2" t="s">
        <v>18</v>
      </c>
      <c r="P290" s="2">
        <v>50</v>
      </c>
      <c r="Q290" s="2">
        <v>0</v>
      </c>
      <c r="R290" s="2" t="s">
        <v>23</v>
      </c>
      <c r="S290" s="2">
        <v>48</v>
      </c>
      <c r="T290" s="2">
        <v>5.23</v>
      </c>
      <c r="U290" s="398">
        <v>251.04000000000002</v>
      </c>
      <c r="V290" s="7">
        <v>360</v>
      </c>
      <c r="W290" s="7" t="s">
        <v>660</v>
      </c>
    </row>
    <row r="291" spans="1:23" x14ac:dyDescent="0.35">
      <c r="A291" s="2">
        <v>39</v>
      </c>
      <c r="B291" s="109" t="s">
        <v>25</v>
      </c>
      <c r="C291" s="110" t="s">
        <v>26</v>
      </c>
      <c r="D291" s="2">
        <v>48</v>
      </c>
      <c r="E291" s="51">
        <v>7.5</v>
      </c>
      <c r="F291" s="105"/>
      <c r="H291" s="2"/>
      <c r="I291" s="2">
        <v>4</v>
      </c>
      <c r="J291" s="2">
        <v>0</v>
      </c>
      <c r="K291" s="2">
        <v>0</v>
      </c>
      <c r="L291" s="2">
        <v>20.16</v>
      </c>
      <c r="M291" s="2">
        <v>23.16</v>
      </c>
      <c r="N291" s="244">
        <v>0.112332</v>
      </c>
      <c r="O291" s="2" t="s">
        <v>18</v>
      </c>
      <c r="P291" s="2">
        <v>50</v>
      </c>
      <c r="Q291" s="2">
        <v>0</v>
      </c>
      <c r="R291" s="2" t="s">
        <v>25</v>
      </c>
      <c r="S291" s="2">
        <v>48</v>
      </c>
      <c r="T291" s="2">
        <v>5.23</v>
      </c>
      <c r="U291" s="398">
        <v>251.04000000000002</v>
      </c>
      <c r="V291" s="7">
        <v>360</v>
      </c>
      <c r="W291" s="7" t="s">
        <v>660</v>
      </c>
    </row>
    <row r="292" spans="1:23" x14ac:dyDescent="0.35">
      <c r="A292" s="2">
        <v>39</v>
      </c>
      <c r="B292" s="109" t="s">
        <v>27</v>
      </c>
      <c r="C292" s="110" t="s">
        <v>28</v>
      </c>
      <c r="D292" s="2">
        <v>48</v>
      </c>
      <c r="E292" s="51">
        <v>7.5</v>
      </c>
      <c r="F292" s="105"/>
      <c r="H292" s="2"/>
      <c r="I292" s="2">
        <v>4</v>
      </c>
      <c r="J292" s="2">
        <v>0</v>
      </c>
      <c r="K292" s="2">
        <v>0</v>
      </c>
      <c r="L292" s="2">
        <v>20.16</v>
      </c>
      <c r="M292" s="2">
        <v>23.16</v>
      </c>
      <c r="N292" s="244">
        <v>0.112332</v>
      </c>
      <c r="O292" s="2" t="s">
        <v>18</v>
      </c>
      <c r="P292" s="2">
        <v>50</v>
      </c>
      <c r="Q292" s="2">
        <v>0</v>
      </c>
      <c r="R292" s="2" t="s">
        <v>27</v>
      </c>
      <c r="S292" s="2">
        <v>48</v>
      </c>
      <c r="T292" s="2">
        <v>5.23</v>
      </c>
      <c r="U292" s="398">
        <v>251.04000000000002</v>
      </c>
      <c r="V292" s="7">
        <v>360</v>
      </c>
      <c r="W292" s="7" t="s">
        <v>660</v>
      </c>
    </row>
    <row r="293" spans="1:23" x14ac:dyDescent="0.35">
      <c r="A293" s="2">
        <v>39</v>
      </c>
      <c r="B293" s="109" t="s">
        <v>29</v>
      </c>
      <c r="C293" s="110" t="s">
        <v>31</v>
      </c>
      <c r="D293" s="2">
        <v>48</v>
      </c>
      <c r="E293" s="51">
        <v>7.5</v>
      </c>
      <c r="F293" s="105"/>
      <c r="H293" s="2"/>
      <c r="I293" s="2">
        <v>4</v>
      </c>
      <c r="J293" s="2">
        <v>0</v>
      </c>
      <c r="K293" s="2">
        <v>0</v>
      </c>
      <c r="L293" s="2">
        <v>19.12</v>
      </c>
      <c r="M293" s="2">
        <v>21</v>
      </c>
      <c r="N293" s="244">
        <v>0.112332</v>
      </c>
      <c r="O293" s="2" t="s">
        <v>18</v>
      </c>
      <c r="P293" s="2">
        <v>50</v>
      </c>
      <c r="Q293" s="2">
        <v>0</v>
      </c>
      <c r="R293" s="2" t="s">
        <v>29</v>
      </c>
      <c r="S293" s="2">
        <v>48</v>
      </c>
      <c r="T293" s="2">
        <v>5.23</v>
      </c>
      <c r="U293" s="398">
        <v>251.04000000000002</v>
      </c>
      <c r="V293" s="7">
        <v>360</v>
      </c>
      <c r="W293" s="7" t="s">
        <v>660</v>
      </c>
    </row>
    <row r="294" spans="1:23" x14ac:dyDescent="0.35">
      <c r="A294" s="2">
        <v>39</v>
      </c>
      <c r="B294" s="109" t="s">
        <v>32</v>
      </c>
      <c r="C294" s="110" t="s">
        <v>33</v>
      </c>
      <c r="D294" s="2">
        <v>48</v>
      </c>
      <c r="E294" s="51">
        <v>7.5</v>
      </c>
      <c r="F294" s="105"/>
      <c r="H294" s="2"/>
      <c r="I294" s="2">
        <v>4</v>
      </c>
      <c r="J294" s="2">
        <v>0</v>
      </c>
      <c r="K294" s="2">
        <v>0</v>
      </c>
      <c r="L294" s="2">
        <v>19.12</v>
      </c>
      <c r="M294" s="2">
        <v>21</v>
      </c>
      <c r="N294" s="244">
        <v>0.112332</v>
      </c>
      <c r="O294" s="2" t="s">
        <v>18</v>
      </c>
      <c r="P294" s="2">
        <v>50</v>
      </c>
      <c r="Q294" s="2">
        <v>0</v>
      </c>
      <c r="R294" s="2" t="s">
        <v>32</v>
      </c>
      <c r="S294" s="2">
        <v>48</v>
      </c>
      <c r="T294" s="2">
        <v>5.23</v>
      </c>
      <c r="U294" s="398">
        <v>251.04000000000002</v>
      </c>
      <c r="V294" s="7">
        <v>360</v>
      </c>
      <c r="W294" s="7" t="s">
        <v>660</v>
      </c>
    </row>
    <row r="295" spans="1:23" x14ac:dyDescent="0.35">
      <c r="A295" s="2">
        <v>39</v>
      </c>
      <c r="B295" s="109" t="s">
        <v>34</v>
      </c>
      <c r="C295" s="110" t="s">
        <v>35</v>
      </c>
      <c r="D295" s="2">
        <v>48</v>
      </c>
      <c r="E295" s="51">
        <v>7.5</v>
      </c>
      <c r="F295" s="105"/>
      <c r="H295" s="2"/>
      <c r="I295" s="2">
        <v>4</v>
      </c>
      <c r="J295" s="2">
        <v>0</v>
      </c>
      <c r="K295" s="2">
        <v>0</v>
      </c>
      <c r="L295" s="2">
        <v>19.12</v>
      </c>
      <c r="M295" s="2">
        <v>21</v>
      </c>
      <c r="N295" s="244">
        <v>0.112332</v>
      </c>
      <c r="O295" s="2" t="s">
        <v>18</v>
      </c>
      <c r="P295" s="2">
        <v>50</v>
      </c>
      <c r="Q295" s="2">
        <v>0</v>
      </c>
      <c r="R295" s="2" t="s">
        <v>34</v>
      </c>
      <c r="S295" s="2">
        <v>48</v>
      </c>
      <c r="T295" s="2">
        <v>5.23</v>
      </c>
      <c r="U295" s="398">
        <v>251.04000000000002</v>
      </c>
      <c r="V295" s="7">
        <v>360</v>
      </c>
      <c r="W295" s="7" t="s">
        <v>660</v>
      </c>
    </row>
    <row r="296" spans="1:23" x14ac:dyDescent="0.35">
      <c r="A296" s="2">
        <v>39</v>
      </c>
      <c r="B296" s="109" t="s">
        <v>36</v>
      </c>
      <c r="C296" s="110" t="s">
        <v>37</v>
      </c>
      <c r="D296" s="2">
        <v>48</v>
      </c>
      <c r="E296" s="51">
        <v>7.5</v>
      </c>
      <c r="F296" s="105"/>
      <c r="H296" s="2"/>
      <c r="I296" s="2">
        <v>4</v>
      </c>
      <c r="J296" s="2">
        <v>0</v>
      </c>
      <c r="K296" s="2">
        <v>0</v>
      </c>
      <c r="L296" s="2">
        <v>19.12</v>
      </c>
      <c r="M296" s="2">
        <v>21</v>
      </c>
      <c r="N296" s="244">
        <v>0.112332</v>
      </c>
      <c r="O296" s="2" t="s">
        <v>18</v>
      </c>
      <c r="P296" s="2">
        <v>50</v>
      </c>
      <c r="Q296" s="2">
        <v>0</v>
      </c>
      <c r="R296" s="2" t="s">
        <v>36</v>
      </c>
      <c r="S296" s="2">
        <v>48</v>
      </c>
      <c r="T296" s="2">
        <v>5.23</v>
      </c>
      <c r="U296" s="398">
        <v>251.04000000000002</v>
      </c>
      <c r="V296" s="7">
        <v>360</v>
      </c>
      <c r="W296" s="7" t="s">
        <v>660</v>
      </c>
    </row>
    <row r="297" spans="1:23" x14ac:dyDescent="0.35">
      <c r="A297" s="2">
        <v>39</v>
      </c>
      <c r="B297" s="109" t="s">
        <v>91</v>
      </c>
      <c r="C297" s="110" t="s">
        <v>92</v>
      </c>
      <c r="D297" s="2">
        <v>144</v>
      </c>
      <c r="E297" s="51">
        <v>7.5</v>
      </c>
      <c r="F297" s="105"/>
      <c r="H297" s="2">
        <v>12</v>
      </c>
      <c r="I297" s="2">
        <v>6</v>
      </c>
      <c r="J297" s="2">
        <v>0</v>
      </c>
      <c r="K297" s="2">
        <v>1</v>
      </c>
      <c r="L297" s="2">
        <v>48.879999999999995</v>
      </c>
      <c r="M297" s="2">
        <v>53.495000000000005</v>
      </c>
      <c r="N297" s="244">
        <v>0.145899</v>
      </c>
      <c r="O297" s="2" t="s">
        <v>934</v>
      </c>
      <c r="P297" s="2">
        <v>100</v>
      </c>
      <c r="Q297" s="2" t="s">
        <v>55</v>
      </c>
      <c r="R297" s="2" t="s">
        <v>91</v>
      </c>
      <c r="S297" s="2"/>
      <c r="T297" s="2">
        <v>5</v>
      </c>
      <c r="U297" s="398">
        <v>720</v>
      </c>
      <c r="V297" s="7">
        <v>1080</v>
      </c>
      <c r="W297" s="7" t="s">
        <v>660</v>
      </c>
    </row>
    <row r="298" spans="1:23" x14ac:dyDescent="0.35">
      <c r="A298" s="2">
        <v>39</v>
      </c>
      <c r="B298" s="109" t="s">
        <v>93</v>
      </c>
      <c r="C298" s="110" t="s">
        <v>94</v>
      </c>
      <c r="D298" s="2">
        <v>144</v>
      </c>
      <c r="E298" s="51">
        <v>7.5</v>
      </c>
      <c r="F298" s="105"/>
      <c r="H298" s="2">
        <v>12</v>
      </c>
      <c r="I298" s="2">
        <v>6</v>
      </c>
      <c r="J298" s="2">
        <v>0</v>
      </c>
      <c r="K298" s="2">
        <v>1</v>
      </c>
      <c r="L298" s="2">
        <v>48.879999999999995</v>
      </c>
      <c r="M298" s="2">
        <v>53.495000000000005</v>
      </c>
      <c r="N298" s="244">
        <v>0.145899</v>
      </c>
      <c r="O298" s="2" t="s">
        <v>934</v>
      </c>
      <c r="P298" s="2">
        <v>100</v>
      </c>
      <c r="Q298" s="2" t="s">
        <v>55</v>
      </c>
      <c r="R298" s="2" t="s">
        <v>93</v>
      </c>
      <c r="S298" s="2"/>
      <c r="T298" s="2">
        <v>5</v>
      </c>
      <c r="U298" s="398">
        <v>720</v>
      </c>
      <c r="V298" s="7">
        <v>1080</v>
      </c>
      <c r="W298" s="7" t="s">
        <v>660</v>
      </c>
    </row>
    <row r="299" spans="1:23" x14ac:dyDescent="0.35">
      <c r="A299" s="2">
        <v>39</v>
      </c>
      <c r="B299" s="109" t="s">
        <v>95</v>
      </c>
      <c r="C299" s="110" t="s">
        <v>96</v>
      </c>
      <c r="D299" s="2">
        <v>144</v>
      </c>
      <c r="E299" s="51">
        <v>7.5</v>
      </c>
      <c r="F299" s="105"/>
      <c r="H299" s="2">
        <v>12</v>
      </c>
      <c r="I299" s="2">
        <v>6</v>
      </c>
      <c r="J299" s="2">
        <v>0</v>
      </c>
      <c r="K299" s="2">
        <v>1</v>
      </c>
      <c r="L299" s="2">
        <v>48.879999999999995</v>
      </c>
      <c r="M299" s="2">
        <v>53.495000000000005</v>
      </c>
      <c r="N299" s="244">
        <v>0.145899</v>
      </c>
      <c r="O299" s="2" t="s">
        <v>934</v>
      </c>
      <c r="P299" s="2">
        <v>100</v>
      </c>
      <c r="Q299" s="2" t="s">
        <v>55</v>
      </c>
      <c r="R299" s="2" t="s">
        <v>95</v>
      </c>
      <c r="S299" s="2"/>
      <c r="T299" s="2">
        <v>5</v>
      </c>
      <c r="U299" s="398">
        <v>720</v>
      </c>
      <c r="V299" s="7">
        <v>1080</v>
      </c>
      <c r="W299" s="7" t="s">
        <v>660</v>
      </c>
    </row>
    <row r="300" spans="1:23" x14ac:dyDescent="0.35">
      <c r="A300" s="2">
        <v>39</v>
      </c>
      <c r="B300" s="109" t="s">
        <v>97</v>
      </c>
      <c r="C300" s="110" t="s">
        <v>98</v>
      </c>
      <c r="D300" s="2">
        <v>144</v>
      </c>
      <c r="E300" s="51">
        <v>7.5</v>
      </c>
      <c r="F300" s="105"/>
      <c r="H300" s="2">
        <v>12</v>
      </c>
      <c r="I300" s="2">
        <v>6</v>
      </c>
      <c r="J300" s="2">
        <v>0</v>
      </c>
      <c r="K300" s="2">
        <v>1</v>
      </c>
      <c r="L300" s="2">
        <v>48.879999999999995</v>
      </c>
      <c r="M300" s="2">
        <v>53.495000000000005</v>
      </c>
      <c r="N300" s="244">
        <v>0.145899</v>
      </c>
      <c r="O300" s="2" t="s">
        <v>934</v>
      </c>
      <c r="P300" s="2">
        <v>100</v>
      </c>
      <c r="Q300" s="2" t="s">
        <v>55</v>
      </c>
      <c r="R300" s="2" t="s">
        <v>97</v>
      </c>
      <c r="S300" s="2"/>
      <c r="T300" s="2">
        <v>5</v>
      </c>
      <c r="U300" s="398">
        <v>720</v>
      </c>
      <c r="V300" s="7">
        <v>1080</v>
      </c>
      <c r="W300" s="7" t="s">
        <v>660</v>
      </c>
    </row>
    <row r="301" spans="1:23" x14ac:dyDescent="0.35">
      <c r="A301" s="2">
        <v>39</v>
      </c>
      <c r="B301" s="109" t="s">
        <v>99</v>
      </c>
      <c r="C301" s="110" t="s">
        <v>100</v>
      </c>
      <c r="D301" s="2">
        <v>144</v>
      </c>
      <c r="E301" s="51">
        <v>7.5</v>
      </c>
      <c r="F301" s="105"/>
      <c r="H301" s="2">
        <v>12</v>
      </c>
      <c r="I301" s="2">
        <v>6</v>
      </c>
      <c r="J301" s="2">
        <v>0</v>
      </c>
      <c r="K301" s="2">
        <v>1</v>
      </c>
      <c r="L301" s="2">
        <v>44.655000000000001</v>
      </c>
      <c r="M301" s="2">
        <v>49.14</v>
      </c>
      <c r="N301" s="244">
        <v>0.1635075</v>
      </c>
      <c r="O301" s="2" t="s">
        <v>934</v>
      </c>
      <c r="P301" s="2">
        <v>100</v>
      </c>
      <c r="Q301" s="2" t="s">
        <v>55</v>
      </c>
      <c r="R301" s="2" t="s">
        <v>99</v>
      </c>
      <c r="S301" s="2"/>
      <c r="T301" s="2">
        <v>5</v>
      </c>
      <c r="U301" s="398">
        <v>720</v>
      </c>
      <c r="V301" s="7">
        <v>1080</v>
      </c>
      <c r="W301" s="7" t="s">
        <v>660</v>
      </c>
    </row>
    <row r="302" spans="1:23" x14ac:dyDescent="0.35">
      <c r="A302" s="2">
        <v>39</v>
      </c>
      <c r="B302" s="109" t="s">
        <v>101</v>
      </c>
      <c r="C302" s="110" t="s">
        <v>102</v>
      </c>
      <c r="D302" s="2">
        <v>144</v>
      </c>
      <c r="E302" s="51">
        <v>7.5</v>
      </c>
      <c r="F302" s="105"/>
      <c r="H302" s="2">
        <v>12</v>
      </c>
      <c r="I302" s="2">
        <v>6</v>
      </c>
      <c r="J302" s="2">
        <v>0</v>
      </c>
      <c r="K302" s="2">
        <v>1</v>
      </c>
      <c r="L302" s="2">
        <v>44.655000000000001</v>
      </c>
      <c r="M302" s="2">
        <v>49.14</v>
      </c>
      <c r="N302" s="244">
        <v>0.1635075</v>
      </c>
      <c r="O302" s="2" t="s">
        <v>934</v>
      </c>
      <c r="P302" s="2">
        <v>100</v>
      </c>
      <c r="Q302" s="2" t="s">
        <v>55</v>
      </c>
      <c r="R302" s="2" t="s">
        <v>101</v>
      </c>
      <c r="S302" s="2"/>
      <c r="T302" s="2">
        <v>5</v>
      </c>
      <c r="U302" s="398">
        <v>720</v>
      </c>
      <c r="V302" s="7">
        <v>1080</v>
      </c>
      <c r="W302" s="7" t="s">
        <v>660</v>
      </c>
    </row>
    <row r="303" spans="1:23" x14ac:dyDescent="0.35">
      <c r="A303" s="2">
        <v>39</v>
      </c>
      <c r="B303" s="109" t="s">
        <v>103</v>
      </c>
      <c r="C303" s="110" t="s">
        <v>104</v>
      </c>
      <c r="D303" s="2">
        <v>144</v>
      </c>
      <c r="E303" s="51">
        <v>7.5</v>
      </c>
      <c r="F303" s="105"/>
      <c r="H303" s="2">
        <v>12</v>
      </c>
      <c r="I303" s="2">
        <v>6</v>
      </c>
      <c r="J303" s="2">
        <v>0</v>
      </c>
      <c r="K303" s="2">
        <v>1</v>
      </c>
      <c r="L303" s="2">
        <v>44.655000000000001</v>
      </c>
      <c r="M303" s="2">
        <v>49.14</v>
      </c>
      <c r="N303" s="244">
        <v>0.1635075</v>
      </c>
      <c r="O303" s="2" t="s">
        <v>934</v>
      </c>
      <c r="P303" s="2">
        <v>100</v>
      </c>
      <c r="Q303" s="2" t="s">
        <v>55</v>
      </c>
      <c r="R303" s="2" t="s">
        <v>103</v>
      </c>
      <c r="S303" s="2"/>
      <c r="T303" s="2">
        <v>5</v>
      </c>
      <c r="U303" s="398">
        <v>720</v>
      </c>
      <c r="V303" s="7">
        <v>1080</v>
      </c>
      <c r="W303" s="7" t="s">
        <v>660</v>
      </c>
    </row>
    <row r="304" spans="1:23" x14ac:dyDescent="0.35">
      <c r="A304" s="2">
        <v>39</v>
      </c>
      <c r="B304" s="109" t="s">
        <v>105</v>
      </c>
      <c r="C304" s="110" t="s">
        <v>106</v>
      </c>
      <c r="D304" s="2">
        <v>144</v>
      </c>
      <c r="E304" s="51">
        <v>7.5</v>
      </c>
      <c r="F304" s="105"/>
      <c r="H304" s="2">
        <v>12</v>
      </c>
      <c r="I304" s="2">
        <v>6</v>
      </c>
      <c r="J304" s="2">
        <v>0</v>
      </c>
      <c r="K304" s="2">
        <v>1</v>
      </c>
      <c r="L304" s="2">
        <v>44.655000000000001</v>
      </c>
      <c r="M304" s="2">
        <v>49.14</v>
      </c>
      <c r="N304" s="244">
        <v>0.1635075</v>
      </c>
      <c r="O304" s="2" t="s">
        <v>934</v>
      </c>
      <c r="P304" s="2">
        <v>100</v>
      </c>
      <c r="Q304" s="2" t="s">
        <v>55</v>
      </c>
      <c r="R304" s="2" t="s">
        <v>105</v>
      </c>
      <c r="S304" s="2"/>
      <c r="T304" s="2">
        <v>5</v>
      </c>
      <c r="U304" s="398">
        <v>720</v>
      </c>
      <c r="V304" s="7">
        <v>1080</v>
      </c>
      <c r="W304" s="7" t="s">
        <v>660</v>
      </c>
    </row>
    <row r="305" spans="1:23" x14ac:dyDescent="0.35">
      <c r="A305" s="2">
        <v>39</v>
      </c>
      <c r="B305" s="109" t="s">
        <v>107</v>
      </c>
      <c r="C305" s="110" t="s">
        <v>109</v>
      </c>
      <c r="D305" s="2">
        <v>72</v>
      </c>
      <c r="E305" s="51">
        <v>15.55</v>
      </c>
      <c r="F305" s="105"/>
      <c r="H305" s="2">
        <v>6</v>
      </c>
      <c r="I305" s="2">
        <v>3</v>
      </c>
      <c r="J305" s="2">
        <v>0</v>
      </c>
      <c r="K305" s="2">
        <v>1</v>
      </c>
      <c r="L305" s="2">
        <v>30.810000000000002</v>
      </c>
      <c r="M305" s="2">
        <v>32.175000000000004</v>
      </c>
      <c r="N305" s="244">
        <v>5.6216874999999999E-2</v>
      </c>
      <c r="O305" s="2" t="s">
        <v>108</v>
      </c>
      <c r="P305" s="2">
        <v>100</v>
      </c>
      <c r="Q305" s="2" t="s">
        <v>55</v>
      </c>
      <c r="R305" s="2" t="s">
        <v>107</v>
      </c>
      <c r="S305" s="2"/>
      <c r="T305" s="2">
        <v>11.68</v>
      </c>
      <c r="U305" s="398">
        <v>840.96</v>
      </c>
      <c r="V305" s="7">
        <v>1119.6000000000001</v>
      </c>
      <c r="W305" s="7" t="s">
        <v>660</v>
      </c>
    </row>
    <row r="306" spans="1:23" x14ac:dyDescent="0.35">
      <c r="A306" s="2">
        <v>39</v>
      </c>
      <c r="B306" s="109" t="s">
        <v>110</v>
      </c>
      <c r="C306" s="110" t="s">
        <v>111</v>
      </c>
      <c r="D306" s="2">
        <v>72</v>
      </c>
      <c r="E306" s="51">
        <v>15.55</v>
      </c>
      <c r="F306" s="105"/>
      <c r="H306" s="2">
        <v>6</v>
      </c>
      <c r="I306" s="2">
        <v>3</v>
      </c>
      <c r="J306" s="2">
        <v>0</v>
      </c>
      <c r="K306" s="2">
        <v>1</v>
      </c>
      <c r="L306" s="2">
        <v>30.810000000000002</v>
      </c>
      <c r="M306" s="2">
        <v>32.175000000000004</v>
      </c>
      <c r="N306" s="244">
        <v>5.6216874999999999E-2</v>
      </c>
      <c r="O306" s="2" t="s">
        <v>108</v>
      </c>
      <c r="P306" s="2">
        <v>100</v>
      </c>
      <c r="Q306" s="2" t="s">
        <v>55</v>
      </c>
      <c r="R306" s="2" t="s">
        <v>110</v>
      </c>
      <c r="S306" s="2"/>
      <c r="T306" s="2">
        <v>11.68</v>
      </c>
      <c r="U306" s="398">
        <v>840.96</v>
      </c>
      <c r="V306" s="7">
        <v>1119.6000000000001</v>
      </c>
      <c r="W306" s="7" t="s">
        <v>660</v>
      </c>
    </row>
    <row r="307" spans="1:23" x14ac:dyDescent="0.35">
      <c r="A307" s="2">
        <v>39</v>
      </c>
      <c r="B307" s="109" t="s">
        <v>112</v>
      </c>
      <c r="C307" s="110" t="s">
        <v>648</v>
      </c>
      <c r="D307" s="2">
        <v>72</v>
      </c>
      <c r="E307" s="51">
        <v>15.55</v>
      </c>
      <c r="F307" s="105"/>
      <c r="H307" s="2">
        <v>6</v>
      </c>
      <c r="I307" s="2">
        <v>3</v>
      </c>
      <c r="J307" s="2">
        <v>0</v>
      </c>
      <c r="K307" s="2">
        <v>1</v>
      </c>
      <c r="L307" s="2">
        <v>30.810000000000002</v>
      </c>
      <c r="M307" s="2">
        <v>32.175000000000004</v>
      </c>
      <c r="N307" s="244">
        <v>5.6216874999999999E-2</v>
      </c>
      <c r="O307" s="2" t="s">
        <v>108</v>
      </c>
      <c r="P307" s="2">
        <v>100</v>
      </c>
      <c r="Q307" s="2" t="s">
        <v>55</v>
      </c>
      <c r="R307" s="2" t="s">
        <v>112</v>
      </c>
      <c r="S307" s="2"/>
      <c r="T307" s="2">
        <v>11.68</v>
      </c>
      <c r="U307" s="398">
        <v>840.96</v>
      </c>
      <c r="V307" s="7">
        <v>1119.6000000000001</v>
      </c>
      <c r="W307" s="7" t="s">
        <v>660</v>
      </c>
    </row>
    <row r="308" spans="1:23" x14ac:dyDescent="0.35">
      <c r="A308" s="2">
        <v>39</v>
      </c>
      <c r="B308" s="109" t="s">
        <v>114</v>
      </c>
      <c r="C308" s="110" t="s">
        <v>115</v>
      </c>
      <c r="D308" s="2">
        <v>72</v>
      </c>
      <c r="E308" s="51">
        <v>15.55</v>
      </c>
      <c r="F308" s="105"/>
      <c r="H308" s="2">
        <v>6</v>
      </c>
      <c r="I308" s="2">
        <v>3</v>
      </c>
      <c r="J308" s="2">
        <v>0</v>
      </c>
      <c r="K308" s="2">
        <v>1</v>
      </c>
      <c r="L308" s="2">
        <v>30.810000000000002</v>
      </c>
      <c r="M308" s="2">
        <v>32.175000000000004</v>
      </c>
      <c r="N308" s="244">
        <v>5.6216874999999999E-2</v>
      </c>
      <c r="O308" s="2" t="s">
        <v>108</v>
      </c>
      <c r="P308" s="2">
        <v>100</v>
      </c>
      <c r="Q308" s="2" t="s">
        <v>55</v>
      </c>
      <c r="R308" s="2" t="s">
        <v>114</v>
      </c>
      <c r="S308" s="2"/>
      <c r="T308" s="2">
        <v>11.68</v>
      </c>
      <c r="U308" s="398">
        <v>840.96</v>
      </c>
      <c r="V308" s="7">
        <v>1119.6000000000001</v>
      </c>
      <c r="W308" s="7" t="s">
        <v>660</v>
      </c>
    </row>
    <row r="309" spans="1:23" x14ac:dyDescent="0.35">
      <c r="A309" s="2">
        <v>39</v>
      </c>
      <c r="B309" s="109" t="s">
        <v>116</v>
      </c>
      <c r="C309" s="110" t="s">
        <v>117</v>
      </c>
      <c r="D309" s="2">
        <v>72</v>
      </c>
      <c r="E309" s="51">
        <v>15.55</v>
      </c>
      <c r="F309" s="105"/>
      <c r="H309" s="2">
        <v>6</v>
      </c>
      <c r="I309" s="2">
        <v>3</v>
      </c>
      <c r="J309" s="2">
        <v>0</v>
      </c>
      <c r="K309" s="2">
        <v>1</v>
      </c>
      <c r="L309" s="2">
        <v>29.639999999999997</v>
      </c>
      <c r="M309" s="2">
        <v>30.875</v>
      </c>
      <c r="N309" s="244">
        <v>5.6976562500000001E-2</v>
      </c>
      <c r="O309" s="2" t="s">
        <v>108</v>
      </c>
      <c r="P309" s="2">
        <v>100</v>
      </c>
      <c r="Q309" s="2" t="s">
        <v>55</v>
      </c>
      <c r="R309" s="2" t="s">
        <v>116</v>
      </c>
      <c r="S309" s="2"/>
      <c r="T309" s="2">
        <v>11.68</v>
      </c>
      <c r="U309" s="398">
        <v>840.96</v>
      </c>
      <c r="V309" s="7">
        <v>1119.6000000000001</v>
      </c>
      <c r="W309" s="7" t="s">
        <v>660</v>
      </c>
    </row>
    <row r="310" spans="1:23" x14ac:dyDescent="0.35">
      <c r="A310" s="2">
        <v>39</v>
      </c>
      <c r="B310" s="109" t="s">
        <v>118</v>
      </c>
      <c r="C310" s="110" t="s">
        <v>119</v>
      </c>
      <c r="D310" s="2">
        <v>72</v>
      </c>
      <c r="E310" s="51">
        <v>15.55</v>
      </c>
      <c r="F310" s="105"/>
      <c r="H310" s="2">
        <v>6</v>
      </c>
      <c r="I310" s="2">
        <v>3</v>
      </c>
      <c r="J310" s="2">
        <v>0</v>
      </c>
      <c r="K310" s="2">
        <v>1</v>
      </c>
      <c r="L310" s="2">
        <v>29.639999999999997</v>
      </c>
      <c r="M310" s="2">
        <v>30.875</v>
      </c>
      <c r="N310" s="244">
        <v>5.6976562500000001E-2</v>
      </c>
      <c r="O310" s="2" t="s">
        <v>108</v>
      </c>
      <c r="P310" s="2">
        <v>100</v>
      </c>
      <c r="Q310" s="2" t="s">
        <v>55</v>
      </c>
      <c r="R310" s="2" t="s">
        <v>118</v>
      </c>
      <c r="S310" s="2"/>
      <c r="T310" s="2">
        <v>11.68</v>
      </c>
      <c r="U310" s="398">
        <v>840.96</v>
      </c>
      <c r="V310" s="7">
        <v>1119.6000000000001</v>
      </c>
      <c r="W310" s="7" t="s">
        <v>660</v>
      </c>
    </row>
    <row r="311" spans="1:23" x14ac:dyDescent="0.35">
      <c r="A311" s="2">
        <v>39</v>
      </c>
      <c r="B311" s="109" t="s">
        <v>120</v>
      </c>
      <c r="C311" s="110" t="s">
        <v>121</v>
      </c>
      <c r="D311" s="2">
        <v>72</v>
      </c>
      <c r="E311" s="51">
        <v>15.55</v>
      </c>
      <c r="F311" s="105"/>
      <c r="H311" s="2">
        <v>6</v>
      </c>
      <c r="I311" s="2">
        <v>3</v>
      </c>
      <c r="J311" s="2">
        <v>0</v>
      </c>
      <c r="K311" s="2">
        <v>1</v>
      </c>
      <c r="L311" s="2">
        <v>29.639999999999997</v>
      </c>
      <c r="M311" s="2">
        <v>30.875</v>
      </c>
      <c r="N311" s="244">
        <v>5.6976562500000001E-2</v>
      </c>
      <c r="O311" s="2" t="s">
        <v>108</v>
      </c>
      <c r="P311" s="2">
        <v>100</v>
      </c>
      <c r="Q311" s="2" t="s">
        <v>55</v>
      </c>
      <c r="R311" s="2" t="s">
        <v>120</v>
      </c>
      <c r="S311" s="2"/>
      <c r="T311" s="2">
        <v>11.68</v>
      </c>
      <c r="U311" s="398">
        <v>840.96</v>
      </c>
      <c r="V311" s="7">
        <v>1119.6000000000001</v>
      </c>
      <c r="W311" s="7" t="s">
        <v>660</v>
      </c>
    </row>
    <row r="312" spans="1:23" x14ac:dyDescent="0.35">
      <c r="A312" s="2">
        <v>39</v>
      </c>
      <c r="B312" s="109" t="s">
        <v>122</v>
      </c>
      <c r="C312" s="110" t="s">
        <v>123</v>
      </c>
      <c r="D312" s="2">
        <v>72</v>
      </c>
      <c r="E312" s="51">
        <v>15.55</v>
      </c>
      <c r="F312" s="105"/>
      <c r="H312" s="2">
        <v>6</v>
      </c>
      <c r="I312" s="2">
        <v>3</v>
      </c>
      <c r="J312" s="2">
        <v>0</v>
      </c>
      <c r="K312" s="2">
        <v>1</v>
      </c>
      <c r="L312" s="2">
        <v>29.639999999999997</v>
      </c>
      <c r="M312" s="2">
        <v>30.875</v>
      </c>
      <c r="N312" s="244">
        <v>5.6976562500000001E-2</v>
      </c>
      <c r="O312" s="2" t="s">
        <v>108</v>
      </c>
      <c r="P312" s="2">
        <v>100</v>
      </c>
      <c r="Q312" s="2" t="s">
        <v>55</v>
      </c>
      <c r="R312" s="2" t="s">
        <v>122</v>
      </c>
      <c r="S312" s="2"/>
      <c r="T312" s="2">
        <v>11.68</v>
      </c>
      <c r="U312" s="398">
        <v>840.96</v>
      </c>
      <c r="V312" s="7">
        <v>1119.6000000000001</v>
      </c>
      <c r="W312" s="7" t="s">
        <v>660</v>
      </c>
    </row>
    <row r="313" spans="1:23" x14ac:dyDescent="0.35">
      <c r="A313" s="2">
        <v>41</v>
      </c>
      <c r="B313" s="109" t="s">
        <v>107</v>
      </c>
      <c r="C313" s="110" t="s">
        <v>109</v>
      </c>
      <c r="D313" s="2">
        <v>48</v>
      </c>
      <c r="E313" s="51">
        <v>15.849721162312886</v>
      </c>
      <c r="F313" s="105"/>
      <c r="H313" s="2"/>
      <c r="I313" s="2">
        <v>2</v>
      </c>
      <c r="J313" s="2">
        <v>0</v>
      </c>
      <c r="K313" s="2">
        <v>0</v>
      </c>
      <c r="L313" s="2">
        <v>18.96</v>
      </c>
      <c r="M313" s="2">
        <v>19.8</v>
      </c>
      <c r="N313" s="244">
        <v>3.4595000000000001E-2</v>
      </c>
      <c r="O313" s="2" t="s">
        <v>108</v>
      </c>
      <c r="P313" s="2">
        <v>100</v>
      </c>
      <c r="Q313" s="2" t="s">
        <v>55</v>
      </c>
      <c r="R313" s="2" t="s">
        <v>107</v>
      </c>
      <c r="S313" s="2"/>
      <c r="T313" s="2">
        <v>11.68</v>
      </c>
      <c r="U313" s="398">
        <v>560.64</v>
      </c>
      <c r="V313" s="7">
        <v>760.78661579101845</v>
      </c>
      <c r="W313" s="7" t="s">
        <v>660</v>
      </c>
    </row>
    <row r="314" spans="1:23" x14ac:dyDescent="0.35">
      <c r="A314" s="2">
        <v>41</v>
      </c>
      <c r="B314" s="109" t="s">
        <v>110</v>
      </c>
      <c r="C314" s="110" t="s">
        <v>111</v>
      </c>
      <c r="D314" s="2">
        <v>48</v>
      </c>
      <c r="E314" s="51">
        <v>15.849721162312886</v>
      </c>
      <c r="F314" s="105"/>
      <c r="H314" s="2"/>
      <c r="I314" s="2">
        <v>2</v>
      </c>
      <c r="J314" s="2">
        <v>0</v>
      </c>
      <c r="K314" s="2">
        <v>0</v>
      </c>
      <c r="L314" s="2">
        <v>18.96</v>
      </c>
      <c r="M314" s="2">
        <v>19.8</v>
      </c>
      <c r="N314" s="244">
        <v>3.4595000000000001E-2</v>
      </c>
      <c r="O314" s="2" t="s">
        <v>108</v>
      </c>
      <c r="P314" s="2">
        <v>100</v>
      </c>
      <c r="Q314" s="2" t="s">
        <v>55</v>
      </c>
      <c r="R314" s="2" t="s">
        <v>110</v>
      </c>
      <c r="S314" s="2"/>
      <c r="T314" s="2">
        <v>11.68</v>
      </c>
      <c r="U314" s="398">
        <v>560.64</v>
      </c>
      <c r="V314" s="7">
        <v>760.78661579101845</v>
      </c>
      <c r="W314" s="7" t="s">
        <v>660</v>
      </c>
    </row>
    <row r="315" spans="1:23" x14ac:dyDescent="0.35">
      <c r="A315" s="2">
        <v>41</v>
      </c>
      <c r="B315" s="109" t="s">
        <v>112</v>
      </c>
      <c r="C315" s="110" t="s">
        <v>648</v>
      </c>
      <c r="D315" s="2">
        <v>48</v>
      </c>
      <c r="E315" s="51">
        <v>15.849721162312886</v>
      </c>
      <c r="F315" s="105"/>
      <c r="H315" s="2"/>
      <c r="I315" s="2">
        <v>2</v>
      </c>
      <c r="J315" s="2">
        <v>0</v>
      </c>
      <c r="K315" s="2">
        <v>0</v>
      </c>
      <c r="L315" s="2">
        <v>18.96</v>
      </c>
      <c r="M315" s="2">
        <v>19.8</v>
      </c>
      <c r="N315" s="244">
        <v>3.4595000000000001E-2</v>
      </c>
      <c r="O315" s="2" t="s">
        <v>108</v>
      </c>
      <c r="P315" s="2">
        <v>100</v>
      </c>
      <c r="Q315" s="2" t="s">
        <v>55</v>
      </c>
      <c r="R315" s="2" t="s">
        <v>112</v>
      </c>
      <c r="S315" s="2"/>
      <c r="T315" s="2">
        <v>11.68</v>
      </c>
      <c r="U315" s="398">
        <v>560.64</v>
      </c>
      <c r="V315" s="7">
        <v>760.78661579101845</v>
      </c>
      <c r="W315" s="7" t="s">
        <v>660</v>
      </c>
    </row>
    <row r="316" spans="1:23" x14ac:dyDescent="0.35">
      <c r="A316" s="2">
        <v>41</v>
      </c>
      <c r="B316" s="109" t="s">
        <v>114</v>
      </c>
      <c r="C316" s="110" t="s">
        <v>115</v>
      </c>
      <c r="D316" s="2">
        <v>48</v>
      </c>
      <c r="E316" s="51">
        <v>15.849721162312886</v>
      </c>
      <c r="F316" s="105"/>
      <c r="H316" s="2"/>
      <c r="I316" s="2">
        <v>2</v>
      </c>
      <c r="J316" s="2">
        <v>0</v>
      </c>
      <c r="K316" s="2">
        <v>0</v>
      </c>
      <c r="L316" s="2">
        <v>18.96</v>
      </c>
      <c r="M316" s="2">
        <v>19.8</v>
      </c>
      <c r="N316" s="244">
        <v>3.4595000000000001E-2</v>
      </c>
      <c r="O316" s="2" t="s">
        <v>108</v>
      </c>
      <c r="P316" s="2">
        <v>100</v>
      </c>
      <c r="Q316" s="2" t="s">
        <v>55</v>
      </c>
      <c r="R316" s="2" t="s">
        <v>114</v>
      </c>
      <c r="S316" s="2"/>
      <c r="T316" s="2">
        <v>11.68</v>
      </c>
      <c r="U316" s="398">
        <v>560.64</v>
      </c>
      <c r="V316" s="7">
        <v>760.78661579101845</v>
      </c>
      <c r="W316" s="7" t="s">
        <v>660</v>
      </c>
    </row>
    <row r="317" spans="1:23" x14ac:dyDescent="0.35">
      <c r="A317" s="2">
        <v>41</v>
      </c>
      <c r="B317" s="109" t="s">
        <v>116</v>
      </c>
      <c r="C317" s="110" t="s">
        <v>117</v>
      </c>
      <c r="D317" s="2">
        <v>48</v>
      </c>
      <c r="E317" s="51">
        <v>15.849721162312886</v>
      </c>
      <c r="F317" s="105"/>
      <c r="H317" s="2"/>
      <c r="I317" s="2">
        <v>2</v>
      </c>
      <c r="J317" s="2">
        <v>0</v>
      </c>
      <c r="K317" s="2">
        <v>0</v>
      </c>
      <c r="L317" s="2">
        <v>18.239999999999998</v>
      </c>
      <c r="M317" s="2">
        <v>19</v>
      </c>
      <c r="N317" s="244">
        <v>3.5062500000000003E-2</v>
      </c>
      <c r="O317" s="2" t="s">
        <v>108</v>
      </c>
      <c r="P317" s="2">
        <v>100</v>
      </c>
      <c r="Q317" s="2" t="s">
        <v>55</v>
      </c>
      <c r="R317" s="2" t="s">
        <v>116</v>
      </c>
      <c r="S317" s="2"/>
      <c r="T317" s="2">
        <v>11.68</v>
      </c>
      <c r="U317" s="398">
        <v>560.64</v>
      </c>
      <c r="V317" s="7">
        <v>760.78661579101845</v>
      </c>
      <c r="W317" s="7" t="s">
        <v>660</v>
      </c>
    </row>
    <row r="318" spans="1:23" x14ac:dyDescent="0.35">
      <c r="A318" s="2">
        <v>41</v>
      </c>
      <c r="B318" s="109" t="s">
        <v>118</v>
      </c>
      <c r="C318" s="110" t="s">
        <v>119</v>
      </c>
      <c r="D318" s="2">
        <v>48</v>
      </c>
      <c r="E318" s="51">
        <v>15.849721162312886</v>
      </c>
      <c r="F318" s="105"/>
      <c r="H318" s="2"/>
      <c r="I318" s="2">
        <v>2</v>
      </c>
      <c r="J318" s="2">
        <v>0</v>
      </c>
      <c r="K318" s="2">
        <v>0</v>
      </c>
      <c r="L318" s="2">
        <v>18.239999999999998</v>
      </c>
      <c r="M318" s="2">
        <v>19</v>
      </c>
      <c r="N318" s="244">
        <v>3.5062500000000003E-2</v>
      </c>
      <c r="O318" s="2" t="s">
        <v>108</v>
      </c>
      <c r="P318" s="2">
        <v>100</v>
      </c>
      <c r="Q318" s="2" t="s">
        <v>55</v>
      </c>
      <c r="R318" s="2" t="s">
        <v>118</v>
      </c>
      <c r="S318" s="2"/>
      <c r="T318" s="2">
        <v>11.68</v>
      </c>
      <c r="U318" s="398">
        <v>560.64</v>
      </c>
      <c r="V318" s="7">
        <v>760.78661579101845</v>
      </c>
      <c r="W318" s="7" t="s">
        <v>660</v>
      </c>
    </row>
    <row r="319" spans="1:23" x14ac:dyDescent="0.35">
      <c r="A319" s="2">
        <v>41</v>
      </c>
      <c r="B319" s="109" t="s">
        <v>120</v>
      </c>
      <c r="C319" s="110" t="s">
        <v>121</v>
      </c>
      <c r="D319" s="2">
        <v>48</v>
      </c>
      <c r="E319" s="51">
        <v>15.849721162312886</v>
      </c>
      <c r="F319" s="105"/>
      <c r="H319" s="2"/>
      <c r="I319" s="2">
        <v>2</v>
      </c>
      <c r="J319" s="2">
        <v>0</v>
      </c>
      <c r="K319" s="2">
        <v>0</v>
      </c>
      <c r="L319" s="2">
        <v>18.239999999999998</v>
      </c>
      <c r="M319" s="2">
        <v>19</v>
      </c>
      <c r="N319" s="244">
        <v>3.5062500000000003E-2</v>
      </c>
      <c r="O319" s="2" t="s">
        <v>108</v>
      </c>
      <c r="P319" s="2">
        <v>100</v>
      </c>
      <c r="Q319" s="2" t="s">
        <v>55</v>
      </c>
      <c r="R319" s="2" t="s">
        <v>120</v>
      </c>
      <c r="S319" s="2"/>
      <c r="T319" s="2">
        <v>11.68</v>
      </c>
      <c r="U319" s="398">
        <v>560.64</v>
      </c>
      <c r="V319" s="7">
        <v>760.78661579101845</v>
      </c>
      <c r="W319" s="7" t="s">
        <v>660</v>
      </c>
    </row>
    <row r="320" spans="1:23" x14ac:dyDescent="0.35">
      <c r="A320" s="2">
        <v>41</v>
      </c>
      <c r="B320" s="109" t="s">
        <v>122</v>
      </c>
      <c r="C320" s="110" t="s">
        <v>123</v>
      </c>
      <c r="D320" s="2">
        <v>48</v>
      </c>
      <c r="E320" s="51">
        <v>15.849721162312886</v>
      </c>
      <c r="F320" s="105"/>
      <c r="H320" s="2"/>
      <c r="I320" s="2">
        <v>2</v>
      </c>
      <c r="J320" s="2">
        <v>0</v>
      </c>
      <c r="K320" s="2">
        <v>0</v>
      </c>
      <c r="L320" s="2">
        <v>18.239999999999998</v>
      </c>
      <c r="M320" s="2">
        <v>19</v>
      </c>
      <c r="N320" s="244">
        <v>3.5062500000000003E-2</v>
      </c>
      <c r="O320" s="2" t="s">
        <v>108</v>
      </c>
      <c r="P320" s="2">
        <v>100</v>
      </c>
      <c r="Q320" s="2" t="s">
        <v>55</v>
      </c>
      <c r="R320" s="2" t="s">
        <v>122</v>
      </c>
      <c r="S320" s="2"/>
      <c r="T320" s="2">
        <v>11.68</v>
      </c>
      <c r="U320" s="398">
        <v>560.64</v>
      </c>
      <c r="V320" s="7">
        <v>760.78661579101845</v>
      </c>
      <c r="W320" s="7" t="s">
        <v>660</v>
      </c>
    </row>
    <row r="321" spans="1:23" x14ac:dyDescent="0.35">
      <c r="A321" s="2">
        <v>41</v>
      </c>
      <c r="B321" s="109" t="s">
        <v>141</v>
      </c>
      <c r="C321" s="110" t="s">
        <v>142</v>
      </c>
      <c r="D321" s="2">
        <v>48</v>
      </c>
      <c r="E321" s="51">
        <v>15.849721162312886</v>
      </c>
      <c r="F321" s="105"/>
      <c r="H321" s="2"/>
      <c r="I321" s="2">
        <v>2</v>
      </c>
      <c r="J321" s="2">
        <v>0</v>
      </c>
      <c r="K321" s="2">
        <v>0</v>
      </c>
      <c r="L321" s="2">
        <v>18.96</v>
      </c>
      <c r="M321" s="2">
        <v>19.8</v>
      </c>
      <c r="N321" s="244">
        <v>3.5062500000000003E-2</v>
      </c>
      <c r="O321" s="2" t="s">
        <v>108</v>
      </c>
      <c r="P321" s="2">
        <v>100</v>
      </c>
      <c r="Q321" s="2" t="s">
        <v>55</v>
      </c>
      <c r="R321" s="2" t="s">
        <v>141</v>
      </c>
      <c r="S321" s="2"/>
      <c r="T321" s="2">
        <v>11.68</v>
      </c>
      <c r="U321" s="398">
        <v>560.64</v>
      </c>
      <c r="V321" s="7">
        <v>760.78661579101845</v>
      </c>
      <c r="W321" s="7" t="s">
        <v>660</v>
      </c>
    </row>
    <row r="322" spans="1:23" x14ac:dyDescent="0.35">
      <c r="A322" s="2">
        <v>41</v>
      </c>
      <c r="B322" s="109" t="s">
        <v>143</v>
      </c>
      <c r="C322" s="110" t="s">
        <v>144</v>
      </c>
      <c r="D322" s="2">
        <v>48</v>
      </c>
      <c r="E322" s="51">
        <v>15.849721162312886</v>
      </c>
      <c r="F322" s="105"/>
      <c r="H322" s="2"/>
      <c r="I322" s="2">
        <v>2</v>
      </c>
      <c r="J322" s="2">
        <v>0</v>
      </c>
      <c r="K322" s="2">
        <v>0</v>
      </c>
      <c r="L322" s="2">
        <v>18.96</v>
      </c>
      <c r="M322" s="2">
        <v>19.8</v>
      </c>
      <c r="N322" s="244">
        <v>3.5062500000000003E-2</v>
      </c>
      <c r="O322" s="2" t="s">
        <v>108</v>
      </c>
      <c r="P322" s="2">
        <v>100</v>
      </c>
      <c r="Q322" s="2" t="s">
        <v>55</v>
      </c>
      <c r="R322" s="2" t="s">
        <v>143</v>
      </c>
      <c r="S322" s="2"/>
      <c r="T322" s="2">
        <v>11.68</v>
      </c>
      <c r="U322" s="398">
        <v>560.64</v>
      </c>
      <c r="V322" s="7">
        <v>760.78661579101845</v>
      </c>
      <c r="W322" s="7" t="s">
        <v>660</v>
      </c>
    </row>
    <row r="323" spans="1:23" x14ac:dyDescent="0.35">
      <c r="A323" s="2">
        <v>42</v>
      </c>
      <c r="B323" s="109" t="s">
        <v>54</v>
      </c>
      <c r="C323" s="110" t="s">
        <v>56</v>
      </c>
      <c r="D323" s="2">
        <v>3316</v>
      </c>
      <c r="E323" s="51">
        <v>4.4139999999999997</v>
      </c>
      <c r="F323" s="105"/>
      <c r="H323" s="2">
        <v>4</v>
      </c>
      <c r="I323" s="2">
        <v>139</v>
      </c>
      <c r="J323" s="2">
        <v>0</v>
      </c>
      <c r="K323" s="2">
        <v>1</v>
      </c>
      <c r="L323" s="2">
        <v>664</v>
      </c>
      <c r="M323" s="2">
        <v>719.33333333333337</v>
      </c>
      <c r="N323" s="244">
        <v>1.99478125</v>
      </c>
      <c r="O323" s="2" t="s">
        <v>1147</v>
      </c>
      <c r="P323" s="2">
        <v>50</v>
      </c>
      <c r="Q323" s="2" t="s">
        <v>55</v>
      </c>
      <c r="R323" s="2" t="s">
        <v>54</v>
      </c>
      <c r="S323" s="2"/>
      <c r="T323" s="2" t="s">
        <v>861</v>
      </c>
      <c r="U323" s="398"/>
      <c r="V323" s="7">
        <v>14636.823999999999</v>
      </c>
      <c r="W323" s="7" t="s">
        <v>1084</v>
      </c>
    </row>
    <row r="324" spans="1:23" x14ac:dyDescent="0.35">
      <c r="A324" s="2">
        <v>42</v>
      </c>
      <c r="B324" s="109" t="s">
        <v>60</v>
      </c>
      <c r="C324" s="110" t="s">
        <v>61</v>
      </c>
      <c r="D324" s="2">
        <v>4352</v>
      </c>
      <c r="E324" s="51">
        <v>4.4139999999999997</v>
      </c>
      <c r="F324" s="105"/>
      <c r="H324" s="2"/>
      <c r="I324" s="2">
        <v>182</v>
      </c>
      <c r="J324" s="2">
        <v>0</v>
      </c>
      <c r="K324" s="2">
        <v>0</v>
      </c>
      <c r="L324" s="2">
        <v>870.4</v>
      </c>
      <c r="M324" s="2">
        <v>942.93333333333339</v>
      </c>
      <c r="N324" s="244">
        <v>2.6180000000000003</v>
      </c>
      <c r="O324" s="2" t="s">
        <v>1147</v>
      </c>
      <c r="P324" s="2">
        <v>50</v>
      </c>
      <c r="Q324" s="2" t="s">
        <v>55</v>
      </c>
      <c r="R324" s="2" t="s">
        <v>60</v>
      </c>
      <c r="S324" s="2"/>
      <c r="T324" s="2" t="s">
        <v>861</v>
      </c>
      <c r="U324" s="398"/>
      <c r="V324" s="7">
        <v>19209.727999999999</v>
      </c>
      <c r="W324" s="7" t="s">
        <v>1084</v>
      </c>
    </row>
    <row r="325" spans="1:23" x14ac:dyDescent="0.35">
      <c r="A325" s="2">
        <v>43</v>
      </c>
      <c r="B325" s="109" t="s">
        <v>118</v>
      </c>
      <c r="C325" s="110" t="s">
        <v>119</v>
      </c>
      <c r="D325" s="2"/>
      <c r="E325" s="51"/>
      <c r="F325" s="105"/>
      <c r="H325" s="2">
        <v>681</v>
      </c>
      <c r="I325" s="2">
        <v>0</v>
      </c>
      <c r="J325" s="2">
        <v>0</v>
      </c>
      <c r="K325" s="2">
        <v>29</v>
      </c>
      <c r="L325" s="2">
        <v>258.77999999999997</v>
      </c>
      <c r="M325" s="2">
        <v>269.5625</v>
      </c>
      <c r="N325" s="244">
        <v>0</v>
      </c>
      <c r="O325" s="2" t="s">
        <v>108</v>
      </c>
      <c r="P325" s="2">
        <v>100</v>
      </c>
      <c r="Q325" s="2" t="s">
        <v>55</v>
      </c>
      <c r="R325" s="2" t="s">
        <v>118</v>
      </c>
      <c r="S325" s="2"/>
      <c r="T325" s="2" t="s">
        <v>861</v>
      </c>
      <c r="U325" s="398"/>
      <c r="V325" s="7">
        <v>0</v>
      </c>
      <c r="W325" s="7" t="s">
        <v>1084</v>
      </c>
    </row>
    <row r="326" spans="1:23" x14ac:dyDescent="0.35">
      <c r="A326" s="2">
        <v>44</v>
      </c>
      <c r="B326" s="109" t="s">
        <v>58</v>
      </c>
      <c r="C326" s="110" t="s">
        <v>59</v>
      </c>
      <c r="D326" s="2">
        <v>4608</v>
      </c>
      <c r="E326" s="51">
        <v>4.4139999999999997</v>
      </c>
      <c r="F326" s="105"/>
      <c r="H326" s="2"/>
      <c r="I326" s="2">
        <v>192</v>
      </c>
      <c r="J326" s="2">
        <v>0</v>
      </c>
      <c r="K326" s="2">
        <v>0</v>
      </c>
      <c r="L326" s="2">
        <v>921.59999999999991</v>
      </c>
      <c r="M326" s="2">
        <v>998.40000000000009</v>
      </c>
      <c r="N326" s="244">
        <v>2.7719999999999998</v>
      </c>
      <c r="O326" s="2" t="s">
        <v>1147</v>
      </c>
      <c r="P326" s="2">
        <v>50</v>
      </c>
      <c r="Q326" s="2" t="s">
        <v>55</v>
      </c>
      <c r="R326" s="2" t="s">
        <v>58</v>
      </c>
      <c r="S326" s="2"/>
      <c r="T326" s="2" t="s">
        <v>861</v>
      </c>
      <c r="U326" s="398"/>
      <c r="V326" s="7">
        <v>20339.712</v>
      </c>
      <c r="W326" s="7" t="s">
        <v>1084</v>
      </c>
    </row>
    <row r="327" spans="1:23" x14ac:dyDescent="0.35">
      <c r="A327" s="2">
        <v>44</v>
      </c>
      <c r="B327" s="109" t="s">
        <v>62</v>
      </c>
      <c r="C327" s="110" t="s">
        <v>63</v>
      </c>
      <c r="D327" s="2">
        <v>4603</v>
      </c>
      <c r="E327" s="51">
        <v>4.4139999999999997</v>
      </c>
      <c r="F327" s="105"/>
      <c r="H327" s="2">
        <v>5</v>
      </c>
      <c r="I327" s="2">
        <v>192</v>
      </c>
      <c r="J327" s="2">
        <v>0</v>
      </c>
      <c r="K327" s="2">
        <v>1</v>
      </c>
      <c r="L327" s="2">
        <v>921.59999999999991</v>
      </c>
      <c r="M327" s="2">
        <v>998.40000000000009</v>
      </c>
      <c r="N327" s="244">
        <v>2.7689921874999994</v>
      </c>
      <c r="O327" s="2" t="s">
        <v>1147</v>
      </c>
      <c r="P327" s="2">
        <v>50</v>
      </c>
      <c r="Q327" s="2" t="s">
        <v>55</v>
      </c>
      <c r="R327" s="2" t="s">
        <v>62</v>
      </c>
      <c r="S327" s="2"/>
      <c r="T327" s="2" t="s">
        <v>861</v>
      </c>
      <c r="U327" s="398"/>
      <c r="V327" s="7">
        <v>20317.642</v>
      </c>
      <c r="W327" s="7" t="s">
        <v>1084</v>
      </c>
    </row>
    <row r="328" spans="1:23" x14ac:dyDescent="0.35">
      <c r="A328" s="2">
        <v>44</v>
      </c>
      <c r="B328" s="109" t="s">
        <v>64</v>
      </c>
      <c r="C328" s="110" t="s">
        <v>65</v>
      </c>
      <c r="D328" s="2">
        <v>4680</v>
      </c>
      <c r="E328" s="51">
        <v>4.4139999999999997</v>
      </c>
      <c r="F328" s="105"/>
      <c r="H328" s="2">
        <v>312</v>
      </c>
      <c r="I328" s="2">
        <v>195</v>
      </c>
      <c r="J328" s="2">
        <v>0</v>
      </c>
      <c r="K328" s="2">
        <v>13</v>
      </c>
      <c r="L328" s="2">
        <v>973.43999999999994</v>
      </c>
      <c r="M328" s="2">
        <v>1056.6400000000001</v>
      </c>
      <c r="N328" s="244">
        <v>3.5948834999999999</v>
      </c>
      <c r="O328" s="2" t="s">
        <v>1147</v>
      </c>
      <c r="P328" s="2">
        <v>50</v>
      </c>
      <c r="Q328" s="2" t="s">
        <v>55</v>
      </c>
      <c r="R328" s="2" t="s">
        <v>64</v>
      </c>
      <c r="S328" s="2"/>
      <c r="T328" s="2" t="s">
        <v>861</v>
      </c>
      <c r="U328" s="398"/>
      <c r="V328" s="7">
        <v>20657.519999999997</v>
      </c>
      <c r="W328" s="7" t="s">
        <v>1084</v>
      </c>
    </row>
    <row r="329" spans="1:23" x14ac:dyDescent="0.35">
      <c r="A329" s="2">
        <v>44</v>
      </c>
      <c r="B329" s="109" t="s">
        <v>66</v>
      </c>
      <c r="C329" s="110" t="s">
        <v>67</v>
      </c>
      <c r="D329" s="2">
        <v>4290</v>
      </c>
      <c r="E329" s="51">
        <v>4.4139999999999997</v>
      </c>
      <c r="F329" s="105"/>
      <c r="H329" s="2">
        <v>318</v>
      </c>
      <c r="I329" s="2">
        <v>179</v>
      </c>
      <c r="J329" s="2">
        <v>0</v>
      </c>
      <c r="K329" s="2">
        <v>14</v>
      </c>
      <c r="L329" s="2">
        <v>898.56</v>
      </c>
      <c r="M329" s="2">
        <v>975.36</v>
      </c>
      <c r="N329" s="244">
        <v>3.2953098750000001</v>
      </c>
      <c r="O329" s="2" t="s">
        <v>1147</v>
      </c>
      <c r="P329" s="2">
        <v>50</v>
      </c>
      <c r="Q329" s="2" t="s">
        <v>55</v>
      </c>
      <c r="R329" s="2" t="s">
        <v>66</v>
      </c>
      <c r="S329" s="2"/>
      <c r="T329" s="2" t="s">
        <v>861</v>
      </c>
      <c r="U329" s="398"/>
      <c r="V329" s="7">
        <v>18936.059999999998</v>
      </c>
      <c r="W329" s="7" t="s">
        <v>1084</v>
      </c>
    </row>
    <row r="330" spans="1:23" x14ac:dyDescent="0.35">
      <c r="A330" s="2">
        <v>44</v>
      </c>
      <c r="B330" s="109" t="s">
        <v>68</v>
      </c>
      <c r="C330" s="110" t="s">
        <v>69</v>
      </c>
      <c r="D330" s="2">
        <v>4292</v>
      </c>
      <c r="E330" s="51">
        <v>4.4139999999999997</v>
      </c>
      <c r="F330" s="105"/>
      <c r="H330" s="2">
        <v>316</v>
      </c>
      <c r="I330" s="2">
        <v>179</v>
      </c>
      <c r="J330" s="2">
        <v>0</v>
      </c>
      <c r="K330" s="2">
        <v>14</v>
      </c>
      <c r="L330" s="2">
        <v>898.56</v>
      </c>
      <c r="M330" s="2">
        <v>975.36</v>
      </c>
      <c r="N330" s="244">
        <v>3.2968461499999999</v>
      </c>
      <c r="O330" s="2" t="s">
        <v>1147</v>
      </c>
      <c r="P330" s="2">
        <v>50</v>
      </c>
      <c r="Q330" s="2" t="s">
        <v>55</v>
      </c>
      <c r="R330" s="2" t="s">
        <v>68</v>
      </c>
      <c r="S330" s="2"/>
      <c r="T330" s="2" t="s">
        <v>861</v>
      </c>
      <c r="U330" s="398"/>
      <c r="V330" s="7">
        <v>18944.887999999999</v>
      </c>
      <c r="W330" s="7" t="s">
        <v>1084</v>
      </c>
    </row>
    <row r="331" spans="1:23" x14ac:dyDescent="0.35">
      <c r="A331" s="2">
        <v>44</v>
      </c>
      <c r="B331" s="109" t="s">
        <v>70</v>
      </c>
      <c r="C331" s="110" t="s">
        <v>71</v>
      </c>
      <c r="D331" s="2">
        <v>4437</v>
      </c>
      <c r="E331" s="51">
        <v>4.4139999999999997</v>
      </c>
      <c r="F331" s="105"/>
      <c r="H331" s="2">
        <v>318</v>
      </c>
      <c r="I331" s="2">
        <v>185</v>
      </c>
      <c r="J331" s="2">
        <v>0</v>
      </c>
      <c r="K331" s="2">
        <v>14</v>
      </c>
      <c r="L331" s="2">
        <v>927.22499999999991</v>
      </c>
      <c r="M331" s="2">
        <v>1006.475</v>
      </c>
      <c r="N331" s="244">
        <v>3.4082260875000001</v>
      </c>
      <c r="O331" s="2" t="s">
        <v>1147</v>
      </c>
      <c r="P331" s="2">
        <v>50</v>
      </c>
      <c r="Q331" s="2" t="s">
        <v>55</v>
      </c>
      <c r="R331" s="2" t="s">
        <v>70</v>
      </c>
      <c r="S331" s="2"/>
      <c r="T331" s="2" t="s">
        <v>861</v>
      </c>
      <c r="U331" s="398"/>
      <c r="V331" s="7">
        <v>19584.917999999998</v>
      </c>
      <c r="W331" s="7" t="s">
        <v>1084</v>
      </c>
    </row>
    <row r="332" spans="1:23" x14ac:dyDescent="0.35">
      <c r="A332" s="2">
        <v>45</v>
      </c>
      <c r="B332" s="109" t="s">
        <v>141</v>
      </c>
      <c r="C332" s="110" t="s">
        <v>142</v>
      </c>
      <c r="D332" s="2">
        <v>902</v>
      </c>
      <c r="E332" s="51">
        <v>11.68</v>
      </c>
      <c r="F332" s="105"/>
      <c r="H332" s="2"/>
      <c r="I332" s="2">
        <v>38</v>
      </c>
      <c r="J332" s="2">
        <v>0</v>
      </c>
      <c r="K332" s="2">
        <v>0</v>
      </c>
      <c r="L332" s="2">
        <v>356.29</v>
      </c>
      <c r="M332" s="2">
        <v>372.07500000000005</v>
      </c>
      <c r="N332" s="244">
        <v>0.65888281250000003</v>
      </c>
      <c r="O332" s="2" t="s">
        <v>108</v>
      </c>
      <c r="P332" s="2">
        <v>100</v>
      </c>
      <c r="Q332" s="2" t="s">
        <v>55</v>
      </c>
      <c r="R332" s="2" t="s">
        <v>141</v>
      </c>
      <c r="S332" s="2"/>
      <c r="T332" s="2" t="s">
        <v>861</v>
      </c>
      <c r="U332" s="398"/>
      <c r="V332" s="7">
        <v>10535.36</v>
      </c>
      <c r="W332" s="7" t="s">
        <v>1084</v>
      </c>
    </row>
    <row r="333" spans="1:23" x14ac:dyDescent="0.35">
      <c r="A333" s="2">
        <v>45</v>
      </c>
      <c r="B333" s="109" t="s">
        <v>143</v>
      </c>
      <c r="C333" s="110" t="s">
        <v>144</v>
      </c>
      <c r="D333" s="2">
        <v>1016</v>
      </c>
      <c r="E333" s="51">
        <v>11.68</v>
      </c>
      <c r="F333" s="105"/>
      <c r="H333" s="2"/>
      <c r="I333" s="2">
        <v>43</v>
      </c>
      <c r="J333" s="2">
        <v>0</v>
      </c>
      <c r="K333" s="2">
        <v>0</v>
      </c>
      <c r="L333" s="2">
        <v>401.32000000000005</v>
      </c>
      <c r="M333" s="2">
        <v>419.1</v>
      </c>
      <c r="N333" s="244">
        <v>0.74215624999999996</v>
      </c>
      <c r="O333" s="2" t="s">
        <v>108</v>
      </c>
      <c r="P333" s="2">
        <v>100</v>
      </c>
      <c r="Q333" s="2" t="s">
        <v>55</v>
      </c>
      <c r="R333" s="2" t="s">
        <v>143</v>
      </c>
      <c r="S333" s="2"/>
      <c r="T333" s="2" t="s">
        <v>861</v>
      </c>
      <c r="U333" s="398"/>
      <c r="V333" s="7">
        <v>11866.88</v>
      </c>
      <c r="W333" s="7" t="s">
        <v>1084</v>
      </c>
    </row>
    <row r="334" spans="1:23" x14ac:dyDescent="0.35">
      <c r="A334" s="2">
        <v>46</v>
      </c>
      <c r="B334" s="109" t="s">
        <v>179</v>
      </c>
      <c r="C334" s="110" t="s">
        <v>181</v>
      </c>
      <c r="D334" s="2">
        <v>22092</v>
      </c>
      <c r="E334" s="51">
        <v>0.93</v>
      </c>
      <c r="F334" s="105"/>
      <c r="H334" s="2"/>
      <c r="I334" s="2">
        <v>461</v>
      </c>
      <c r="J334" s="2">
        <v>0</v>
      </c>
      <c r="K334" s="2">
        <v>0</v>
      </c>
      <c r="L334" s="2">
        <v>0</v>
      </c>
      <c r="M334" s="2">
        <v>0</v>
      </c>
      <c r="N334" s="244">
        <v>0</v>
      </c>
      <c r="O334" s="2" t="s">
        <v>180</v>
      </c>
      <c r="P334" s="2">
        <v>0</v>
      </c>
      <c r="Q334" s="2">
        <v>33072000</v>
      </c>
      <c r="R334" s="2" t="s">
        <v>179</v>
      </c>
      <c r="S334" s="2"/>
      <c r="T334" s="2" t="s">
        <v>861</v>
      </c>
      <c r="U334" s="398"/>
      <c r="V334" s="7">
        <v>20545.560000000001</v>
      </c>
      <c r="W334" s="7" t="s">
        <v>1084</v>
      </c>
    </row>
    <row r="335" spans="1:23" x14ac:dyDescent="0.35">
      <c r="A335" s="2">
        <v>46</v>
      </c>
      <c r="B335" s="109" t="s">
        <v>182</v>
      </c>
      <c r="C335" s="110" t="s">
        <v>183</v>
      </c>
      <c r="D335" s="2">
        <v>24828</v>
      </c>
      <c r="E335" s="51">
        <v>0.93</v>
      </c>
      <c r="F335" s="105"/>
      <c r="H335" s="2"/>
      <c r="I335" s="2">
        <v>518</v>
      </c>
      <c r="J335" s="2">
        <v>0</v>
      </c>
      <c r="K335" s="2">
        <v>0</v>
      </c>
      <c r="L335" s="2">
        <v>0</v>
      </c>
      <c r="M335" s="2">
        <v>0</v>
      </c>
      <c r="N335" s="244">
        <v>0</v>
      </c>
      <c r="O335" s="2" t="s">
        <v>180</v>
      </c>
      <c r="P335" s="2">
        <v>0</v>
      </c>
      <c r="Q335" s="2">
        <v>33072000</v>
      </c>
      <c r="R335" s="2" t="s">
        <v>182</v>
      </c>
      <c r="S335" s="2"/>
      <c r="T335" s="2" t="s">
        <v>861</v>
      </c>
      <c r="U335" s="398"/>
      <c r="V335" s="7">
        <v>23090.04</v>
      </c>
      <c r="W335" s="7" t="s">
        <v>1084</v>
      </c>
    </row>
    <row r="336" spans="1:23" x14ac:dyDescent="0.35">
      <c r="A336" s="2">
        <v>46</v>
      </c>
      <c r="B336" s="109" t="s">
        <v>184</v>
      </c>
      <c r="C336" s="110" t="s">
        <v>185</v>
      </c>
      <c r="D336" s="2">
        <v>21120</v>
      </c>
      <c r="E336" s="51">
        <v>0.93</v>
      </c>
      <c r="F336" s="105"/>
      <c r="H336" s="2"/>
      <c r="I336" s="2">
        <v>440</v>
      </c>
      <c r="J336" s="2">
        <v>0</v>
      </c>
      <c r="K336" s="2">
        <v>0</v>
      </c>
      <c r="L336" s="2">
        <v>0</v>
      </c>
      <c r="M336" s="2">
        <v>0</v>
      </c>
      <c r="N336" s="244">
        <v>0</v>
      </c>
      <c r="O336" s="2" t="s">
        <v>180</v>
      </c>
      <c r="P336" s="2">
        <v>0</v>
      </c>
      <c r="Q336" s="2">
        <v>33072000</v>
      </c>
      <c r="R336" s="2" t="s">
        <v>184</v>
      </c>
      <c r="S336" s="2"/>
      <c r="T336" s="2" t="s">
        <v>861</v>
      </c>
      <c r="U336" s="398"/>
      <c r="V336" s="7">
        <v>19641.600000000002</v>
      </c>
      <c r="W336" s="7" t="s">
        <v>1084</v>
      </c>
    </row>
    <row r="337" spans="1:23" x14ac:dyDescent="0.35">
      <c r="A337" s="2">
        <v>46</v>
      </c>
      <c r="B337" s="109" t="s">
        <v>186</v>
      </c>
      <c r="C337" s="110" t="s">
        <v>187</v>
      </c>
      <c r="D337" s="2">
        <v>23352</v>
      </c>
      <c r="E337" s="51">
        <v>0.93</v>
      </c>
      <c r="F337" s="105"/>
      <c r="H337" s="2"/>
      <c r="I337" s="2">
        <v>487</v>
      </c>
      <c r="J337" s="2">
        <v>0</v>
      </c>
      <c r="K337" s="2">
        <v>0</v>
      </c>
      <c r="L337" s="2">
        <v>0</v>
      </c>
      <c r="M337" s="2">
        <v>0</v>
      </c>
      <c r="N337" s="244">
        <v>0</v>
      </c>
      <c r="O337" s="2" t="s">
        <v>180</v>
      </c>
      <c r="P337" s="2">
        <v>0</v>
      </c>
      <c r="Q337" s="2">
        <v>33072000</v>
      </c>
      <c r="R337" s="2" t="s">
        <v>186</v>
      </c>
      <c r="S337" s="2"/>
      <c r="T337" s="2" t="s">
        <v>861</v>
      </c>
      <c r="U337" s="398"/>
      <c r="V337" s="7">
        <v>21717.360000000001</v>
      </c>
      <c r="W337" s="7" t="s">
        <v>1084</v>
      </c>
    </row>
    <row r="338" spans="1:23" x14ac:dyDescent="0.35">
      <c r="A338" s="2">
        <v>47</v>
      </c>
      <c r="B338" s="109" t="s">
        <v>162</v>
      </c>
      <c r="C338" s="110" t="s">
        <v>163</v>
      </c>
      <c r="D338" s="2">
        <v>10368</v>
      </c>
      <c r="E338" s="51">
        <v>0.81599999999999995</v>
      </c>
      <c r="F338" s="105"/>
      <c r="H338" s="2"/>
      <c r="I338" s="2">
        <v>216</v>
      </c>
      <c r="J338" s="2">
        <v>0</v>
      </c>
      <c r="K338" s="2">
        <v>0</v>
      </c>
      <c r="L338" s="2">
        <v>1615.68</v>
      </c>
      <c r="M338" s="2">
        <v>1663.2</v>
      </c>
      <c r="N338" s="244">
        <v>7.354152</v>
      </c>
      <c r="O338" s="2" t="s">
        <v>150</v>
      </c>
      <c r="P338" s="2">
        <v>175</v>
      </c>
      <c r="Q338" s="2" t="s">
        <v>151</v>
      </c>
      <c r="R338" s="2" t="s">
        <v>162</v>
      </c>
      <c r="S338" s="2"/>
      <c r="T338" s="2" t="s">
        <v>861</v>
      </c>
      <c r="U338" s="398"/>
      <c r="V338" s="7">
        <v>8460.2879999999986</v>
      </c>
      <c r="W338" s="7" t="s">
        <v>1084</v>
      </c>
    </row>
    <row r="339" spans="1:23" x14ac:dyDescent="0.35">
      <c r="A339" s="2">
        <v>47</v>
      </c>
      <c r="B339" s="109" t="s">
        <v>164</v>
      </c>
      <c r="C339" s="110" t="s">
        <v>165</v>
      </c>
      <c r="D339" s="2">
        <v>10368</v>
      </c>
      <c r="E339" s="51">
        <v>0.81599999999999995</v>
      </c>
      <c r="F339" s="105"/>
      <c r="H339" s="2"/>
      <c r="I339" s="2">
        <v>216</v>
      </c>
      <c r="J339" s="2">
        <v>0</v>
      </c>
      <c r="K339" s="2">
        <v>0</v>
      </c>
      <c r="L339" s="2">
        <v>1615.68</v>
      </c>
      <c r="M339" s="2">
        <v>1663.2</v>
      </c>
      <c r="N339" s="244">
        <v>7.354152</v>
      </c>
      <c r="O339" s="2" t="s">
        <v>150</v>
      </c>
      <c r="P339" s="2">
        <v>175</v>
      </c>
      <c r="Q339" s="2" t="s">
        <v>151</v>
      </c>
      <c r="R339" s="2" t="s">
        <v>164</v>
      </c>
      <c r="S339" s="2"/>
      <c r="T339" s="2" t="s">
        <v>861</v>
      </c>
      <c r="U339" s="398"/>
      <c r="V339" s="7">
        <v>8460.2879999999986</v>
      </c>
      <c r="W339" s="7" t="s">
        <v>1084</v>
      </c>
    </row>
    <row r="340" spans="1:23" x14ac:dyDescent="0.35">
      <c r="A340" s="2">
        <v>47</v>
      </c>
      <c r="B340" s="109" t="s">
        <v>166</v>
      </c>
      <c r="C340" s="110" t="s">
        <v>167</v>
      </c>
      <c r="D340" s="2">
        <v>10368</v>
      </c>
      <c r="E340" s="51">
        <v>0.81599999999999995</v>
      </c>
      <c r="F340" s="105"/>
      <c r="H340" s="2"/>
      <c r="I340" s="2">
        <v>216</v>
      </c>
      <c r="J340" s="2">
        <v>0</v>
      </c>
      <c r="K340" s="2">
        <v>0</v>
      </c>
      <c r="L340" s="2">
        <v>1615.68</v>
      </c>
      <c r="M340" s="2">
        <v>1663.2</v>
      </c>
      <c r="N340" s="244">
        <v>7.354152</v>
      </c>
      <c r="O340" s="2" t="s">
        <v>150</v>
      </c>
      <c r="P340" s="2">
        <v>175</v>
      </c>
      <c r="Q340" s="2" t="s">
        <v>151</v>
      </c>
      <c r="R340" s="2" t="s">
        <v>166</v>
      </c>
      <c r="S340" s="2"/>
      <c r="T340" s="2" t="s">
        <v>861</v>
      </c>
      <c r="U340" s="398"/>
      <c r="V340" s="7">
        <v>8460.2879999999986</v>
      </c>
      <c r="W340" s="7" t="s">
        <v>1084</v>
      </c>
    </row>
    <row r="341" spans="1:23" x14ac:dyDescent="0.35">
      <c r="A341" s="2">
        <v>47</v>
      </c>
      <c r="B341" s="109" t="s">
        <v>93</v>
      </c>
      <c r="C341" s="110" t="s">
        <v>94</v>
      </c>
      <c r="D341" s="2">
        <v>10368</v>
      </c>
      <c r="E341" s="51">
        <v>0.81599999999999995</v>
      </c>
      <c r="F341" s="105"/>
      <c r="H341" s="2"/>
      <c r="I341" s="2">
        <v>432</v>
      </c>
      <c r="J341" s="2">
        <v>0</v>
      </c>
      <c r="K341" s="2">
        <v>0</v>
      </c>
      <c r="L341" s="2">
        <v>3248.64</v>
      </c>
      <c r="M341" s="2">
        <v>3555.36</v>
      </c>
      <c r="N341" s="244">
        <v>9.6966719999999995</v>
      </c>
      <c r="O341" s="2" t="s">
        <v>1147</v>
      </c>
      <c r="P341" s="2">
        <v>100</v>
      </c>
      <c r="Q341" s="2" t="s">
        <v>55</v>
      </c>
      <c r="R341" s="2" t="s">
        <v>93</v>
      </c>
      <c r="S341" s="2"/>
      <c r="T341" s="2" t="s">
        <v>861</v>
      </c>
      <c r="U341" s="398"/>
      <c r="V341" s="7">
        <v>8460.2879999999986</v>
      </c>
      <c r="W341" s="7" t="s">
        <v>1084</v>
      </c>
    </row>
    <row r="342" spans="1:23" x14ac:dyDescent="0.35">
      <c r="A342" s="2">
        <v>47</v>
      </c>
      <c r="B342" s="109" t="s">
        <v>156</v>
      </c>
      <c r="C342" s="110" t="s">
        <v>157</v>
      </c>
      <c r="D342" s="2">
        <v>3840</v>
      </c>
      <c r="E342" s="51">
        <v>0.81599999999999995</v>
      </c>
      <c r="F342" s="105"/>
      <c r="H342" s="2"/>
      <c r="I342" s="2">
        <v>80</v>
      </c>
      <c r="J342" s="2">
        <v>0</v>
      </c>
      <c r="K342" s="2">
        <v>0</v>
      </c>
      <c r="L342" s="2">
        <v>503.04</v>
      </c>
      <c r="M342" s="2">
        <v>562.88</v>
      </c>
      <c r="N342" s="244">
        <v>2.0992000000000002</v>
      </c>
      <c r="O342" s="2" t="s">
        <v>150</v>
      </c>
      <c r="P342" s="2">
        <v>150</v>
      </c>
      <c r="Q342" s="2" t="s">
        <v>151</v>
      </c>
      <c r="R342" s="2" t="s">
        <v>156</v>
      </c>
      <c r="S342" s="2"/>
      <c r="T342" s="2" t="s">
        <v>861</v>
      </c>
      <c r="U342" s="398"/>
      <c r="V342" s="7">
        <v>3133.4399999999996</v>
      </c>
      <c r="W342" s="7" t="s">
        <v>1084</v>
      </c>
    </row>
    <row r="343" spans="1:23" x14ac:dyDescent="0.35">
      <c r="A343" s="2">
        <v>48</v>
      </c>
      <c r="B343" s="109" t="s">
        <v>54</v>
      </c>
      <c r="C343" s="110" t="s">
        <v>56</v>
      </c>
      <c r="D343" s="2"/>
      <c r="E343" s="51"/>
      <c r="F343" s="105"/>
      <c r="H343" s="2">
        <v>12</v>
      </c>
      <c r="I343" s="2">
        <v>0</v>
      </c>
      <c r="J343" s="2">
        <v>0</v>
      </c>
      <c r="K343" s="2">
        <v>1</v>
      </c>
      <c r="L343" s="2">
        <v>2.4</v>
      </c>
      <c r="M343" s="2">
        <v>2.6</v>
      </c>
      <c r="N343" s="244">
        <v>0</v>
      </c>
      <c r="O343" s="2" t="s">
        <v>1147</v>
      </c>
      <c r="P343" s="2">
        <v>50</v>
      </c>
      <c r="Q343" s="2">
        <v>33030010</v>
      </c>
      <c r="R343" s="2" t="s">
        <v>54</v>
      </c>
      <c r="S343" s="2"/>
      <c r="T343" s="2" t="s">
        <v>861</v>
      </c>
      <c r="U343" s="398"/>
      <c r="V343" s="7">
        <v>0</v>
      </c>
      <c r="W343" s="7" t="s">
        <v>1084</v>
      </c>
    </row>
    <row r="344" spans="1:23" x14ac:dyDescent="0.35">
      <c r="A344" s="2">
        <v>48</v>
      </c>
      <c r="B344" s="109" t="s">
        <v>112</v>
      </c>
      <c r="C344" s="110" t="s">
        <v>648</v>
      </c>
      <c r="D344" s="2">
        <v>120</v>
      </c>
      <c r="E344" s="51">
        <v>11.68</v>
      </c>
      <c r="F344" s="105">
        <v>44</v>
      </c>
      <c r="G344" s="51">
        <v>6.25</v>
      </c>
      <c r="H344" s="2">
        <v>76</v>
      </c>
      <c r="I344" s="2">
        <v>7</v>
      </c>
      <c r="J344" s="2">
        <v>2</v>
      </c>
      <c r="K344" s="2">
        <v>4</v>
      </c>
      <c r="L344" s="2">
        <v>94.800000000000011</v>
      </c>
      <c r="M344" s="2">
        <v>99</v>
      </c>
      <c r="N344" s="244">
        <v>0.11819958333333333</v>
      </c>
      <c r="O344" s="2" t="s">
        <v>108</v>
      </c>
      <c r="P344" s="2">
        <v>100</v>
      </c>
      <c r="Q344" s="2" t="s">
        <v>55</v>
      </c>
      <c r="R344" s="2" t="s">
        <v>112</v>
      </c>
      <c r="S344" s="2"/>
      <c r="T344" s="2" t="s">
        <v>861</v>
      </c>
      <c r="U344" s="398"/>
      <c r="V344" s="7">
        <v>1676.6</v>
      </c>
      <c r="W344" s="7" t="s">
        <v>1084</v>
      </c>
    </row>
    <row r="345" spans="1:23" x14ac:dyDescent="0.35">
      <c r="A345" s="2">
        <v>49</v>
      </c>
      <c r="B345" s="109" t="s">
        <v>672</v>
      </c>
      <c r="C345" s="110" t="s">
        <v>851</v>
      </c>
      <c r="D345" s="2">
        <v>2496</v>
      </c>
      <c r="E345" s="51">
        <v>4.21</v>
      </c>
      <c r="F345" s="105"/>
      <c r="H345" s="2"/>
      <c r="I345" s="2">
        <v>104</v>
      </c>
      <c r="J345" s="2">
        <v>0</v>
      </c>
      <c r="K345" s="2">
        <v>0</v>
      </c>
      <c r="L345" s="2">
        <v>676.41599999999994</v>
      </c>
      <c r="M345" s="2">
        <v>737.36</v>
      </c>
      <c r="N345" s="244">
        <v>1.6680299999999999</v>
      </c>
      <c r="O345" s="2" t="s">
        <v>150</v>
      </c>
      <c r="P345" s="2">
        <v>100</v>
      </c>
      <c r="Q345" s="2">
        <v>33072000</v>
      </c>
      <c r="R345" s="2" t="s">
        <v>672</v>
      </c>
      <c r="S345" s="2"/>
      <c r="T345" s="2" t="s">
        <v>861</v>
      </c>
      <c r="U345" s="398"/>
      <c r="V345" s="7">
        <v>10508.16</v>
      </c>
      <c r="W345" s="7" t="s">
        <v>1084</v>
      </c>
    </row>
    <row r="346" spans="1:23" x14ac:dyDescent="0.35">
      <c r="A346" s="2">
        <v>49</v>
      </c>
      <c r="B346" s="109" t="s">
        <v>674</v>
      </c>
      <c r="C346" s="110" t="s">
        <v>852</v>
      </c>
      <c r="D346" s="2">
        <v>2496</v>
      </c>
      <c r="E346" s="51">
        <v>4.21</v>
      </c>
      <c r="F346" s="105"/>
      <c r="H346" s="2"/>
      <c r="I346" s="2">
        <v>104</v>
      </c>
      <c r="J346" s="2">
        <v>0</v>
      </c>
      <c r="K346" s="2">
        <v>0</v>
      </c>
      <c r="L346" s="2">
        <v>676.41599999999994</v>
      </c>
      <c r="M346" s="2">
        <v>737.36</v>
      </c>
      <c r="N346" s="244">
        <v>1.6680299999999999</v>
      </c>
      <c r="O346" s="2" t="s">
        <v>150</v>
      </c>
      <c r="P346" s="2">
        <v>100</v>
      </c>
      <c r="Q346" s="2">
        <v>33072000</v>
      </c>
      <c r="R346" s="2" t="s">
        <v>674</v>
      </c>
      <c r="S346" s="2"/>
      <c r="T346" s="2" t="s">
        <v>861</v>
      </c>
      <c r="U346" s="398"/>
      <c r="V346" s="7">
        <v>10508.16</v>
      </c>
      <c r="W346" s="7" t="s">
        <v>1084</v>
      </c>
    </row>
    <row r="347" spans="1:23" x14ac:dyDescent="0.35">
      <c r="A347" s="2">
        <v>49</v>
      </c>
      <c r="B347" s="109" t="s">
        <v>676</v>
      </c>
      <c r="C347" s="110" t="s">
        <v>853</v>
      </c>
      <c r="D347" s="2">
        <v>2496</v>
      </c>
      <c r="E347" s="51">
        <v>4.21</v>
      </c>
      <c r="F347" s="105"/>
      <c r="H347" s="2"/>
      <c r="I347" s="2">
        <v>104</v>
      </c>
      <c r="J347" s="2">
        <v>0</v>
      </c>
      <c r="K347" s="2">
        <v>0</v>
      </c>
      <c r="L347" s="2">
        <v>676.41599999999994</v>
      </c>
      <c r="M347" s="2">
        <v>737.36</v>
      </c>
      <c r="N347" s="244">
        <v>1.6680299999999999</v>
      </c>
      <c r="O347" s="2" t="s">
        <v>150</v>
      </c>
      <c r="P347" s="2">
        <v>100</v>
      </c>
      <c r="Q347" s="2">
        <v>33072000</v>
      </c>
      <c r="R347" s="2" t="s">
        <v>676</v>
      </c>
      <c r="S347" s="2"/>
      <c r="T347" s="2" t="s">
        <v>861</v>
      </c>
      <c r="U347" s="398"/>
      <c r="V347" s="7">
        <v>10508.16</v>
      </c>
      <c r="W347" s="7" t="s">
        <v>1084</v>
      </c>
    </row>
    <row r="348" spans="1:23" x14ac:dyDescent="0.35">
      <c r="A348" s="2">
        <v>49</v>
      </c>
      <c r="B348" s="109" t="s">
        <v>678</v>
      </c>
      <c r="C348" s="110" t="s">
        <v>854</v>
      </c>
      <c r="D348" s="2">
        <v>2496</v>
      </c>
      <c r="E348" s="51">
        <v>4.21</v>
      </c>
      <c r="F348" s="105"/>
      <c r="H348" s="2"/>
      <c r="I348" s="2">
        <v>104</v>
      </c>
      <c r="J348" s="2">
        <v>0</v>
      </c>
      <c r="K348" s="2">
        <v>0</v>
      </c>
      <c r="L348" s="2">
        <v>676.41599999999994</v>
      </c>
      <c r="M348" s="2">
        <v>737.36</v>
      </c>
      <c r="N348" s="244">
        <v>1.6680299999999999</v>
      </c>
      <c r="O348" s="2" t="s">
        <v>150</v>
      </c>
      <c r="P348" s="2">
        <v>100</v>
      </c>
      <c r="Q348" s="2">
        <v>33072000</v>
      </c>
      <c r="R348" s="2" t="s">
        <v>678</v>
      </c>
      <c r="S348" s="2"/>
      <c r="T348" s="2" t="s">
        <v>861</v>
      </c>
      <c r="U348" s="398"/>
      <c r="V348" s="7">
        <v>10508.16</v>
      </c>
      <c r="W348" s="7" t="s">
        <v>1084</v>
      </c>
    </row>
    <row r="349" spans="1:23" x14ac:dyDescent="0.35">
      <c r="A349" s="2">
        <v>49</v>
      </c>
      <c r="B349" s="109" t="s">
        <v>682</v>
      </c>
      <c r="C349" s="110" t="s">
        <v>848</v>
      </c>
      <c r="D349" s="2">
        <v>5016</v>
      </c>
      <c r="E349" s="51">
        <v>4.21</v>
      </c>
      <c r="F349" s="105"/>
      <c r="H349" s="2"/>
      <c r="I349" s="2">
        <v>209</v>
      </c>
      <c r="J349" s="2">
        <v>0</v>
      </c>
      <c r="K349" s="2">
        <v>0</v>
      </c>
      <c r="L349" s="2">
        <v>1274.0640000000001</v>
      </c>
      <c r="M349" s="2">
        <v>1421.2</v>
      </c>
      <c r="N349" s="244">
        <v>4.7383957499999996</v>
      </c>
      <c r="O349" s="2" t="s">
        <v>150</v>
      </c>
      <c r="P349" s="2">
        <v>100</v>
      </c>
      <c r="Q349" s="2">
        <v>33072000</v>
      </c>
      <c r="R349" s="2" t="s">
        <v>682</v>
      </c>
      <c r="S349" s="2"/>
      <c r="T349" s="2" t="s">
        <v>861</v>
      </c>
      <c r="U349" s="398"/>
      <c r="V349" s="7">
        <v>21117.360000000001</v>
      </c>
      <c r="W349" s="7" t="s">
        <v>1084</v>
      </c>
    </row>
    <row r="350" spans="1:23" x14ac:dyDescent="0.35">
      <c r="A350" s="2">
        <v>49</v>
      </c>
      <c r="B350" s="109" t="s">
        <v>684</v>
      </c>
      <c r="C350" s="110" t="s">
        <v>850</v>
      </c>
      <c r="D350" s="2">
        <v>5016</v>
      </c>
      <c r="E350" s="51">
        <v>4.21</v>
      </c>
      <c r="F350" s="105"/>
      <c r="H350" s="2"/>
      <c r="I350" s="2">
        <v>209</v>
      </c>
      <c r="J350" s="2">
        <v>0</v>
      </c>
      <c r="K350" s="2">
        <v>0</v>
      </c>
      <c r="L350" s="2">
        <v>1274.0640000000001</v>
      </c>
      <c r="M350" s="2">
        <v>1421.2</v>
      </c>
      <c r="N350" s="244">
        <v>4.7383957499999996</v>
      </c>
      <c r="O350" s="2" t="s">
        <v>150</v>
      </c>
      <c r="P350" s="2">
        <v>100</v>
      </c>
      <c r="Q350" s="2">
        <v>33072000</v>
      </c>
      <c r="R350" s="2" t="s">
        <v>684</v>
      </c>
      <c r="S350" s="2"/>
      <c r="T350" s="2" t="s">
        <v>861</v>
      </c>
      <c r="U350" s="398"/>
      <c r="V350" s="7">
        <v>21117.360000000001</v>
      </c>
      <c r="W350" s="7" t="s">
        <v>1084</v>
      </c>
    </row>
    <row r="351" spans="1:23" x14ac:dyDescent="0.35">
      <c r="A351" s="2">
        <v>49</v>
      </c>
      <c r="B351" s="109" t="s">
        <v>686</v>
      </c>
      <c r="C351" s="110" t="s">
        <v>849</v>
      </c>
      <c r="D351" s="2">
        <v>5016</v>
      </c>
      <c r="E351" s="51">
        <v>4.21</v>
      </c>
      <c r="F351" s="105"/>
      <c r="H351" s="2"/>
      <c r="I351" s="2">
        <v>209</v>
      </c>
      <c r="J351" s="2">
        <v>0</v>
      </c>
      <c r="K351" s="2">
        <v>0</v>
      </c>
      <c r="L351" s="2">
        <v>1274.0640000000001</v>
      </c>
      <c r="M351" s="2">
        <v>1421.2</v>
      </c>
      <c r="N351" s="244">
        <v>4.7383957499999996</v>
      </c>
      <c r="O351" s="2" t="s">
        <v>150</v>
      </c>
      <c r="P351" s="2">
        <v>100</v>
      </c>
      <c r="Q351" s="2">
        <v>33072000</v>
      </c>
      <c r="R351" s="2" t="s">
        <v>686</v>
      </c>
      <c r="S351" s="2"/>
      <c r="T351" s="2" t="s">
        <v>861</v>
      </c>
      <c r="U351" s="398"/>
      <c r="V351" s="7">
        <v>21117.360000000001</v>
      </c>
      <c r="W351" s="7" t="s">
        <v>1084</v>
      </c>
    </row>
    <row r="352" spans="1:23" x14ac:dyDescent="0.35">
      <c r="A352" s="2">
        <v>49</v>
      </c>
      <c r="B352" s="109" t="s">
        <v>751</v>
      </c>
      <c r="C352" s="110" t="s">
        <v>752</v>
      </c>
      <c r="D352" s="2">
        <v>14720</v>
      </c>
      <c r="E352" s="51">
        <v>0.158</v>
      </c>
      <c r="F352" s="105"/>
      <c r="H352" s="2"/>
      <c r="I352" s="2" t="s">
        <v>861</v>
      </c>
      <c r="J352" s="2" t="s">
        <v>861</v>
      </c>
      <c r="K352" s="2" t="s">
        <v>861</v>
      </c>
      <c r="L352" s="2" t="s">
        <v>861</v>
      </c>
      <c r="M352" s="2" t="s">
        <v>861</v>
      </c>
      <c r="N352" s="244" t="s">
        <v>861</v>
      </c>
      <c r="O352" s="2">
        <v>0</v>
      </c>
      <c r="P352" s="2">
        <v>0</v>
      </c>
      <c r="Q352" s="2">
        <v>0</v>
      </c>
      <c r="R352" s="2" t="s">
        <v>751</v>
      </c>
      <c r="S352" s="2"/>
      <c r="T352" s="2" t="s">
        <v>861</v>
      </c>
      <c r="U352" s="398"/>
      <c r="V352" s="7">
        <v>2325.7600000000002</v>
      </c>
      <c r="W352" s="7" t="s">
        <v>1084</v>
      </c>
    </row>
    <row r="353" spans="1:23" x14ac:dyDescent="0.35">
      <c r="A353" s="2">
        <v>49</v>
      </c>
      <c r="B353" s="109" t="s">
        <v>753</v>
      </c>
      <c r="C353" s="110" t="s">
        <v>754</v>
      </c>
      <c r="D353" s="2">
        <v>14720</v>
      </c>
      <c r="E353" s="51">
        <v>0.158</v>
      </c>
      <c r="F353" s="105"/>
      <c r="H353" s="2"/>
      <c r="I353" s="2" t="s">
        <v>861</v>
      </c>
      <c r="J353" s="2" t="s">
        <v>861</v>
      </c>
      <c r="K353" s="2" t="s">
        <v>861</v>
      </c>
      <c r="L353" s="2" t="s">
        <v>861</v>
      </c>
      <c r="M353" s="2" t="s">
        <v>861</v>
      </c>
      <c r="N353" s="244" t="s">
        <v>861</v>
      </c>
      <c r="O353" s="2">
        <v>0</v>
      </c>
      <c r="P353" s="2">
        <v>0</v>
      </c>
      <c r="Q353" s="2">
        <v>0</v>
      </c>
      <c r="R353" s="2" t="s">
        <v>753</v>
      </c>
      <c r="S353" s="2"/>
      <c r="T353" s="2" t="s">
        <v>861</v>
      </c>
      <c r="U353" s="398"/>
      <c r="V353" s="7">
        <v>2325.7600000000002</v>
      </c>
      <c r="W353" s="7" t="s">
        <v>1084</v>
      </c>
    </row>
    <row r="354" spans="1:23" x14ac:dyDescent="0.35">
      <c r="A354" s="2">
        <v>51</v>
      </c>
      <c r="B354" s="109" t="s">
        <v>17</v>
      </c>
      <c r="C354" s="110" t="s">
        <v>20</v>
      </c>
      <c r="D354" s="2">
        <v>247</v>
      </c>
      <c r="E354" s="51">
        <v>5.23</v>
      </c>
      <c r="F354" s="105"/>
      <c r="H354" s="2"/>
      <c r="I354" s="2">
        <v>21</v>
      </c>
      <c r="J354" s="2">
        <v>0</v>
      </c>
      <c r="K354" s="2">
        <v>0</v>
      </c>
      <c r="L354" s="2">
        <v>103.74</v>
      </c>
      <c r="M354" s="2">
        <v>119.17749999999999</v>
      </c>
      <c r="N354" s="244">
        <v>0.57804175000000002</v>
      </c>
      <c r="O354" s="2" t="s">
        <v>18</v>
      </c>
      <c r="P354" s="2">
        <v>50</v>
      </c>
      <c r="Q354" s="2">
        <v>0</v>
      </c>
      <c r="R354" s="2" t="s">
        <v>17</v>
      </c>
      <c r="S354" s="2"/>
      <c r="T354" s="2">
        <v>5.23</v>
      </c>
      <c r="U354" s="398">
        <v>1291.8100000000002</v>
      </c>
      <c r="V354" s="7">
        <v>1291.8100000000002</v>
      </c>
      <c r="W354" s="7" t="s">
        <v>660</v>
      </c>
    </row>
    <row r="355" spans="1:23" x14ac:dyDescent="0.35">
      <c r="A355" s="2">
        <v>51</v>
      </c>
      <c r="B355" s="109" t="s">
        <v>23</v>
      </c>
      <c r="C355" s="110" t="s">
        <v>24</v>
      </c>
      <c r="D355" s="2">
        <v>260</v>
      </c>
      <c r="E355" s="51">
        <v>5.23</v>
      </c>
      <c r="F355" s="105"/>
      <c r="H355" s="2"/>
      <c r="I355" s="2">
        <v>22</v>
      </c>
      <c r="J355" s="2">
        <v>0</v>
      </c>
      <c r="K355" s="2">
        <v>0</v>
      </c>
      <c r="L355" s="2">
        <v>109.2</v>
      </c>
      <c r="M355" s="2">
        <v>125.45</v>
      </c>
      <c r="N355" s="244">
        <v>0.60846500000000003</v>
      </c>
      <c r="O355" s="2" t="s">
        <v>18</v>
      </c>
      <c r="P355" s="2">
        <v>50</v>
      </c>
      <c r="Q355" s="2">
        <v>0</v>
      </c>
      <c r="R355" s="2" t="s">
        <v>23</v>
      </c>
      <c r="S355" s="2"/>
      <c r="T355" s="2">
        <v>5.23</v>
      </c>
      <c r="U355" s="398">
        <v>1359.8000000000002</v>
      </c>
      <c r="V355" s="7">
        <v>1359.8000000000002</v>
      </c>
      <c r="W355" s="7" t="s">
        <v>660</v>
      </c>
    </row>
    <row r="356" spans="1:23" x14ac:dyDescent="0.35">
      <c r="A356" s="2">
        <v>51</v>
      </c>
      <c r="B356" s="109" t="s">
        <v>25</v>
      </c>
      <c r="C356" s="110" t="s">
        <v>26</v>
      </c>
      <c r="D356" s="2">
        <v>334</v>
      </c>
      <c r="E356" s="51">
        <v>5.23</v>
      </c>
      <c r="F356" s="105"/>
      <c r="H356" s="2"/>
      <c r="I356" s="2">
        <v>28</v>
      </c>
      <c r="J356" s="2">
        <v>0</v>
      </c>
      <c r="K356" s="2">
        <v>0</v>
      </c>
      <c r="L356" s="2">
        <v>140.28</v>
      </c>
      <c r="M356" s="2">
        <v>161.155</v>
      </c>
      <c r="N356" s="244">
        <v>0.78164349999999994</v>
      </c>
      <c r="O356" s="2" t="s">
        <v>18</v>
      </c>
      <c r="P356" s="2">
        <v>50</v>
      </c>
      <c r="Q356" s="2">
        <v>0</v>
      </c>
      <c r="R356" s="2" t="s">
        <v>25</v>
      </c>
      <c r="S356" s="2"/>
      <c r="T356" s="2">
        <v>5.23</v>
      </c>
      <c r="U356" s="398">
        <v>1746.8200000000002</v>
      </c>
      <c r="V356" s="7">
        <v>1746.8200000000002</v>
      </c>
      <c r="W356" s="7" t="s">
        <v>660</v>
      </c>
    </row>
    <row r="357" spans="1:23" x14ac:dyDescent="0.35">
      <c r="A357" s="2">
        <v>51</v>
      </c>
      <c r="B357" s="109" t="s">
        <v>27</v>
      </c>
      <c r="C357" s="110" t="s">
        <v>28</v>
      </c>
      <c r="D357" s="2">
        <v>348</v>
      </c>
      <c r="E357" s="51">
        <v>5.23</v>
      </c>
      <c r="F357" s="105"/>
      <c r="H357" s="2"/>
      <c r="I357" s="2">
        <v>29</v>
      </c>
      <c r="J357" s="2">
        <v>0</v>
      </c>
      <c r="K357" s="2">
        <v>0</v>
      </c>
      <c r="L357" s="2">
        <v>146.16</v>
      </c>
      <c r="M357" s="2">
        <v>167.91</v>
      </c>
      <c r="N357" s="244">
        <v>0.81440699999999999</v>
      </c>
      <c r="O357" s="2" t="s">
        <v>18</v>
      </c>
      <c r="P357" s="2">
        <v>50</v>
      </c>
      <c r="Q357" s="2">
        <v>0</v>
      </c>
      <c r="R357" s="2" t="s">
        <v>27</v>
      </c>
      <c r="S357" s="2"/>
      <c r="T357" s="2">
        <v>5.23</v>
      </c>
      <c r="U357" s="398">
        <v>1820.0400000000002</v>
      </c>
      <c r="V357" s="7">
        <v>1820.0400000000002</v>
      </c>
      <c r="W357" s="7" t="s">
        <v>660</v>
      </c>
    </row>
    <row r="358" spans="1:23" x14ac:dyDescent="0.35">
      <c r="A358" s="2">
        <v>51</v>
      </c>
      <c r="B358" s="109" t="s">
        <v>29</v>
      </c>
      <c r="C358" s="110" t="s">
        <v>31</v>
      </c>
      <c r="D358" s="2">
        <v>338</v>
      </c>
      <c r="E358" s="51">
        <v>5.23</v>
      </c>
      <c r="F358" s="105"/>
      <c r="H358" s="2"/>
      <c r="I358" s="2">
        <v>29</v>
      </c>
      <c r="J358" s="2">
        <v>0</v>
      </c>
      <c r="K358" s="2">
        <v>0</v>
      </c>
      <c r="L358" s="2">
        <v>134.63666666666668</v>
      </c>
      <c r="M358" s="2">
        <v>147.875</v>
      </c>
      <c r="N358" s="244">
        <v>0.79100450000000011</v>
      </c>
      <c r="O358" s="2" t="s">
        <v>18</v>
      </c>
      <c r="P358" s="2">
        <v>50</v>
      </c>
      <c r="Q358" s="2">
        <v>0</v>
      </c>
      <c r="R358" s="2" t="s">
        <v>29</v>
      </c>
      <c r="S358" s="2"/>
      <c r="T358" s="2">
        <v>5.23</v>
      </c>
      <c r="U358" s="398">
        <v>1767.7400000000002</v>
      </c>
      <c r="V358" s="7">
        <v>1767.7400000000002</v>
      </c>
      <c r="W358" s="7" t="s">
        <v>660</v>
      </c>
    </row>
    <row r="359" spans="1:23" x14ac:dyDescent="0.35">
      <c r="A359" s="2">
        <v>51</v>
      </c>
      <c r="B359" s="109" t="s">
        <v>34</v>
      </c>
      <c r="C359" s="110" t="s">
        <v>35</v>
      </c>
      <c r="D359" s="2">
        <v>362</v>
      </c>
      <c r="E359" s="51">
        <v>5.23</v>
      </c>
      <c r="F359" s="105"/>
      <c r="H359" s="2"/>
      <c r="I359" s="2">
        <v>31</v>
      </c>
      <c r="J359" s="2">
        <v>0</v>
      </c>
      <c r="K359" s="2">
        <v>0</v>
      </c>
      <c r="L359" s="2">
        <v>144.19666666666669</v>
      </c>
      <c r="M359" s="2">
        <v>158.375</v>
      </c>
      <c r="N359" s="244">
        <v>0.84717050000000016</v>
      </c>
      <c r="O359" s="2" t="s">
        <v>18</v>
      </c>
      <c r="P359" s="2">
        <v>50</v>
      </c>
      <c r="Q359" s="2">
        <v>0</v>
      </c>
      <c r="R359" s="2" t="s">
        <v>34</v>
      </c>
      <c r="S359" s="2"/>
      <c r="T359" s="2">
        <v>5.23</v>
      </c>
      <c r="U359" s="398">
        <v>1893.2600000000002</v>
      </c>
      <c r="V359" s="7">
        <v>1893.2600000000002</v>
      </c>
      <c r="W359" s="7" t="s">
        <v>660</v>
      </c>
    </row>
    <row r="360" spans="1:23" x14ac:dyDescent="0.35">
      <c r="A360" s="2">
        <v>51</v>
      </c>
      <c r="B360" s="109" t="s">
        <v>36</v>
      </c>
      <c r="C360" s="110" t="s">
        <v>37</v>
      </c>
      <c r="D360" s="2">
        <v>396</v>
      </c>
      <c r="E360" s="51">
        <v>5.23</v>
      </c>
      <c r="F360" s="105"/>
      <c r="H360" s="2"/>
      <c r="I360" s="2">
        <v>33</v>
      </c>
      <c r="J360" s="2">
        <v>0</v>
      </c>
      <c r="K360" s="2">
        <v>0</v>
      </c>
      <c r="L360" s="2">
        <v>157.74</v>
      </c>
      <c r="M360" s="2">
        <v>173.25</v>
      </c>
      <c r="N360" s="244">
        <v>0.92673899999999998</v>
      </c>
      <c r="O360" s="2" t="s">
        <v>18</v>
      </c>
      <c r="P360" s="2">
        <v>50</v>
      </c>
      <c r="Q360" s="2">
        <v>0</v>
      </c>
      <c r="R360" s="2" t="s">
        <v>36</v>
      </c>
      <c r="S360" s="2"/>
      <c r="T360" s="2">
        <v>5.23</v>
      </c>
      <c r="U360" s="398">
        <v>2071.0800000000004</v>
      </c>
      <c r="V360" s="7">
        <v>2071.0800000000004</v>
      </c>
      <c r="W360" s="7" t="s">
        <v>660</v>
      </c>
    </row>
    <row r="361" spans="1:23" x14ac:dyDescent="0.35">
      <c r="A361" s="2">
        <v>51</v>
      </c>
      <c r="B361" s="109" t="s">
        <v>114</v>
      </c>
      <c r="C361" s="110" t="s">
        <v>115</v>
      </c>
      <c r="D361" s="2">
        <v>3661</v>
      </c>
      <c r="E361" s="51">
        <v>11.68</v>
      </c>
      <c r="F361" s="105"/>
      <c r="H361" s="2"/>
      <c r="I361" s="2">
        <v>153</v>
      </c>
      <c r="J361" s="2">
        <v>0</v>
      </c>
      <c r="K361" s="2">
        <v>0</v>
      </c>
      <c r="L361" s="2">
        <v>1446.095</v>
      </c>
      <c r="M361" s="2">
        <v>1510.1624999999999</v>
      </c>
      <c r="N361" s="244">
        <v>2.6385894791666664</v>
      </c>
      <c r="O361" s="2" t="s">
        <v>108</v>
      </c>
      <c r="P361" s="2">
        <v>100</v>
      </c>
      <c r="Q361" s="2" t="s">
        <v>55</v>
      </c>
      <c r="R361" s="2" t="s">
        <v>114</v>
      </c>
      <c r="S361" s="2"/>
      <c r="T361" s="2">
        <v>11.68</v>
      </c>
      <c r="U361" s="398">
        <v>42760.479999999996</v>
      </c>
      <c r="V361" s="7">
        <v>42760.479999999996</v>
      </c>
      <c r="W361" s="7" t="s">
        <v>660</v>
      </c>
    </row>
    <row r="362" spans="1:23" x14ac:dyDescent="0.35">
      <c r="A362" s="2">
        <v>52</v>
      </c>
      <c r="B362" s="109" t="s">
        <v>38</v>
      </c>
      <c r="C362" s="110" t="s">
        <v>39</v>
      </c>
      <c r="D362" s="2"/>
      <c r="E362" s="51"/>
      <c r="F362" s="105"/>
      <c r="H362" s="2">
        <v>3</v>
      </c>
      <c r="I362" s="2">
        <v>0</v>
      </c>
      <c r="J362" s="2">
        <v>0</v>
      </c>
      <c r="K362" s="2">
        <v>1</v>
      </c>
      <c r="L362" s="2">
        <v>1.5425</v>
      </c>
      <c r="M362" s="2">
        <v>1.6924999999999999</v>
      </c>
      <c r="N362" s="244">
        <v>9.7455000000000007E-3</v>
      </c>
      <c r="O362" s="2" t="s">
        <v>18</v>
      </c>
      <c r="P362" s="2">
        <v>50</v>
      </c>
      <c r="Q362" s="2">
        <v>0</v>
      </c>
      <c r="R362" s="2" t="s">
        <v>38</v>
      </c>
      <c r="S362" s="2"/>
      <c r="T362" s="2">
        <v>6.16</v>
      </c>
      <c r="U362" s="398">
        <v>0</v>
      </c>
      <c r="V362" s="7">
        <v>0</v>
      </c>
      <c r="W362" s="7" t="s">
        <v>1099</v>
      </c>
    </row>
    <row r="363" spans="1:23" x14ac:dyDescent="0.35">
      <c r="A363" s="2">
        <v>52</v>
      </c>
      <c r="B363" s="109" t="s">
        <v>40</v>
      </c>
      <c r="C363" s="110" t="s">
        <v>41</v>
      </c>
      <c r="D363" s="2"/>
      <c r="E363" s="51"/>
      <c r="F363" s="105"/>
      <c r="H363" s="2">
        <v>3</v>
      </c>
      <c r="I363" s="2">
        <v>0</v>
      </c>
      <c r="J363" s="2">
        <v>0</v>
      </c>
      <c r="K363" s="2">
        <v>1</v>
      </c>
      <c r="L363" s="2">
        <v>1.5425</v>
      </c>
      <c r="M363" s="2">
        <v>1.6924999999999999</v>
      </c>
      <c r="N363" s="244">
        <v>9.7455000000000007E-3</v>
      </c>
      <c r="O363" s="2" t="s">
        <v>18</v>
      </c>
      <c r="P363" s="2">
        <v>50</v>
      </c>
      <c r="Q363" s="2">
        <v>0</v>
      </c>
      <c r="R363" s="2" t="s">
        <v>40</v>
      </c>
      <c r="S363" s="2"/>
      <c r="T363" s="2">
        <v>6.16</v>
      </c>
      <c r="U363" s="398">
        <v>0</v>
      </c>
      <c r="V363" s="7">
        <v>0</v>
      </c>
      <c r="W363" s="7" t="s">
        <v>1099</v>
      </c>
    </row>
    <row r="364" spans="1:23" x14ac:dyDescent="0.35">
      <c r="A364" s="2">
        <v>52</v>
      </c>
      <c r="B364" s="109" t="s">
        <v>42</v>
      </c>
      <c r="C364" s="110" t="s">
        <v>43</v>
      </c>
      <c r="D364" s="2"/>
      <c r="E364" s="51"/>
      <c r="F364" s="105"/>
      <c r="H364" s="2">
        <v>3</v>
      </c>
      <c r="I364" s="2">
        <v>0</v>
      </c>
      <c r="J364" s="2">
        <v>0</v>
      </c>
      <c r="K364" s="2">
        <v>1</v>
      </c>
      <c r="L364" s="2">
        <v>1.5425</v>
      </c>
      <c r="M364" s="2">
        <v>1.6924999999999999</v>
      </c>
      <c r="N364" s="244">
        <v>9.7455000000000007E-3</v>
      </c>
      <c r="O364" s="2" t="s">
        <v>18</v>
      </c>
      <c r="P364" s="2">
        <v>50</v>
      </c>
      <c r="Q364" s="2">
        <v>0</v>
      </c>
      <c r="R364" s="2" t="s">
        <v>42</v>
      </c>
      <c r="S364" s="2"/>
      <c r="T364" s="2">
        <v>6.16</v>
      </c>
      <c r="U364" s="398">
        <v>0</v>
      </c>
      <c r="V364" s="7">
        <v>0</v>
      </c>
      <c r="W364" s="7" t="s">
        <v>1099</v>
      </c>
    </row>
    <row r="365" spans="1:23" x14ac:dyDescent="0.35">
      <c r="A365" s="2">
        <v>52</v>
      </c>
      <c r="B365" s="109" t="s">
        <v>44</v>
      </c>
      <c r="C365" s="110" t="s">
        <v>45</v>
      </c>
      <c r="D365" s="2"/>
      <c r="E365" s="51"/>
      <c r="F365" s="105"/>
      <c r="H365" s="2">
        <v>3</v>
      </c>
      <c r="I365" s="2">
        <v>0</v>
      </c>
      <c r="J365" s="2">
        <v>0</v>
      </c>
      <c r="K365" s="2">
        <v>1</v>
      </c>
      <c r="L365" s="2">
        <v>1.5425</v>
      </c>
      <c r="M365" s="2">
        <v>1.6924999999999999</v>
      </c>
      <c r="N365" s="244">
        <v>9.7455000000000007E-3</v>
      </c>
      <c r="O365" s="2" t="s">
        <v>18</v>
      </c>
      <c r="P365" s="2">
        <v>50</v>
      </c>
      <c r="Q365" s="2">
        <v>0</v>
      </c>
      <c r="R365" s="2" t="s">
        <v>44</v>
      </c>
      <c r="S365" s="2"/>
      <c r="T365" s="2">
        <v>6.16</v>
      </c>
      <c r="U365" s="398">
        <v>0</v>
      </c>
      <c r="V365" s="7">
        <v>0</v>
      </c>
      <c r="W365" s="7" t="s">
        <v>1099</v>
      </c>
    </row>
    <row r="366" spans="1:23" x14ac:dyDescent="0.35">
      <c r="A366" s="2">
        <v>53</v>
      </c>
      <c r="B366" s="109" t="s">
        <v>114</v>
      </c>
      <c r="C366" s="110" t="s">
        <v>115</v>
      </c>
      <c r="D366" s="2">
        <v>720</v>
      </c>
      <c r="E366" s="51">
        <v>11.68</v>
      </c>
      <c r="F366" s="105"/>
      <c r="H366" s="2"/>
      <c r="I366" s="2">
        <v>30</v>
      </c>
      <c r="J366" s="2">
        <v>0</v>
      </c>
      <c r="K366" s="2">
        <v>0</v>
      </c>
      <c r="L366" s="2">
        <v>284.40000000000003</v>
      </c>
      <c r="M366" s="2">
        <v>297</v>
      </c>
      <c r="N366" s="244">
        <v>0.51892499999999997</v>
      </c>
      <c r="O366" s="2" t="s">
        <v>108</v>
      </c>
      <c r="P366" s="2">
        <v>100</v>
      </c>
      <c r="Q366" s="2" t="s">
        <v>55</v>
      </c>
      <c r="R366" s="2" t="s">
        <v>114</v>
      </c>
      <c r="S366" s="2"/>
      <c r="T366" s="2">
        <v>11.68</v>
      </c>
      <c r="U366" s="398">
        <v>8409.6</v>
      </c>
      <c r="V366" s="7">
        <v>8409.6</v>
      </c>
      <c r="W366" s="7" t="s">
        <v>660</v>
      </c>
    </row>
    <row r="367" spans="1:23" x14ac:dyDescent="0.35">
      <c r="A367" s="2">
        <v>54</v>
      </c>
      <c r="B367" s="109" t="s">
        <v>112</v>
      </c>
      <c r="C367" s="110" t="s">
        <v>648</v>
      </c>
      <c r="D367" s="2"/>
      <c r="E367" s="51"/>
      <c r="F367" s="105"/>
      <c r="H367" s="2">
        <v>120</v>
      </c>
      <c r="I367" s="2">
        <v>0</v>
      </c>
      <c r="J367" s="2">
        <v>0</v>
      </c>
      <c r="K367" s="2">
        <v>5</v>
      </c>
      <c r="L367" s="2">
        <v>47.400000000000006</v>
      </c>
      <c r="M367" s="2">
        <v>49.5</v>
      </c>
      <c r="N367" s="244">
        <v>0</v>
      </c>
      <c r="O367" s="2" t="s">
        <v>108</v>
      </c>
      <c r="P367" s="2">
        <v>100</v>
      </c>
      <c r="Q367" s="2" t="s">
        <v>55</v>
      </c>
      <c r="R367" s="2" t="s">
        <v>112</v>
      </c>
      <c r="S367" s="2"/>
      <c r="T367" s="2" t="s">
        <v>861</v>
      </c>
      <c r="U367" s="398"/>
      <c r="V367" s="7">
        <v>0</v>
      </c>
      <c r="W367" s="7" t="s">
        <v>1084</v>
      </c>
    </row>
    <row r="368" spans="1:23" x14ac:dyDescent="0.35">
      <c r="A368" s="2">
        <v>54</v>
      </c>
      <c r="B368" s="109" t="s">
        <v>129</v>
      </c>
      <c r="C368" s="110" t="s">
        <v>647</v>
      </c>
      <c r="D368" s="2"/>
      <c r="E368" s="51"/>
      <c r="F368" s="105"/>
      <c r="H368" s="2">
        <v>120</v>
      </c>
      <c r="I368" s="2">
        <v>0</v>
      </c>
      <c r="J368" s="2">
        <v>0</v>
      </c>
      <c r="K368" s="2">
        <v>5</v>
      </c>
      <c r="L368" s="2">
        <v>45.599999999999994</v>
      </c>
      <c r="M368" s="2">
        <v>47.5</v>
      </c>
      <c r="N368" s="244">
        <v>0</v>
      </c>
      <c r="O368" s="2" t="s">
        <v>125</v>
      </c>
      <c r="P368" s="2">
        <v>100</v>
      </c>
      <c r="Q368" s="2" t="s">
        <v>55</v>
      </c>
      <c r="R368" s="2" t="s">
        <v>129</v>
      </c>
      <c r="S368" s="2"/>
      <c r="T368" s="2" t="s">
        <v>861</v>
      </c>
      <c r="U368" s="398"/>
      <c r="V368" s="7">
        <v>0</v>
      </c>
      <c r="W368" s="7" t="s">
        <v>1084</v>
      </c>
    </row>
    <row r="369" spans="1:23" x14ac:dyDescent="0.35">
      <c r="A369" s="2">
        <v>55</v>
      </c>
      <c r="B369" s="109" t="s">
        <v>54</v>
      </c>
      <c r="C369" s="110" t="s">
        <v>56</v>
      </c>
      <c r="D369" s="2">
        <v>6</v>
      </c>
      <c r="E369" s="51"/>
      <c r="F369" s="105"/>
      <c r="H369" s="2">
        <v>6</v>
      </c>
      <c r="I369" s="2">
        <v>1</v>
      </c>
      <c r="J369" s="2">
        <v>0</v>
      </c>
      <c r="K369" s="2">
        <v>1</v>
      </c>
      <c r="L369" s="2">
        <v>2.4</v>
      </c>
      <c r="M369" s="2">
        <v>2.6</v>
      </c>
      <c r="N369" s="244">
        <v>3.6093750000000002E-3</v>
      </c>
      <c r="O369" s="2" t="s">
        <v>1147</v>
      </c>
      <c r="P369" s="2">
        <v>50</v>
      </c>
      <c r="Q369" s="2" t="s">
        <v>55</v>
      </c>
      <c r="R369" s="2" t="s">
        <v>54</v>
      </c>
      <c r="S369" s="2"/>
      <c r="T369" s="2" t="s">
        <v>861</v>
      </c>
      <c r="U369" s="398"/>
      <c r="V369" s="7">
        <v>0</v>
      </c>
      <c r="W369" s="7" t="s">
        <v>1084</v>
      </c>
    </row>
    <row r="370" spans="1:23" x14ac:dyDescent="0.35">
      <c r="A370" s="2">
        <v>56</v>
      </c>
      <c r="B370" s="109" t="s">
        <v>17</v>
      </c>
      <c r="C370" s="110" t="s">
        <v>20</v>
      </c>
      <c r="D370" s="2">
        <v>72</v>
      </c>
      <c r="E370" s="51">
        <v>6</v>
      </c>
      <c r="F370" s="105"/>
      <c r="H370" s="2"/>
      <c r="I370" s="2">
        <v>6</v>
      </c>
      <c r="J370" s="2">
        <v>0</v>
      </c>
      <c r="K370" s="2">
        <v>0</v>
      </c>
      <c r="L370" s="2">
        <v>30.240000000000002</v>
      </c>
      <c r="M370" s="2">
        <v>34.74</v>
      </c>
      <c r="N370" s="244">
        <v>0.16849800000000001</v>
      </c>
      <c r="O370" s="2" t="s">
        <v>18</v>
      </c>
      <c r="P370" s="2">
        <v>50</v>
      </c>
      <c r="Q370" s="2">
        <v>0</v>
      </c>
      <c r="R370" s="2" t="s">
        <v>17</v>
      </c>
      <c r="S370" s="2"/>
      <c r="T370" s="2">
        <v>5.23</v>
      </c>
      <c r="U370" s="398">
        <v>376.56000000000006</v>
      </c>
      <c r="V370" s="7">
        <v>432</v>
      </c>
      <c r="W370" s="7" t="s">
        <v>660</v>
      </c>
    </row>
    <row r="371" spans="1:23" x14ac:dyDescent="0.35">
      <c r="A371" s="2">
        <v>56</v>
      </c>
      <c r="B371" s="109" t="s">
        <v>23</v>
      </c>
      <c r="C371" s="110" t="s">
        <v>24</v>
      </c>
      <c r="D371" s="2">
        <v>72</v>
      </c>
      <c r="E371" s="51">
        <v>6</v>
      </c>
      <c r="F371" s="105"/>
      <c r="H371" s="2"/>
      <c r="I371" s="2">
        <v>6</v>
      </c>
      <c r="J371" s="2">
        <v>0</v>
      </c>
      <c r="K371" s="2">
        <v>0</v>
      </c>
      <c r="L371" s="2">
        <v>30.240000000000002</v>
      </c>
      <c r="M371" s="2">
        <v>34.74</v>
      </c>
      <c r="N371" s="244">
        <v>0.16849800000000001</v>
      </c>
      <c r="O371" s="2" t="s">
        <v>18</v>
      </c>
      <c r="P371" s="2">
        <v>50</v>
      </c>
      <c r="Q371" s="2">
        <v>0</v>
      </c>
      <c r="R371" s="2" t="s">
        <v>23</v>
      </c>
      <c r="S371" s="2"/>
      <c r="T371" s="2">
        <v>5.23</v>
      </c>
      <c r="U371" s="398">
        <v>376.56000000000006</v>
      </c>
      <c r="V371" s="7">
        <v>432</v>
      </c>
      <c r="W371" s="7" t="s">
        <v>660</v>
      </c>
    </row>
    <row r="372" spans="1:23" x14ac:dyDescent="0.35">
      <c r="A372" s="2">
        <v>56</v>
      </c>
      <c r="B372" s="109" t="s">
        <v>25</v>
      </c>
      <c r="C372" s="110" t="s">
        <v>26</v>
      </c>
      <c r="D372" s="2">
        <v>72</v>
      </c>
      <c r="E372" s="51">
        <v>6</v>
      </c>
      <c r="F372" s="105"/>
      <c r="H372" s="2"/>
      <c r="I372" s="2">
        <v>6</v>
      </c>
      <c r="J372" s="2">
        <v>0</v>
      </c>
      <c r="K372" s="2">
        <v>0</v>
      </c>
      <c r="L372" s="2">
        <v>30.240000000000002</v>
      </c>
      <c r="M372" s="2">
        <v>34.74</v>
      </c>
      <c r="N372" s="244">
        <v>0.16849800000000001</v>
      </c>
      <c r="O372" s="2" t="s">
        <v>18</v>
      </c>
      <c r="P372" s="2">
        <v>50</v>
      </c>
      <c r="Q372" s="2">
        <v>0</v>
      </c>
      <c r="R372" s="2" t="s">
        <v>25</v>
      </c>
      <c r="S372" s="2"/>
      <c r="T372" s="2">
        <v>5.23</v>
      </c>
      <c r="U372" s="398">
        <v>376.56000000000006</v>
      </c>
      <c r="V372" s="7">
        <v>432</v>
      </c>
      <c r="W372" s="7" t="s">
        <v>660</v>
      </c>
    </row>
    <row r="373" spans="1:23" x14ac:dyDescent="0.35">
      <c r="A373" s="2">
        <v>56</v>
      </c>
      <c r="B373" s="109" t="s">
        <v>27</v>
      </c>
      <c r="C373" s="110" t="s">
        <v>28</v>
      </c>
      <c r="D373" s="2">
        <v>72</v>
      </c>
      <c r="E373" s="51">
        <v>6</v>
      </c>
      <c r="F373" s="105"/>
      <c r="H373" s="2"/>
      <c r="I373" s="2">
        <v>6</v>
      </c>
      <c r="J373" s="2">
        <v>0</v>
      </c>
      <c r="K373" s="2">
        <v>0</v>
      </c>
      <c r="L373" s="2">
        <v>30.240000000000002</v>
      </c>
      <c r="M373" s="2">
        <v>34.74</v>
      </c>
      <c r="N373" s="244">
        <v>0.16849800000000001</v>
      </c>
      <c r="O373" s="2" t="s">
        <v>18</v>
      </c>
      <c r="P373" s="2">
        <v>50</v>
      </c>
      <c r="Q373" s="2">
        <v>0</v>
      </c>
      <c r="R373" s="2" t="s">
        <v>27</v>
      </c>
      <c r="S373" s="2"/>
      <c r="T373" s="2">
        <v>5.23</v>
      </c>
      <c r="U373" s="398">
        <v>376.56000000000006</v>
      </c>
      <c r="V373" s="7">
        <v>432</v>
      </c>
      <c r="W373" s="7" t="s">
        <v>660</v>
      </c>
    </row>
    <row r="374" spans="1:23" x14ac:dyDescent="0.35">
      <c r="A374" s="2">
        <v>56</v>
      </c>
      <c r="B374" s="109" t="s">
        <v>29</v>
      </c>
      <c r="C374" s="110" t="s">
        <v>31</v>
      </c>
      <c r="D374" s="2">
        <v>72</v>
      </c>
      <c r="E374" s="51">
        <v>6</v>
      </c>
      <c r="F374" s="105"/>
      <c r="H374" s="2"/>
      <c r="I374" s="2">
        <v>6</v>
      </c>
      <c r="J374" s="2">
        <v>0</v>
      </c>
      <c r="K374" s="2">
        <v>0</v>
      </c>
      <c r="L374" s="2">
        <v>28.68</v>
      </c>
      <c r="M374" s="2">
        <v>31.5</v>
      </c>
      <c r="N374" s="244">
        <v>0.16849800000000001</v>
      </c>
      <c r="O374" s="2" t="s">
        <v>18</v>
      </c>
      <c r="P374" s="2">
        <v>50</v>
      </c>
      <c r="Q374" s="2">
        <v>0</v>
      </c>
      <c r="R374" s="2" t="s">
        <v>29</v>
      </c>
      <c r="S374" s="2"/>
      <c r="T374" s="2">
        <v>5.23</v>
      </c>
      <c r="U374" s="398">
        <v>376.56000000000006</v>
      </c>
      <c r="V374" s="7">
        <v>432</v>
      </c>
      <c r="W374" s="7" t="s">
        <v>660</v>
      </c>
    </row>
    <row r="375" spans="1:23" x14ac:dyDescent="0.35">
      <c r="A375" s="2">
        <v>56</v>
      </c>
      <c r="B375" s="109" t="s">
        <v>32</v>
      </c>
      <c r="C375" s="110" t="s">
        <v>33</v>
      </c>
      <c r="D375" s="2">
        <v>72</v>
      </c>
      <c r="E375" s="51">
        <v>6</v>
      </c>
      <c r="F375" s="105"/>
      <c r="H375" s="2"/>
      <c r="I375" s="2">
        <v>6</v>
      </c>
      <c r="J375" s="2">
        <v>0</v>
      </c>
      <c r="K375" s="2">
        <v>0</v>
      </c>
      <c r="L375" s="2">
        <v>28.68</v>
      </c>
      <c r="M375" s="2">
        <v>31.5</v>
      </c>
      <c r="N375" s="244">
        <v>0.16849800000000001</v>
      </c>
      <c r="O375" s="2" t="s">
        <v>18</v>
      </c>
      <c r="P375" s="2">
        <v>50</v>
      </c>
      <c r="Q375" s="2">
        <v>0</v>
      </c>
      <c r="R375" s="2" t="s">
        <v>32</v>
      </c>
      <c r="S375" s="2"/>
      <c r="T375" s="2">
        <v>5.23</v>
      </c>
      <c r="U375" s="398">
        <v>376.56000000000006</v>
      </c>
      <c r="V375" s="7">
        <v>432</v>
      </c>
      <c r="W375" s="7" t="s">
        <v>660</v>
      </c>
    </row>
    <row r="376" spans="1:23" x14ac:dyDescent="0.35">
      <c r="A376" s="2">
        <v>56</v>
      </c>
      <c r="B376" s="109" t="s">
        <v>34</v>
      </c>
      <c r="C376" s="110" t="s">
        <v>35</v>
      </c>
      <c r="D376" s="2">
        <v>72</v>
      </c>
      <c r="E376" s="51">
        <v>6</v>
      </c>
      <c r="F376" s="105"/>
      <c r="H376" s="2"/>
      <c r="I376" s="2">
        <v>6</v>
      </c>
      <c r="J376" s="2">
        <v>0</v>
      </c>
      <c r="K376" s="2">
        <v>0</v>
      </c>
      <c r="L376" s="2">
        <v>28.68</v>
      </c>
      <c r="M376" s="2">
        <v>31.5</v>
      </c>
      <c r="N376" s="244">
        <v>0.16849800000000001</v>
      </c>
      <c r="O376" s="2" t="s">
        <v>18</v>
      </c>
      <c r="P376" s="2">
        <v>50</v>
      </c>
      <c r="Q376" s="2">
        <v>0</v>
      </c>
      <c r="R376" s="2" t="s">
        <v>34</v>
      </c>
      <c r="S376" s="2"/>
      <c r="T376" s="2">
        <v>5.23</v>
      </c>
      <c r="U376" s="398">
        <v>376.56000000000006</v>
      </c>
      <c r="V376" s="7">
        <v>432</v>
      </c>
      <c r="W376" s="7" t="s">
        <v>660</v>
      </c>
    </row>
    <row r="377" spans="1:23" x14ac:dyDescent="0.35">
      <c r="A377" s="2">
        <v>56</v>
      </c>
      <c r="B377" s="109" t="s">
        <v>36</v>
      </c>
      <c r="C377" s="110" t="s">
        <v>37</v>
      </c>
      <c r="D377" s="2">
        <v>72</v>
      </c>
      <c r="E377" s="51">
        <v>6</v>
      </c>
      <c r="F377" s="105"/>
      <c r="H377" s="2"/>
      <c r="I377" s="2">
        <v>6</v>
      </c>
      <c r="J377" s="2">
        <v>0</v>
      </c>
      <c r="K377" s="2">
        <v>0</v>
      </c>
      <c r="L377" s="2">
        <v>28.68</v>
      </c>
      <c r="M377" s="2">
        <v>31.5</v>
      </c>
      <c r="N377" s="244">
        <v>0.16849800000000001</v>
      </c>
      <c r="O377" s="2" t="s">
        <v>18</v>
      </c>
      <c r="P377" s="2">
        <v>50</v>
      </c>
      <c r="Q377" s="2">
        <v>0</v>
      </c>
      <c r="R377" s="2" t="s">
        <v>36</v>
      </c>
      <c r="S377" s="2"/>
      <c r="T377" s="2">
        <v>5.23</v>
      </c>
      <c r="U377" s="398">
        <v>376.56000000000006</v>
      </c>
      <c r="V377" s="7">
        <v>432</v>
      </c>
      <c r="W377" s="7" t="s">
        <v>660</v>
      </c>
    </row>
    <row r="378" spans="1:23" x14ac:dyDescent="0.35">
      <c r="A378" s="2">
        <v>56</v>
      </c>
      <c r="B378" s="109" t="s">
        <v>38</v>
      </c>
      <c r="C378" s="110" t="s">
        <v>39</v>
      </c>
      <c r="D378" s="2">
        <v>72</v>
      </c>
      <c r="E378" s="51">
        <v>6.5</v>
      </c>
      <c r="F378" s="105"/>
      <c r="H378" s="2"/>
      <c r="I378" s="2">
        <v>6</v>
      </c>
      <c r="J378" s="2">
        <v>0</v>
      </c>
      <c r="K378" s="2">
        <v>0</v>
      </c>
      <c r="L378" s="2">
        <v>37.019999999999996</v>
      </c>
      <c r="M378" s="2">
        <v>40.619999999999997</v>
      </c>
      <c r="N378" s="244">
        <v>0.23389199999999999</v>
      </c>
      <c r="O378" s="2" t="s">
        <v>18</v>
      </c>
      <c r="P378" s="2">
        <v>50</v>
      </c>
      <c r="Q378" s="2">
        <v>0</v>
      </c>
      <c r="R378" s="2" t="s">
        <v>38</v>
      </c>
      <c r="S378" s="2"/>
      <c r="T378" s="2">
        <v>6.16</v>
      </c>
      <c r="U378" s="398">
        <v>501.84</v>
      </c>
      <c r="V378" s="7">
        <v>468</v>
      </c>
      <c r="W378" s="7" t="s">
        <v>660</v>
      </c>
    </row>
    <row r="379" spans="1:23" x14ac:dyDescent="0.35">
      <c r="A379" s="2">
        <v>56</v>
      </c>
      <c r="B379" s="109" t="s">
        <v>40</v>
      </c>
      <c r="C379" s="110" t="s">
        <v>41</v>
      </c>
      <c r="D379" s="2">
        <v>72</v>
      </c>
      <c r="E379" s="51">
        <v>6.5</v>
      </c>
      <c r="F379" s="105"/>
      <c r="H379" s="2"/>
      <c r="I379" s="2">
        <v>6</v>
      </c>
      <c r="J379" s="2">
        <v>0</v>
      </c>
      <c r="K379" s="2">
        <v>0</v>
      </c>
      <c r="L379" s="2">
        <v>37.019999999999996</v>
      </c>
      <c r="M379" s="2">
        <v>40.619999999999997</v>
      </c>
      <c r="N379" s="244">
        <v>0.23389199999999999</v>
      </c>
      <c r="O379" s="2" t="s">
        <v>18</v>
      </c>
      <c r="P379" s="2">
        <v>50</v>
      </c>
      <c r="Q379" s="2">
        <v>0</v>
      </c>
      <c r="R379" s="2" t="s">
        <v>40</v>
      </c>
      <c r="S379" s="2"/>
      <c r="T379" s="2">
        <v>6.16</v>
      </c>
      <c r="U379" s="398">
        <v>501.84</v>
      </c>
      <c r="V379" s="7">
        <v>468</v>
      </c>
      <c r="W379" s="7" t="s">
        <v>660</v>
      </c>
    </row>
    <row r="380" spans="1:23" x14ac:dyDescent="0.35">
      <c r="A380" s="2">
        <v>56</v>
      </c>
      <c r="B380" s="109" t="s">
        <v>42</v>
      </c>
      <c r="C380" s="110" t="s">
        <v>43</v>
      </c>
      <c r="D380" s="2">
        <v>72</v>
      </c>
      <c r="E380" s="51">
        <v>6.5</v>
      </c>
      <c r="F380" s="105"/>
      <c r="H380" s="2"/>
      <c r="I380" s="2">
        <v>6</v>
      </c>
      <c r="J380" s="2">
        <v>0</v>
      </c>
      <c r="K380" s="2">
        <v>0</v>
      </c>
      <c r="L380" s="2">
        <v>37.019999999999996</v>
      </c>
      <c r="M380" s="2">
        <v>40.619999999999997</v>
      </c>
      <c r="N380" s="244">
        <v>0.23389199999999999</v>
      </c>
      <c r="O380" s="2" t="s">
        <v>18</v>
      </c>
      <c r="P380" s="2">
        <v>50</v>
      </c>
      <c r="Q380" s="2">
        <v>0</v>
      </c>
      <c r="R380" s="2" t="s">
        <v>42</v>
      </c>
      <c r="S380" s="2"/>
      <c r="T380" s="2">
        <v>6.16</v>
      </c>
      <c r="U380" s="398">
        <v>501.84</v>
      </c>
      <c r="V380" s="7">
        <v>468</v>
      </c>
      <c r="W380" s="7" t="s">
        <v>660</v>
      </c>
    </row>
    <row r="381" spans="1:23" x14ac:dyDescent="0.35">
      <c r="A381" s="2">
        <v>56</v>
      </c>
      <c r="B381" s="109" t="s">
        <v>44</v>
      </c>
      <c r="C381" s="110" t="s">
        <v>45</v>
      </c>
      <c r="D381" s="2">
        <v>72</v>
      </c>
      <c r="E381" s="51">
        <v>6.5</v>
      </c>
      <c r="F381" s="105"/>
      <c r="H381" s="2"/>
      <c r="I381" s="2">
        <v>6</v>
      </c>
      <c r="J381" s="2">
        <v>0</v>
      </c>
      <c r="K381" s="2">
        <v>0</v>
      </c>
      <c r="L381" s="2">
        <v>37.019999999999996</v>
      </c>
      <c r="M381" s="2">
        <v>40.619999999999997</v>
      </c>
      <c r="N381" s="244">
        <v>0.23389199999999999</v>
      </c>
      <c r="O381" s="2" t="s">
        <v>18</v>
      </c>
      <c r="P381" s="2">
        <v>50</v>
      </c>
      <c r="Q381" s="2">
        <v>0</v>
      </c>
      <c r="R381" s="2" t="s">
        <v>44</v>
      </c>
      <c r="S381" s="2"/>
      <c r="T381" s="2">
        <v>6.16</v>
      </c>
      <c r="U381" s="398">
        <v>501.84</v>
      </c>
      <c r="V381" s="7">
        <v>468</v>
      </c>
      <c r="W381" s="7" t="s">
        <v>660</v>
      </c>
    </row>
    <row r="382" spans="1:23" x14ac:dyDescent="0.35">
      <c r="A382" s="2">
        <v>56</v>
      </c>
      <c r="B382" s="109" t="s">
        <v>48</v>
      </c>
      <c r="C382" s="110" t="s">
        <v>49</v>
      </c>
      <c r="D382" s="2">
        <v>72</v>
      </c>
      <c r="E382" s="51">
        <v>6.5</v>
      </c>
      <c r="F382" s="105"/>
      <c r="H382" s="2"/>
      <c r="I382" s="2">
        <v>6</v>
      </c>
      <c r="J382" s="2">
        <v>0</v>
      </c>
      <c r="K382" s="2">
        <v>0</v>
      </c>
      <c r="L382" s="2">
        <v>34.200000000000003</v>
      </c>
      <c r="M382" s="2">
        <v>37.799999999999997</v>
      </c>
      <c r="N382" s="244">
        <v>0.23389199999999999</v>
      </c>
      <c r="O382" s="2" t="s">
        <v>18</v>
      </c>
      <c r="P382" s="2">
        <v>50</v>
      </c>
      <c r="Q382" s="2">
        <v>0</v>
      </c>
      <c r="R382" s="2" t="s">
        <v>48</v>
      </c>
      <c r="S382" s="2"/>
      <c r="T382" s="2">
        <v>6.16</v>
      </c>
      <c r="U382" s="398">
        <v>501.84</v>
      </c>
      <c r="V382" s="7">
        <v>468</v>
      </c>
      <c r="W382" s="7" t="s">
        <v>660</v>
      </c>
    </row>
    <row r="383" spans="1:23" x14ac:dyDescent="0.35">
      <c r="A383" s="2">
        <v>56</v>
      </c>
      <c r="B383" s="109" t="s">
        <v>50</v>
      </c>
      <c r="C383" s="110" t="s">
        <v>51</v>
      </c>
      <c r="D383" s="2">
        <v>72</v>
      </c>
      <c r="E383" s="51">
        <v>6.5</v>
      </c>
      <c r="F383" s="105"/>
      <c r="H383" s="2"/>
      <c r="I383" s="2">
        <v>6</v>
      </c>
      <c r="J383" s="2">
        <v>0</v>
      </c>
      <c r="K383" s="2">
        <v>0</v>
      </c>
      <c r="L383" s="2">
        <v>34.200000000000003</v>
      </c>
      <c r="M383" s="2">
        <v>37.799999999999997</v>
      </c>
      <c r="N383" s="244">
        <v>0.23389199999999999</v>
      </c>
      <c r="O383" s="2" t="s">
        <v>18</v>
      </c>
      <c r="P383" s="2">
        <v>50</v>
      </c>
      <c r="Q383" s="2">
        <v>0</v>
      </c>
      <c r="R383" s="2" t="s">
        <v>50</v>
      </c>
      <c r="S383" s="2"/>
      <c r="T383" s="2">
        <v>6.16</v>
      </c>
      <c r="U383" s="398">
        <v>501.84</v>
      </c>
      <c r="V383" s="7">
        <v>468</v>
      </c>
      <c r="W383" s="7" t="s">
        <v>660</v>
      </c>
    </row>
    <row r="384" spans="1:23" x14ac:dyDescent="0.35">
      <c r="A384" s="2">
        <v>56</v>
      </c>
      <c r="B384" s="109" t="s">
        <v>52</v>
      </c>
      <c r="C384" s="110" t="s">
        <v>53</v>
      </c>
      <c r="D384" s="2">
        <v>72</v>
      </c>
      <c r="E384" s="51">
        <v>6.5</v>
      </c>
      <c r="F384" s="105"/>
      <c r="H384" s="2"/>
      <c r="I384" s="2">
        <v>6</v>
      </c>
      <c r="J384" s="2">
        <v>0</v>
      </c>
      <c r="K384" s="2">
        <v>0</v>
      </c>
      <c r="L384" s="2">
        <v>34.200000000000003</v>
      </c>
      <c r="M384" s="2">
        <v>37.799999999999997</v>
      </c>
      <c r="N384" s="244">
        <v>0.23389199999999999</v>
      </c>
      <c r="O384" s="2" t="s">
        <v>18</v>
      </c>
      <c r="P384" s="2">
        <v>50</v>
      </c>
      <c r="Q384" s="2">
        <v>0</v>
      </c>
      <c r="R384" s="2" t="s">
        <v>52</v>
      </c>
      <c r="S384" s="2"/>
      <c r="T384" s="2">
        <v>6.16</v>
      </c>
      <c r="U384" s="398">
        <v>501.84</v>
      </c>
      <c r="V384" s="7">
        <v>468</v>
      </c>
      <c r="W384" s="7" t="s">
        <v>660</v>
      </c>
    </row>
    <row r="385" spans="1:23" x14ac:dyDescent="0.35">
      <c r="A385" s="2">
        <v>56</v>
      </c>
      <c r="B385" s="109" t="s">
        <v>91</v>
      </c>
      <c r="C385" s="110" t="s">
        <v>92</v>
      </c>
      <c r="D385" s="2">
        <v>72</v>
      </c>
      <c r="E385" s="51">
        <v>6</v>
      </c>
      <c r="F385" s="105"/>
      <c r="H385" s="2"/>
      <c r="I385" s="2">
        <v>3</v>
      </c>
      <c r="J385" s="2">
        <v>0</v>
      </c>
      <c r="K385" s="2">
        <v>0</v>
      </c>
      <c r="L385" s="2">
        <v>22.56</v>
      </c>
      <c r="M385" s="2">
        <v>24.69</v>
      </c>
      <c r="N385" s="244">
        <v>6.7337999999999995E-2</v>
      </c>
      <c r="O385" s="2" t="s">
        <v>1147</v>
      </c>
      <c r="P385" s="2">
        <v>100</v>
      </c>
      <c r="Q385" s="2" t="s">
        <v>55</v>
      </c>
      <c r="R385" s="2" t="s">
        <v>91</v>
      </c>
      <c r="S385" s="2"/>
      <c r="T385" s="2">
        <v>5</v>
      </c>
      <c r="U385" s="398">
        <v>360</v>
      </c>
      <c r="V385" s="7">
        <v>432</v>
      </c>
      <c r="W385" s="7" t="s">
        <v>660</v>
      </c>
    </row>
    <row r="386" spans="1:23" x14ac:dyDescent="0.35">
      <c r="A386" s="2">
        <v>56</v>
      </c>
      <c r="B386" s="109" t="s">
        <v>93</v>
      </c>
      <c r="C386" s="110" t="s">
        <v>94</v>
      </c>
      <c r="D386" s="2">
        <v>72</v>
      </c>
      <c r="E386" s="51">
        <v>6</v>
      </c>
      <c r="F386" s="105"/>
      <c r="H386" s="2"/>
      <c r="I386" s="2">
        <v>3</v>
      </c>
      <c r="J386" s="2">
        <v>0</v>
      </c>
      <c r="K386" s="2">
        <v>0</v>
      </c>
      <c r="L386" s="2">
        <v>22.56</v>
      </c>
      <c r="M386" s="2">
        <v>24.69</v>
      </c>
      <c r="N386" s="244">
        <v>6.7337999999999995E-2</v>
      </c>
      <c r="O386" s="2" t="s">
        <v>1147</v>
      </c>
      <c r="P386" s="2">
        <v>100</v>
      </c>
      <c r="Q386" s="2" t="s">
        <v>55</v>
      </c>
      <c r="R386" s="2" t="s">
        <v>93</v>
      </c>
      <c r="S386" s="2"/>
      <c r="T386" s="2">
        <v>5</v>
      </c>
      <c r="U386" s="398">
        <v>360</v>
      </c>
      <c r="V386" s="7">
        <v>432</v>
      </c>
      <c r="W386" s="7" t="s">
        <v>660</v>
      </c>
    </row>
    <row r="387" spans="1:23" x14ac:dyDescent="0.35">
      <c r="A387" s="2">
        <v>56</v>
      </c>
      <c r="B387" s="109" t="s">
        <v>95</v>
      </c>
      <c r="C387" s="110" t="s">
        <v>96</v>
      </c>
      <c r="D387" s="2">
        <v>72</v>
      </c>
      <c r="E387" s="51">
        <v>6</v>
      </c>
      <c r="F387" s="105"/>
      <c r="H387" s="2"/>
      <c r="I387" s="2">
        <v>3</v>
      </c>
      <c r="J387" s="2">
        <v>0</v>
      </c>
      <c r="K387" s="2">
        <v>0</v>
      </c>
      <c r="L387" s="2">
        <v>22.56</v>
      </c>
      <c r="M387" s="2">
        <v>24.69</v>
      </c>
      <c r="N387" s="244">
        <v>6.7337999999999995E-2</v>
      </c>
      <c r="O387" s="2" t="s">
        <v>1147</v>
      </c>
      <c r="P387" s="2">
        <v>100</v>
      </c>
      <c r="Q387" s="2" t="s">
        <v>55</v>
      </c>
      <c r="R387" s="2" t="s">
        <v>95</v>
      </c>
      <c r="S387" s="2"/>
      <c r="T387" s="2">
        <v>5</v>
      </c>
      <c r="U387" s="398">
        <v>360</v>
      </c>
      <c r="V387" s="7">
        <v>432</v>
      </c>
      <c r="W387" s="7" t="s">
        <v>660</v>
      </c>
    </row>
    <row r="388" spans="1:23" x14ac:dyDescent="0.35">
      <c r="A388" s="2">
        <v>56</v>
      </c>
      <c r="B388" s="109" t="s">
        <v>97</v>
      </c>
      <c r="C388" s="110" t="s">
        <v>98</v>
      </c>
      <c r="D388" s="2">
        <v>72</v>
      </c>
      <c r="E388" s="51">
        <v>6</v>
      </c>
      <c r="F388" s="105"/>
      <c r="H388" s="2"/>
      <c r="I388" s="2">
        <v>3</v>
      </c>
      <c r="J388" s="2">
        <v>0</v>
      </c>
      <c r="K388" s="2">
        <v>0</v>
      </c>
      <c r="L388" s="2">
        <v>22.56</v>
      </c>
      <c r="M388" s="2">
        <v>24.69</v>
      </c>
      <c r="N388" s="244">
        <v>6.7337999999999995E-2</v>
      </c>
      <c r="O388" s="2" t="s">
        <v>1147</v>
      </c>
      <c r="P388" s="2">
        <v>100</v>
      </c>
      <c r="Q388" s="2" t="s">
        <v>55</v>
      </c>
      <c r="R388" s="2" t="s">
        <v>97</v>
      </c>
      <c r="S388" s="2"/>
      <c r="T388" s="2">
        <v>5</v>
      </c>
      <c r="U388" s="398">
        <v>360</v>
      </c>
      <c r="V388" s="7">
        <v>432</v>
      </c>
      <c r="W388" s="7" t="s">
        <v>660</v>
      </c>
    </row>
    <row r="389" spans="1:23" x14ac:dyDescent="0.35">
      <c r="A389" s="2">
        <v>56</v>
      </c>
      <c r="B389" s="109" t="s">
        <v>99</v>
      </c>
      <c r="C389" s="110" t="s">
        <v>100</v>
      </c>
      <c r="D389" s="2">
        <v>72</v>
      </c>
      <c r="E389" s="51">
        <v>6</v>
      </c>
      <c r="F389" s="105"/>
      <c r="H389" s="2"/>
      <c r="I389" s="2">
        <v>3</v>
      </c>
      <c r="J389" s="2">
        <v>0</v>
      </c>
      <c r="K389" s="2">
        <v>0</v>
      </c>
      <c r="L389" s="2">
        <v>20.61</v>
      </c>
      <c r="M389" s="2">
        <v>22.68</v>
      </c>
      <c r="N389" s="244">
        <v>7.5465000000000004E-2</v>
      </c>
      <c r="O389" s="2" t="s">
        <v>1147</v>
      </c>
      <c r="P389" s="2">
        <v>100</v>
      </c>
      <c r="Q389" s="2" t="s">
        <v>55</v>
      </c>
      <c r="R389" s="2" t="s">
        <v>99</v>
      </c>
      <c r="S389" s="2"/>
      <c r="T389" s="2">
        <v>5</v>
      </c>
      <c r="U389" s="398">
        <v>360</v>
      </c>
      <c r="V389" s="7">
        <v>432</v>
      </c>
      <c r="W389" s="7" t="s">
        <v>660</v>
      </c>
    </row>
    <row r="390" spans="1:23" x14ac:dyDescent="0.35">
      <c r="A390" s="2">
        <v>56</v>
      </c>
      <c r="B390" s="109" t="s">
        <v>101</v>
      </c>
      <c r="C390" s="110" t="s">
        <v>102</v>
      </c>
      <c r="D390" s="2">
        <v>72</v>
      </c>
      <c r="E390" s="51">
        <v>6</v>
      </c>
      <c r="F390" s="105"/>
      <c r="H390" s="2"/>
      <c r="I390" s="2">
        <v>3</v>
      </c>
      <c r="J390" s="2">
        <v>0</v>
      </c>
      <c r="K390" s="2">
        <v>0</v>
      </c>
      <c r="L390" s="2">
        <v>20.61</v>
      </c>
      <c r="M390" s="2">
        <v>22.68</v>
      </c>
      <c r="N390" s="244">
        <v>7.5465000000000004E-2</v>
      </c>
      <c r="O390" s="2" t="s">
        <v>1147</v>
      </c>
      <c r="P390" s="2">
        <v>100</v>
      </c>
      <c r="Q390" s="2" t="s">
        <v>55</v>
      </c>
      <c r="R390" s="2" t="s">
        <v>101</v>
      </c>
      <c r="S390" s="2"/>
      <c r="T390" s="2">
        <v>5</v>
      </c>
      <c r="U390" s="398">
        <v>360</v>
      </c>
      <c r="V390" s="7">
        <v>432</v>
      </c>
      <c r="W390" s="7" t="s">
        <v>660</v>
      </c>
    </row>
    <row r="391" spans="1:23" x14ac:dyDescent="0.35">
      <c r="A391" s="2">
        <v>56</v>
      </c>
      <c r="B391" s="109" t="s">
        <v>103</v>
      </c>
      <c r="C391" s="110" t="s">
        <v>104</v>
      </c>
      <c r="D391" s="2">
        <v>72</v>
      </c>
      <c r="E391" s="51">
        <v>6</v>
      </c>
      <c r="F391" s="105"/>
      <c r="H391" s="2"/>
      <c r="I391" s="2">
        <v>3</v>
      </c>
      <c r="J391" s="2">
        <v>0</v>
      </c>
      <c r="K391" s="2">
        <v>0</v>
      </c>
      <c r="L391" s="2">
        <v>20.61</v>
      </c>
      <c r="M391" s="2">
        <v>22.68</v>
      </c>
      <c r="N391" s="244">
        <v>7.5465000000000004E-2</v>
      </c>
      <c r="O391" s="2" t="s">
        <v>1147</v>
      </c>
      <c r="P391" s="2">
        <v>100</v>
      </c>
      <c r="Q391" s="2" t="s">
        <v>55</v>
      </c>
      <c r="R391" s="2" t="s">
        <v>103</v>
      </c>
      <c r="S391" s="2"/>
      <c r="T391" s="2">
        <v>5</v>
      </c>
      <c r="U391" s="398">
        <v>360</v>
      </c>
      <c r="V391" s="7">
        <v>432</v>
      </c>
      <c r="W391" s="7" t="s">
        <v>660</v>
      </c>
    </row>
    <row r="392" spans="1:23" x14ac:dyDescent="0.35">
      <c r="A392" s="2">
        <v>56</v>
      </c>
      <c r="B392" s="109" t="s">
        <v>105</v>
      </c>
      <c r="C392" s="110" t="s">
        <v>106</v>
      </c>
      <c r="D392" s="2">
        <v>72</v>
      </c>
      <c r="E392" s="51">
        <v>6</v>
      </c>
      <c r="F392" s="105"/>
      <c r="H392" s="2"/>
      <c r="I392" s="2">
        <v>3</v>
      </c>
      <c r="J392" s="2">
        <v>0</v>
      </c>
      <c r="K392" s="2">
        <v>0</v>
      </c>
      <c r="L392" s="2">
        <v>20.61</v>
      </c>
      <c r="M392" s="2">
        <v>22.68</v>
      </c>
      <c r="N392" s="244">
        <v>7.5465000000000004E-2</v>
      </c>
      <c r="O392" s="2" t="s">
        <v>1147</v>
      </c>
      <c r="P392" s="2">
        <v>100</v>
      </c>
      <c r="Q392" s="2" t="s">
        <v>55</v>
      </c>
      <c r="R392" s="2" t="s">
        <v>105</v>
      </c>
      <c r="S392" s="2"/>
      <c r="T392" s="2">
        <v>5</v>
      </c>
      <c r="U392" s="398">
        <v>360</v>
      </c>
      <c r="V392" s="7">
        <v>432</v>
      </c>
      <c r="W392" s="7" t="s">
        <v>660</v>
      </c>
    </row>
    <row r="393" spans="1:23" x14ac:dyDescent="0.35">
      <c r="A393" s="2">
        <v>56</v>
      </c>
      <c r="B393" s="109" t="s">
        <v>168</v>
      </c>
      <c r="C393" s="110" t="s">
        <v>171</v>
      </c>
      <c r="D393" s="2">
        <v>240</v>
      </c>
      <c r="E393" s="51">
        <v>2</v>
      </c>
      <c r="F393" s="105"/>
      <c r="H393" s="2"/>
      <c r="I393" s="2">
        <v>10</v>
      </c>
      <c r="J393" s="2">
        <v>0</v>
      </c>
      <c r="K393" s="2">
        <v>0</v>
      </c>
      <c r="L393" s="2">
        <v>63.5</v>
      </c>
      <c r="M393" s="2">
        <v>70</v>
      </c>
      <c r="N393" s="244">
        <v>0.15939</v>
      </c>
      <c r="O393" s="2" t="s">
        <v>169</v>
      </c>
      <c r="P393" s="2">
        <v>200</v>
      </c>
      <c r="Q393" s="2" t="s">
        <v>170</v>
      </c>
      <c r="R393" s="2" t="s">
        <v>168</v>
      </c>
      <c r="S393" s="2"/>
      <c r="T393" s="2">
        <v>2.0499999999999998</v>
      </c>
      <c r="U393" s="398">
        <v>491.99999999999994</v>
      </c>
      <c r="V393" s="7">
        <v>480</v>
      </c>
      <c r="W393" s="7" t="s">
        <v>660</v>
      </c>
    </row>
    <row r="394" spans="1:23" x14ac:dyDescent="0.35">
      <c r="A394" s="2">
        <v>56</v>
      </c>
      <c r="B394" s="109" t="s">
        <v>173</v>
      </c>
      <c r="C394" s="110" t="s">
        <v>174</v>
      </c>
      <c r="D394" s="2">
        <v>240</v>
      </c>
      <c r="E394" s="51">
        <v>2</v>
      </c>
      <c r="F394" s="105"/>
      <c r="H394" s="2"/>
      <c r="I394" s="2">
        <v>10</v>
      </c>
      <c r="J394" s="2">
        <v>0</v>
      </c>
      <c r="K394" s="2">
        <v>0</v>
      </c>
      <c r="L394" s="2">
        <v>63.5</v>
      </c>
      <c r="M394" s="2">
        <v>70</v>
      </c>
      <c r="N394" s="244">
        <v>0.15939</v>
      </c>
      <c r="O394" s="2" t="s">
        <v>169</v>
      </c>
      <c r="P394" s="2">
        <v>200</v>
      </c>
      <c r="Q394" s="2" t="s">
        <v>170</v>
      </c>
      <c r="R394" s="2" t="s">
        <v>173</v>
      </c>
      <c r="S394" s="2"/>
      <c r="T394" s="2">
        <v>2.0499999999999998</v>
      </c>
      <c r="U394" s="398">
        <v>491.99999999999994</v>
      </c>
      <c r="V394" s="7">
        <v>480</v>
      </c>
      <c r="W394" s="7" t="s">
        <v>660</v>
      </c>
    </row>
    <row r="395" spans="1:23" x14ac:dyDescent="0.35">
      <c r="A395" s="2">
        <v>56</v>
      </c>
      <c r="B395" s="109" t="s">
        <v>175</v>
      </c>
      <c r="C395" s="110" t="s">
        <v>176</v>
      </c>
      <c r="D395" s="2">
        <v>240</v>
      </c>
      <c r="E395" s="51">
        <v>2</v>
      </c>
      <c r="F395" s="105"/>
      <c r="H395" s="2"/>
      <c r="I395" s="2">
        <v>10</v>
      </c>
      <c r="J395" s="2">
        <v>0</v>
      </c>
      <c r="K395" s="2">
        <v>0</v>
      </c>
      <c r="L395" s="2">
        <v>63.5</v>
      </c>
      <c r="M395" s="2">
        <v>70</v>
      </c>
      <c r="N395" s="244">
        <v>0.15939</v>
      </c>
      <c r="O395" s="2" t="s">
        <v>169</v>
      </c>
      <c r="P395" s="2">
        <v>200</v>
      </c>
      <c r="Q395" s="2" t="s">
        <v>170</v>
      </c>
      <c r="R395" s="2" t="s">
        <v>175</v>
      </c>
      <c r="S395" s="2"/>
      <c r="T395" s="2">
        <v>2.0499999999999998</v>
      </c>
      <c r="U395" s="398">
        <v>491.99999999999994</v>
      </c>
      <c r="V395" s="7">
        <v>480</v>
      </c>
      <c r="W395" s="7" t="s">
        <v>660</v>
      </c>
    </row>
    <row r="396" spans="1:23" x14ac:dyDescent="0.35">
      <c r="A396" s="2">
        <v>56</v>
      </c>
      <c r="B396" s="109" t="s">
        <v>177</v>
      </c>
      <c r="C396" s="110" t="s">
        <v>178</v>
      </c>
      <c r="D396" s="2">
        <v>240</v>
      </c>
      <c r="E396" s="51">
        <v>2</v>
      </c>
      <c r="F396" s="105"/>
      <c r="H396" s="2"/>
      <c r="I396" s="2">
        <v>10</v>
      </c>
      <c r="J396" s="2">
        <v>0</v>
      </c>
      <c r="K396" s="2">
        <v>0</v>
      </c>
      <c r="L396" s="2">
        <v>63.5</v>
      </c>
      <c r="M396" s="2">
        <v>70</v>
      </c>
      <c r="N396" s="244">
        <v>0.15939</v>
      </c>
      <c r="O396" s="2" t="s">
        <v>169</v>
      </c>
      <c r="P396" s="2">
        <v>200</v>
      </c>
      <c r="Q396" s="2" t="s">
        <v>170</v>
      </c>
      <c r="R396" s="2" t="s">
        <v>177</v>
      </c>
      <c r="S396" s="2"/>
      <c r="T396" s="2">
        <v>2.0499999999999998</v>
      </c>
      <c r="U396" s="398">
        <v>491.99999999999994</v>
      </c>
      <c r="V396" s="7">
        <v>480</v>
      </c>
      <c r="W396" s="7" t="s">
        <v>660</v>
      </c>
    </row>
    <row r="397" spans="1:23" x14ac:dyDescent="0.35">
      <c r="A397" s="2">
        <v>57</v>
      </c>
      <c r="B397" s="109" t="s">
        <v>1201</v>
      </c>
      <c r="C397" s="110" t="s">
        <v>59</v>
      </c>
      <c r="D397" s="2">
        <v>5376</v>
      </c>
      <c r="E397" s="51">
        <v>4.4139999999999997</v>
      </c>
      <c r="F397" s="105"/>
      <c r="H397" s="2">
        <v>226</v>
      </c>
      <c r="I397" s="2">
        <v>84</v>
      </c>
      <c r="J397" s="2">
        <v>0</v>
      </c>
      <c r="K397" s="2">
        <v>4</v>
      </c>
      <c r="L397" s="2">
        <v>1009.2353125</v>
      </c>
      <c r="M397" s="2">
        <v>1059.128125</v>
      </c>
      <c r="N397" s="244">
        <v>2.2767753437499998</v>
      </c>
      <c r="O397" s="2" t="s">
        <v>934</v>
      </c>
      <c r="P397" s="2">
        <v>50</v>
      </c>
      <c r="Q397" s="2" t="s">
        <v>55</v>
      </c>
      <c r="R397" s="2" t="s">
        <v>54</v>
      </c>
      <c r="S397" s="2"/>
      <c r="T397" s="2" t="s">
        <v>861</v>
      </c>
      <c r="U397" s="398" t="s">
        <v>861</v>
      </c>
      <c r="V397" s="7">
        <v>23729.663999999997</v>
      </c>
      <c r="W397" s="7" t="s">
        <v>1084</v>
      </c>
    </row>
    <row r="398" spans="1:23" x14ac:dyDescent="0.35">
      <c r="A398" s="2">
        <v>57</v>
      </c>
      <c r="B398" s="109" t="s">
        <v>1203</v>
      </c>
      <c r="C398" s="110" t="s">
        <v>63</v>
      </c>
      <c r="D398" s="2">
        <v>4352</v>
      </c>
      <c r="E398" s="51">
        <v>4.4139999999999997</v>
      </c>
      <c r="F398" s="105"/>
      <c r="H398" s="2"/>
      <c r="I398" s="2">
        <v>68</v>
      </c>
      <c r="J398" s="2">
        <v>0</v>
      </c>
      <c r="K398" s="2">
        <v>0</v>
      </c>
      <c r="L398" s="2">
        <v>784.04</v>
      </c>
      <c r="M398" s="2">
        <v>822.8</v>
      </c>
      <c r="N398" s="244">
        <v>1.768748</v>
      </c>
      <c r="O398" s="2" t="s">
        <v>934</v>
      </c>
      <c r="P398" s="2">
        <v>50</v>
      </c>
      <c r="Q398" s="2" t="s">
        <v>55</v>
      </c>
      <c r="R398" s="2" t="s">
        <v>54</v>
      </c>
      <c r="S398" s="2"/>
      <c r="T398" s="2" t="s">
        <v>861</v>
      </c>
      <c r="U398" s="398" t="s">
        <v>861</v>
      </c>
      <c r="V398" s="7">
        <v>19209.727999999999</v>
      </c>
      <c r="W398" s="7" t="s">
        <v>1084</v>
      </c>
    </row>
    <row r="399" spans="1:23" x14ac:dyDescent="0.35">
      <c r="A399" s="2">
        <v>57</v>
      </c>
      <c r="B399" s="109" t="s">
        <v>1204</v>
      </c>
      <c r="C399" s="110" t="s">
        <v>65</v>
      </c>
      <c r="D399" s="2">
        <v>5145</v>
      </c>
      <c r="E399" s="51">
        <v>4.4139999999999997</v>
      </c>
      <c r="F399" s="105"/>
      <c r="H399" s="2"/>
      <c r="I399" s="2">
        <v>81</v>
      </c>
      <c r="J399" s="2">
        <v>0</v>
      </c>
      <c r="K399" s="2">
        <v>0</v>
      </c>
      <c r="L399" s="2">
        <v>926.90390624999998</v>
      </c>
      <c r="M399" s="2">
        <v>972.7265625</v>
      </c>
      <c r="N399" s="244">
        <v>2.091040546875</v>
      </c>
      <c r="O399" s="2" t="s">
        <v>934</v>
      </c>
      <c r="P399" s="2">
        <v>50</v>
      </c>
      <c r="Q399" s="2" t="s">
        <v>55</v>
      </c>
      <c r="R399" s="2" t="s">
        <v>54</v>
      </c>
      <c r="S399" s="2"/>
      <c r="T399" s="2" t="s">
        <v>861</v>
      </c>
      <c r="U399" s="398" t="s">
        <v>861</v>
      </c>
      <c r="V399" s="7">
        <v>22710.03</v>
      </c>
      <c r="W399" s="7" t="s">
        <v>1084</v>
      </c>
    </row>
    <row r="400" spans="1:23" x14ac:dyDescent="0.35">
      <c r="A400" s="2">
        <v>57</v>
      </c>
      <c r="B400" s="109" t="s">
        <v>1205</v>
      </c>
      <c r="C400" s="110" t="s">
        <v>67</v>
      </c>
      <c r="D400" s="2">
        <v>5503</v>
      </c>
      <c r="E400" s="51">
        <v>4.4139999999999997</v>
      </c>
      <c r="F400" s="105"/>
      <c r="H400" s="2"/>
      <c r="I400" s="2">
        <v>86</v>
      </c>
      <c r="J400" s="2">
        <v>0</v>
      </c>
      <c r="K400" s="2">
        <v>0</v>
      </c>
      <c r="L400" s="2">
        <v>991.39984374999995</v>
      </c>
      <c r="M400" s="2">
        <v>1040.4109375</v>
      </c>
      <c r="N400" s="244">
        <v>2.2365395781249999</v>
      </c>
      <c r="O400" s="2" t="s">
        <v>934</v>
      </c>
      <c r="P400" s="2">
        <v>50</v>
      </c>
      <c r="Q400" s="2" t="s">
        <v>55</v>
      </c>
      <c r="R400" s="2" t="s">
        <v>54</v>
      </c>
      <c r="S400" s="2"/>
      <c r="T400" s="2" t="s">
        <v>861</v>
      </c>
      <c r="U400" s="398" t="s">
        <v>861</v>
      </c>
      <c r="V400" s="7">
        <v>24290.241999999998</v>
      </c>
      <c r="W400" s="7" t="s">
        <v>1084</v>
      </c>
    </row>
    <row r="401" spans="1:23" x14ac:dyDescent="0.35">
      <c r="A401" s="2">
        <v>57</v>
      </c>
      <c r="B401" s="109" t="s">
        <v>1206</v>
      </c>
      <c r="C401" s="110" t="s">
        <v>69</v>
      </c>
      <c r="D401" s="2">
        <v>5524</v>
      </c>
      <c r="E401" s="51">
        <v>4.4139999999999997</v>
      </c>
      <c r="F401" s="105"/>
      <c r="H401" s="2"/>
      <c r="I401" s="2">
        <v>87</v>
      </c>
      <c r="J401" s="2">
        <v>0</v>
      </c>
      <c r="K401" s="2">
        <v>0</v>
      </c>
      <c r="L401" s="2">
        <v>995.1831249999999</v>
      </c>
      <c r="M401" s="2">
        <v>1044.3812499999999</v>
      </c>
      <c r="N401" s="244">
        <v>2.2450744375</v>
      </c>
      <c r="O401" s="2" t="s">
        <v>934</v>
      </c>
      <c r="P401" s="2">
        <v>50</v>
      </c>
      <c r="Q401" s="2" t="s">
        <v>55</v>
      </c>
      <c r="R401" s="2" t="s">
        <v>54</v>
      </c>
      <c r="S401" s="2"/>
      <c r="T401" s="2" t="s">
        <v>861</v>
      </c>
      <c r="U401" s="398" t="s">
        <v>861</v>
      </c>
      <c r="V401" s="7">
        <v>24382.935999999998</v>
      </c>
      <c r="W401" s="7" t="s">
        <v>1084</v>
      </c>
    </row>
    <row r="402" spans="1:23" x14ac:dyDescent="0.35">
      <c r="A402" s="2">
        <v>57</v>
      </c>
      <c r="B402" s="109" t="s">
        <v>1207</v>
      </c>
      <c r="C402" s="110" t="s">
        <v>71</v>
      </c>
      <c r="D402" s="2">
        <v>5277</v>
      </c>
      <c r="E402" s="51">
        <v>4.4139999999999997</v>
      </c>
      <c r="F402" s="105"/>
      <c r="H402" s="2"/>
      <c r="I402" s="2">
        <v>83</v>
      </c>
      <c r="J402" s="2">
        <v>0</v>
      </c>
      <c r="K402" s="2">
        <v>0</v>
      </c>
      <c r="L402" s="2">
        <v>950.68453124999996</v>
      </c>
      <c r="M402" s="2">
        <v>997.68281249999995</v>
      </c>
      <c r="N402" s="244">
        <v>2.1446882343749998</v>
      </c>
      <c r="O402" s="2" t="s">
        <v>934</v>
      </c>
      <c r="P402" s="2">
        <v>50</v>
      </c>
      <c r="Q402" s="2" t="s">
        <v>55</v>
      </c>
      <c r="R402" s="2" t="s">
        <v>54</v>
      </c>
      <c r="S402" s="2"/>
      <c r="T402" s="2" t="s">
        <v>861</v>
      </c>
      <c r="U402" s="398" t="s">
        <v>861</v>
      </c>
      <c r="V402" s="7">
        <v>23292.678</v>
      </c>
      <c r="W402" s="7" t="s">
        <v>1084</v>
      </c>
    </row>
    <row r="403" spans="1:23" x14ac:dyDescent="0.35">
      <c r="A403" s="2">
        <v>58</v>
      </c>
      <c r="B403" s="109" t="s">
        <v>114</v>
      </c>
      <c r="C403" s="110" t="s">
        <v>115</v>
      </c>
      <c r="D403" s="2">
        <v>1964</v>
      </c>
      <c r="E403" s="51">
        <v>11.68</v>
      </c>
      <c r="F403" s="105"/>
      <c r="H403" s="2">
        <v>14</v>
      </c>
      <c r="I403" s="2">
        <v>82</v>
      </c>
      <c r="J403" s="2">
        <v>0</v>
      </c>
      <c r="K403" s="2">
        <v>1</v>
      </c>
      <c r="L403" s="2">
        <v>781.31000000000006</v>
      </c>
      <c r="M403" s="2">
        <v>815.92500000000007</v>
      </c>
      <c r="N403" s="244">
        <v>1.4256022916666669</v>
      </c>
      <c r="O403" s="2" t="s">
        <v>108</v>
      </c>
      <c r="P403" s="2">
        <v>100</v>
      </c>
      <c r="Q403" s="2" t="s">
        <v>55</v>
      </c>
      <c r="R403" s="2" t="s">
        <v>114</v>
      </c>
      <c r="S403" s="2"/>
      <c r="T403" s="2" t="s">
        <v>861</v>
      </c>
      <c r="U403" s="398" t="s">
        <v>861</v>
      </c>
      <c r="V403" s="7">
        <v>22939.52</v>
      </c>
      <c r="W403" s="7" t="s">
        <v>1084</v>
      </c>
    </row>
    <row r="404" spans="1:23" x14ac:dyDescent="0.35">
      <c r="A404" s="2">
        <v>58</v>
      </c>
      <c r="B404" s="109" t="s">
        <v>118</v>
      </c>
      <c r="C404" s="110" t="s">
        <v>119</v>
      </c>
      <c r="D404" s="2">
        <v>3714</v>
      </c>
      <c r="E404" s="51">
        <v>11.68</v>
      </c>
      <c r="F404" s="105"/>
      <c r="H404" s="2">
        <v>126</v>
      </c>
      <c r="I404" s="2">
        <v>155</v>
      </c>
      <c r="J404" s="2">
        <v>0</v>
      </c>
      <c r="K404" s="2">
        <v>6</v>
      </c>
      <c r="L404" s="2">
        <v>1459.1999999999998</v>
      </c>
      <c r="M404" s="2">
        <v>1520</v>
      </c>
      <c r="N404" s="244">
        <v>2.8050000000000002</v>
      </c>
      <c r="O404" s="2" t="s">
        <v>108</v>
      </c>
      <c r="P404" s="2">
        <v>100</v>
      </c>
      <c r="Q404" s="2" t="s">
        <v>55</v>
      </c>
      <c r="R404" s="2" t="s">
        <v>118</v>
      </c>
      <c r="S404" s="2"/>
      <c r="T404" s="2" t="s">
        <v>861</v>
      </c>
      <c r="U404" s="398" t="s">
        <v>861</v>
      </c>
      <c r="V404" s="7">
        <v>43379.519999999997</v>
      </c>
      <c r="W404" s="7" t="s">
        <v>1084</v>
      </c>
    </row>
    <row r="405" spans="1:23" x14ac:dyDescent="0.35">
      <c r="A405" s="2">
        <v>58</v>
      </c>
      <c r="B405" s="109" t="s">
        <v>120</v>
      </c>
      <c r="C405" s="110" t="s">
        <v>121</v>
      </c>
      <c r="D405" s="2">
        <v>1962</v>
      </c>
      <c r="E405" s="51">
        <v>11.68</v>
      </c>
      <c r="F405" s="105"/>
      <c r="H405" s="2">
        <v>328</v>
      </c>
      <c r="I405" s="2">
        <v>82</v>
      </c>
      <c r="J405" s="2">
        <v>0</v>
      </c>
      <c r="K405" s="2">
        <v>14</v>
      </c>
      <c r="L405" s="2">
        <v>870.19999999999993</v>
      </c>
      <c r="M405" s="2">
        <v>906.45833333333337</v>
      </c>
      <c r="N405" s="244">
        <v>1.6727734375000001</v>
      </c>
      <c r="O405" s="2" t="s">
        <v>108</v>
      </c>
      <c r="P405" s="2">
        <v>100</v>
      </c>
      <c r="Q405" s="2" t="s">
        <v>55</v>
      </c>
      <c r="R405" s="2" t="s">
        <v>120</v>
      </c>
      <c r="S405" s="2"/>
      <c r="T405" s="2" t="s">
        <v>861</v>
      </c>
      <c r="U405" s="398" t="s">
        <v>861</v>
      </c>
      <c r="V405" s="7">
        <v>22916.16</v>
      </c>
      <c r="W405" s="7" t="s">
        <v>1084</v>
      </c>
    </row>
    <row r="406" spans="1:23" x14ac:dyDescent="0.35">
      <c r="A406" s="2">
        <v>58</v>
      </c>
      <c r="B406" s="109" t="s">
        <v>122</v>
      </c>
      <c r="C406" s="110" t="s">
        <v>123</v>
      </c>
      <c r="D406" s="2">
        <v>2405</v>
      </c>
      <c r="E406" s="51">
        <v>11.68</v>
      </c>
      <c r="F406" s="105"/>
      <c r="H406" s="2"/>
      <c r="I406" s="2">
        <v>101</v>
      </c>
      <c r="J406" s="2">
        <v>0</v>
      </c>
      <c r="K406" s="2">
        <v>0</v>
      </c>
      <c r="L406" s="2">
        <v>913.89999999999986</v>
      </c>
      <c r="M406" s="2">
        <v>951.97916666666663</v>
      </c>
      <c r="N406" s="244">
        <v>1.7567773437500001</v>
      </c>
      <c r="O406" s="2" t="s">
        <v>108</v>
      </c>
      <c r="P406" s="2">
        <v>100</v>
      </c>
      <c r="Q406" s="2" t="s">
        <v>55</v>
      </c>
      <c r="R406" s="2" t="s">
        <v>122</v>
      </c>
      <c r="S406" s="2"/>
      <c r="T406" s="2" t="s">
        <v>861</v>
      </c>
      <c r="U406" s="398" t="s">
        <v>861</v>
      </c>
      <c r="V406" s="7">
        <v>28090.399999999998</v>
      </c>
      <c r="W406" s="7" t="s">
        <v>1084</v>
      </c>
    </row>
    <row r="407" spans="1:23" x14ac:dyDescent="0.35">
      <c r="A407" s="2">
        <v>59</v>
      </c>
      <c r="B407" s="109" t="s">
        <v>54</v>
      </c>
      <c r="C407" s="110" t="s">
        <v>56</v>
      </c>
      <c r="D407" s="2"/>
      <c r="E407" s="51"/>
      <c r="F407" s="105"/>
      <c r="H407" s="2">
        <v>6</v>
      </c>
      <c r="I407" s="2">
        <v>0</v>
      </c>
      <c r="J407" s="2">
        <v>0</v>
      </c>
      <c r="K407" s="2">
        <v>1</v>
      </c>
      <c r="L407" s="2">
        <v>1.2</v>
      </c>
      <c r="M407" s="2">
        <v>1.3</v>
      </c>
      <c r="N407" s="244">
        <v>0</v>
      </c>
      <c r="O407" s="2" t="s">
        <v>1147</v>
      </c>
      <c r="P407" s="2">
        <v>50</v>
      </c>
      <c r="Q407" s="2" t="s">
        <v>55</v>
      </c>
      <c r="R407" s="2" t="s">
        <v>54</v>
      </c>
      <c r="S407" s="2"/>
      <c r="T407" s="2">
        <v>4</v>
      </c>
      <c r="U407" s="398">
        <v>24</v>
      </c>
      <c r="V407" s="7">
        <v>0</v>
      </c>
      <c r="W407" s="7" t="s">
        <v>1099</v>
      </c>
    </row>
    <row r="408" spans="1:23" x14ac:dyDescent="0.35">
      <c r="A408" s="2">
        <v>59</v>
      </c>
      <c r="B408" s="109" t="s">
        <v>1148</v>
      </c>
      <c r="C408" s="110" t="s">
        <v>1149</v>
      </c>
      <c r="D408" s="2"/>
      <c r="E408" s="51"/>
      <c r="F408" s="105"/>
      <c r="H408" s="2">
        <v>6</v>
      </c>
      <c r="I408" s="2">
        <v>0</v>
      </c>
      <c r="J408" s="2">
        <v>0</v>
      </c>
      <c r="K408" s="2">
        <v>1</v>
      </c>
      <c r="L408" s="2">
        <v>1.2</v>
      </c>
      <c r="M408" s="2">
        <v>1.3</v>
      </c>
      <c r="N408" s="244">
        <v>0</v>
      </c>
      <c r="O408" s="2" t="s">
        <v>125</v>
      </c>
      <c r="P408" s="2">
        <v>50</v>
      </c>
      <c r="Q408" s="2" t="s">
        <v>55</v>
      </c>
      <c r="R408" s="2" t="s">
        <v>1148</v>
      </c>
      <c r="S408" s="2"/>
      <c r="T408" s="2" t="s">
        <v>861</v>
      </c>
      <c r="U408" s="398" t="s">
        <v>861</v>
      </c>
      <c r="V408" s="7">
        <v>0</v>
      </c>
      <c r="W408" s="7" t="s">
        <v>1099</v>
      </c>
    </row>
    <row r="409" spans="1:23" x14ac:dyDescent="0.35">
      <c r="A409" s="2">
        <v>60</v>
      </c>
      <c r="B409" s="109" t="s">
        <v>141</v>
      </c>
      <c r="C409" s="110" t="s">
        <v>142</v>
      </c>
      <c r="D409" s="2"/>
      <c r="E409" s="51"/>
      <c r="F409" s="105"/>
      <c r="H409" s="2">
        <v>24</v>
      </c>
      <c r="I409" s="2">
        <v>0</v>
      </c>
      <c r="J409" s="2">
        <v>0</v>
      </c>
      <c r="K409" s="2">
        <v>1</v>
      </c>
      <c r="L409" s="2">
        <v>9.48</v>
      </c>
      <c r="M409" s="2">
        <v>9.9</v>
      </c>
      <c r="N409" s="244">
        <v>0</v>
      </c>
      <c r="O409" s="2" t="s">
        <v>108</v>
      </c>
      <c r="P409" s="2">
        <v>100</v>
      </c>
      <c r="Q409" s="2" t="s">
        <v>55</v>
      </c>
      <c r="R409" s="2" t="s">
        <v>141</v>
      </c>
      <c r="S409" s="2"/>
      <c r="T409" s="2">
        <v>11.68</v>
      </c>
      <c r="U409" s="398">
        <v>280.32</v>
      </c>
      <c r="V409" s="7">
        <v>0</v>
      </c>
      <c r="W409" s="7" t="s">
        <v>1099</v>
      </c>
    </row>
    <row r="410" spans="1:23" x14ac:dyDescent="0.35">
      <c r="A410" s="2">
        <v>60</v>
      </c>
      <c r="B410" s="109" t="s">
        <v>143</v>
      </c>
      <c r="C410" s="110" t="s">
        <v>144</v>
      </c>
      <c r="D410" s="2"/>
      <c r="E410" s="51"/>
      <c r="F410" s="105"/>
      <c r="H410" s="2">
        <v>24</v>
      </c>
      <c r="I410" s="2">
        <v>0</v>
      </c>
      <c r="J410" s="2">
        <v>0</v>
      </c>
      <c r="K410" s="2">
        <v>1</v>
      </c>
      <c r="L410" s="2">
        <v>9.48</v>
      </c>
      <c r="M410" s="2">
        <v>9.9</v>
      </c>
      <c r="N410" s="244">
        <v>0</v>
      </c>
      <c r="O410" s="2" t="s">
        <v>108</v>
      </c>
      <c r="P410" s="2">
        <v>100</v>
      </c>
      <c r="Q410" s="2" t="s">
        <v>55</v>
      </c>
      <c r="R410" s="2" t="s">
        <v>143</v>
      </c>
      <c r="S410" s="2"/>
      <c r="T410" s="2">
        <v>11.68</v>
      </c>
      <c r="U410" s="398">
        <v>280.32</v>
      </c>
      <c r="V410" s="7">
        <v>0</v>
      </c>
      <c r="W410" s="7" t="s">
        <v>1099</v>
      </c>
    </row>
    <row r="411" spans="1:23" x14ac:dyDescent="0.35">
      <c r="A411" s="2">
        <v>61</v>
      </c>
      <c r="B411" s="109" t="s">
        <v>160</v>
      </c>
      <c r="C411" s="110" t="s">
        <v>161</v>
      </c>
      <c r="D411" s="2">
        <v>10032</v>
      </c>
      <c r="E411" s="51">
        <v>1.06</v>
      </c>
      <c r="F411" s="105"/>
      <c r="H411" s="2"/>
      <c r="I411" s="2">
        <v>209</v>
      </c>
      <c r="J411" s="2">
        <v>0</v>
      </c>
      <c r="K411" s="2">
        <v>0</v>
      </c>
      <c r="L411" s="2">
        <v>1563.3200000000002</v>
      </c>
      <c r="M411" s="2">
        <v>1609.3</v>
      </c>
      <c r="N411" s="244">
        <v>7.1158229999999998</v>
      </c>
      <c r="O411" s="2" t="s">
        <v>150</v>
      </c>
      <c r="P411" s="2">
        <v>175</v>
      </c>
      <c r="Q411" s="2" t="s">
        <v>151</v>
      </c>
      <c r="R411" s="2" t="s">
        <v>160</v>
      </c>
      <c r="S411" s="2"/>
      <c r="T411" s="2">
        <v>0.81599999999999995</v>
      </c>
      <c r="U411" s="398">
        <v>8186.1119999999992</v>
      </c>
      <c r="V411" s="7">
        <v>10633.92</v>
      </c>
      <c r="W411" s="7" t="s">
        <v>660</v>
      </c>
    </row>
    <row r="412" spans="1:23" x14ac:dyDescent="0.35">
      <c r="A412" s="2">
        <v>61</v>
      </c>
      <c r="B412" s="109" t="s">
        <v>162</v>
      </c>
      <c r="C412" s="110" t="s">
        <v>163</v>
      </c>
      <c r="D412" s="2">
        <v>10032</v>
      </c>
      <c r="E412" s="51">
        <v>1.06</v>
      </c>
      <c r="F412" s="105"/>
      <c r="H412" s="2"/>
      <c r="I412" s="2">
        <v>209</v>
      </c>
      <c r="J412" s="2">
        <v>0</v>
      </c>
      <c r="K412" s="2">
        <v>0</v>
      </c>
      <c r="L412" s="2">
        <v>1563.3200000000002</v>
      </c>
      <c r="M412" s="2">
        <v>1609.3</v>
      </c>
      <c r="N412" s="244">
        <v>7.1158229999999998</v>
      </c>
      <c r="O412" s="2" t="s">
        <v>150</v>
      </c>
      <c r="P412" s="2">
        <v>175</v>
      </c>
      <c r="Q412" s="2" t="s">
        <v>151</v>
      </c>
      <c r="R412" s="2" t="s">
        <v>162</v>
      </c>
      <c r="S412" s="2"/>
      <c r="T412" s="2">
        <v>0.81599999999999995</v>
      </c>
      <c r="U412" s="398">
        <v>8186.1119999999992</v>
      </c>
      <c r="V412" s="7">
        <v>10633.92</v>
      </c>
      <c r="W412" s="7" t="s">
        <v>660</v>
      </c>
    </row>
    <row r="413" spans="1:23" x14ac:dyDescent="0.35">
      <c r="A413" s="2">
        <v>61</v>
      </c>
      <c r="B413" s="109" t="s">
        <v>164</v>
      </c>
      <c r="C413" s="110" t="s">
        <v>165</v>
      </c>
      <c r="D413" s="2">
        <v>10032</v>
      </c>
      <c r="E413" s="51">
        <v>1.06</v>
      </c>
      <c r="F413" s="105"/>
      <c r="H413" s="2"/>
      <c r="I413" s="2">
        <v>209</v>
      </c>
      <c r="J413" s="2">
        <v>0</v>
      </c>
      <c r="K413" s="2">
        <v>0</v>
      </c>
      <c r="L413" s="2">
        <v>1563.3200000000002</v>
      </c>
      <c r="M413" s="2">
        <v>1609.3</v>
      </c>
      <c r="N413" s="244">
        <v>7.1158229999999998</v>
      </c>
      <c r="O413" s="2" t="s">
        <v>150</v>
      </c>
      <c r="P413" s="2">
        <v>175</v>
      </c>
      <c r="Q413" s="2" t="s">
        <v>151</v>
      </c>
      <c r="R413" s="2" t="s">
        <v>164</v>
      </c>
      <c r="S413" s="2"/>
      <c r="T413" s="2">
        <v>0.81599999999999995</v>
      </c>
      <c r="U413" s="398">
        <v>8186.1119999999992</v>
      </c>
      <c r="V413" s="7">
        <v>10633.92</v>
      </c>
      <c r="W413" s="7" t="s">
        <v>660</v>
      </c>
    </row>
    <row r="414" spans="1:23" x14ac:dyDescent="0.35">
      <c r="A414" s="2">
        <v>61</v>
      </c>
      <c r="B414" s="109" t="s">
        <v>166</v>
      </c>
      <c r="C414" s="110" t="s">
        <v>167</v>
      </c>
      <c r="D414" s="2">
        <v>10032</v>
      </c>
      <c r="E414" s="51">
        <v>1.06</v>
      </c>
      <c r="F414" s="105"/>
      <c r="H414" s="2"/>
      <c r="I414" s="2">
        <v>209</v>
      </c>
      <c r="J414" s="2">
        <v>0</v>
      </c>
      <c r="K414" s="2">
        <v>0</v>
      </c>
      <c r="L414" s="2">
        <v>1563.3200000000002</v>
      </c>
      <c r="M414" s="2">
        <v>1609.3</v>
      </c>
      <c r="N414" s="244">
        <v>7.1158229999999998</v>
      </c>
      <c r="O414" s="2" t="s">
        <v>150</v>
      </c>
      <c r="P414" s="2">
        <v>175</v>
      </c>
      <c r="Q414" s="2" t="s">
        <v>151</v>
      </c>
      <c r="R414" s="2" t="s">
        <v>166</v>
      </c>
      <c r="S414" s="2"/>
      <c r="T414" s="2">
        <v>0.81599999999999995</v>
      </c>
      <c r="U414" s="398">
        <v>8186.1119999999992</v>
      </c>
      <c r="V414" s="7">
        <v>10633.92</v>
      </c>
      <c r="W414" s="7" t="s">
        <v>660</v>
      </c>
    </row>
    <row r="415" spans="1:23" x14ac:dyDescent="0.35">
      <c r="A415" s="2">
        <v>61</v>
      </c>
      <c r="B415" s="109" t="s">
        <v>158</v>
      </c>
      <c r="C415" s="110" t="s">
        <v>159</v>
      </c>
      <c r="D415" s="2">
        <v>10032</v>
      </c>
      <c r="E415" s="51">
        <v>1.03</v>
      </c>
      <c r="F415" s="105"/>
      <c r="H415" s="2"/>
      <c r="I415" s="2">
        <v>209</v>
      </c>
      <c r="J415" s="2">
        <v>0</v>
      </c>
      <c r="K415" s="2">
        <v>0</v>
      </c>
      <c r="L415" s="2">
        <v>1314.192</v>
      </c>
      <c r="M415" s="2">
        <v>1470.5239999999999</v>
      </c>
      <c r="N415" s="244">
        <v>5.4841600000000001</v>
      </c>
      <c r="O415" s="2" t="s">
        <v>150</v>
      </c>
      <c r="P415" s="2">
        <v>150</v>
      </c>
      <c r="Q415" s="2" t="s">
        <v>151</v>
      </c>
      <c r="R415" s="2" t="s">
        <v>158</v>
      </c>
      <c r="S415" s="2"/>
      <c r="T415" s="2">
        <v>0.81599999999999995</v>
      </c>
      <c r="U415" s="398">
        <v>8186.1119999999992</v>
      </c>
      <c r="V415" s="7">
        <v>10332.960000000001</v>
      </c>
      <c r="W415" s="7" t="s">
        <v>660</v>
      </c>
    </row>
    <row r="416" spans="1:23" x14ac:dyDescent="0.35">
      <c r="A416" s="2">
        <v>61</v>
      </c>
      <c r="B416" s="109" t="s">
        <v>107</v>
      </c>
      <c r="C416" s="110" t="s">
        <v>109</v>
      </c>
      <c r="D416" s="2">
        <v>360</v>
      </c>
      <c r="E416" s="51">
        <v>14.53</v>
      </c>
      <c r="F416" s="105"/>
      <c r="H416" s="2">
        <v>52</v>
      </c>
      <c r="I416" s="2">
        <v>15</v>
      </c>
      <c r="J416" s="2">
        <v>0</v>
      </c>
      <c r="K416" s="2">
        <v>3</v>
      </c>
      <c r="L416" s="2">
        <v>162.74</v>
      </c>
      <c r="M416" s="2">
        <v>169.95000000000002</v>
      </c>
      <c r="N416" s="244">
        <v>0.29694041666666671</v>
      </c>
      <c r="O416" s="2" t="s">
        <v>108</v>
      </c>
      <c r="P416" s="2">
        <v>100</v>
      </c>
      <c r="Q416" s="2" t="s">
        <v>55</v>
      </c>
      <c r="R416" s="2" t="s">
        <v>107</v>
      </c>
      <c r="S416" s="2"/>
      <c r="T416" s="2">
        <v>11.68</v>
      </c>
      <c r="U416" s="398">
        <v>4204.8</v>
      </c>
      <c r="V416" s="7">
        <v>5230.8</v>
      </c>
      <c r="W416" s="7" t="s">
        <v>660</v>
      </c>
    </row>
    <row r="417" spans="1:23" x14ac:dyDescent="0.35">
      <c r="A417" s="2">
        <v>61</v>
      </c>
      <c r="B417" s="109" t="s">
        <v>110</v>
      </c>
      <c r="C417" s="110" t="s">
        <v>111</v>
      </c>
      <c r="D417" s="2">
        <v>360</v>
      </c>
      <c r="E417" s="51">
        <v>14.53</v>
      </c>
      <c r="F417" s="105"/>
      <c r="H417" s="2">
        <v>51</v>
      </c>
      <c r="I417" s="2">
        <v>15</v>
      </c>
      <c r="J417" s="2">
        <v>0</v>
      </c>
      <c r="K417" s="2">
        <v>3</v>
      </c>
      <c r="L417" s="2">
        <v>162.345</v>
      </c>
      <c r="M417" s="2">
        <v>169.53749999999999</v>
      </c>
      <c r="N417" s="244">
        <v>0.2962196875</v>
      </c>
      <c r="O417" s="2" t="s">
        <v>108</v>
      </c>
      <c r="P417" s="2">
        <v>100</v>
      </c>
      <c r="Q417" s="2" t="s">
        <v>55</v>
      </c>
      <c r="R417" s="2" t="s">
        <v>110</v>
      </c>
      <c r="S417" s="2"/>
      <c r="T417" s="2">
        <v>11.68</v>
      </c>
      <c r="U417" s="398">
        <v>4204.8</v>
      </c>
      <c r="V417" s="7">
        <v>5230.8</v>
      </c>
      <c r="W417" s="7" t="s">
        <v>660</v>
      </c>
    </row>
    <row r="418" spans="1:23" x14ac:dyDescent="0.35">
      <c r="A418" s="2">
        <v>61</v>
      </c>
      <c r="B418" s="109" t="s">
        <v>112</v>
      </c>
      <c r="C418" s="110" t="s">
        <v>648</v>
      </c>
      <c r="D418" s="2">
        <v>360</v>
      </c>
      <c r="E418" s="51">
        <v>14.53</v>
      </c>
      <c r="F418" s="105"/>
      <c r="H418" s="2">
        <v>52</v>
      </c>
      <c r="I418" s="2">
        <v>15</v>
      </c>
      <c r="J418" s="2">
        <v>0</v>
      </c>
      <c r="K418" s="2">
        <v>3</v>
      </c>
      <c r="L418" s="2">
        <v>162.74</v>
      </c>
      <c r="M418" s="2">
        <v>169.95000000000002</v>
      </c>
      <c r="N418" s="244">
        <v>0.29694041666666671</v>
      </c>
      <c r="O418" s="2" t="s">
        <v>108</v>
      </c>
      <c r="P418" s="2">
        <v>100</v>
      </c>
      <c r="Q418" s="2" t="s">
        <v>55</v>
      </c>
      <c r="R418" s="2" t="s">
        <v>112</v>
      </c>
      <c r="S418" s="2"/>
      <c r="T418" s="2">
        <v>11.68</v>
      </c>
      <c r="U418" s="398">
        <v>4204.8</v>
      </c>
      <c r="V418" s="7">
        <v>5230.8</v>
      </c>
      <c r="W418" s="7" t="s">
        <v>660</v>
      </c>
    </row>
    <row r="419" spans="1:23" x14ac:dyDescent="0.35">
      <c r="A419" s="2">
        <v>61</v>
      </c>
      <c r="B419" s="109" t="s">
        <v>114</v>
      </c>
      <c r="C419" s="110" t="s">
        <v>115</v>
      </c>
      <c r="D419" s="2">
        <v>360</v>
      </c>
      <c r="E419" s="51">
        <v>14.53</v>
      </c>
      <c r="F419" s="105"/>
      <c r="H419" s="2">
        <v>51</v>
      </c>
      <c r="I419" s="2">
        <v>15</v>
      </c>
      <c r="J419" s="2">
        <v>0</v>
      </c>
      <c r="K419" s="2">
        <v>3</v>
      </c>
      <c r="L419" s="2">
        <v>162.345</v>
      </c>
      <c r="M419" s="2">
        <v>169.53749999999999</v>
      </c>
      <c r="N419" s="244">
        <v>0.2962196875</v>
      </c>
      <c r="O419" s="2" t="s">
        <v>108</v>
      </c>
      <c r="P419" s="2">
        <v>100</v>
      </c>
      <c r="Q419" s="2" t="s">
        <v>55</v>
      </c>
      <c r="R419" s="2" t="s">
        <v>114</v>
      </c>
      <c r="S419" s="2"/>
      <c r="T419" s="2">
        <v>11.68</v>
      </c>
      <c r="U419" s="398">
        <v>4204.8</v>
      </c>
      <c r="V419" s="7">
        <v>5230.8</v>
      </c>
      <c r="W419" s="7" t="s">
        <v>660</v>
      </c>
    </row>
    <row r="420" spans="1:23" x14ac:dyDescent="0.35">
      <c r="A420" s="2">
        <v>61</v>
      </c>
      <c r="B420" s="109" t="s">
        <v>116</v>
      </c>
      <c r="C420" s="110" t="s">
        <v>117</v>
      </c>
      <c r="D420" s="2">
        <v>420</v>
      </c>
      <c r="E420" s="51">
        <v>14.53</v>
      </c>
      <c r="F420" s="105"/>
      <c r="H420" s="2">
        <v>60</v>
      </c>
      <c r="I420" s="2">
        <v>18</v>
      </c>
      <c r="J420" s="2">
        <v>0</v>
      </c>
      <c r="K420" s="2">
        <v>3</v>
      </c>
      <c r="L420" s="2">
        <v>182.39999999999998</v>
      </c>
      <c r="M420" s="2">
        <v>190</v>
      </c>
      <c r="N420" s="244">
        <v>0.35062500000000002</v>
      </c>
      <c r="O420" s="2" t="s">
        <v>108</v>
      </c>
      <c r="P420" s="2">
        <v>100</v>
      </c>
      <c r="Q420" s="2" t="s">
        <v>55</v>
      </c>
      <c r="R420" s="2" t="s">
        <v>116</v>
      </c>
      <c r="S420" s="2"/>
      <c r="T420" s="2">
        <v>11.68</v>
      </c>
      <c r="U420" s="398">
        <v>4905.5999999999995</v>
      </c>
      <c r="V420" s="7">
        <v>6102.5999999999995</v>
      </c>
      <c r="W420" s="7" t="s">
        <v>660</v>
      </c>
    </row>
    <row r="421" spans="1:23" x14ac:dyDescent="0.35">
      <c r="A421" s="2">
        <v>61</v>
      </c>
      <c r="B421" s="109" t="s">
        <v>118</v>
      </c>
      <c r="C421" s="110" t="s">
        <v>119</v>
      </c>
      <c r="D421" s="2">
        <v>360</v>
      </c>
      <c r="E421" s="51">
        <v>14.53</v>
      </c>
      <c r="F421" s="105"/>
      <c r="H421" s="2">
        <v>52</v>
      </c>
      <c r="I421" s="2">
        <v>15</v>
      </c>
      <c r="J421" s="2">
        <v>0</v>
      </c>
      <c r="K421" s="2">
        <v>3</v>
      </c>
      <c r="L421" s="2">
        <v>156.56</v>
      </c>
      <c r="M421" s="2">
        <v>163.08333333333334</v>
      </c>
      <c r="N421" s="244">
        <v>0.30095312499999999</v>
      </c>
      <c r="O421" s="2" t="s">
        <v>108</v>
      </c>
      <c r="P421" s="2">
        <v>100</v>
      </c>
      <c r="Q421" s="2" t="s">
        <v>55</v>
      </c>
      <c r="R421" s="2" t="s">
        <v>118</v>
      </c>
      <c r="S421" s="2"/>
      <c r="T421" s="2">
        <v>11.68</v>
      </c>
      <c r="U421" s="398">
        <v>4204.8</v>
      </c>
      <c r="V421" s="7">
        <v>5230.8</v>
      </c>
      <c r="W421" s="7" t="s">
        <v>660</v>
      </c>
    </row>
    <row r="422" spans="1:23" x14ac:dyDescent="0.35">
      <c r="A422" s="2">
        <v>61</v>
      </c>
      <c r="B422" s="109" t="s">
        <v>120</v>
      </c>
      <c r="C422" s="110" t="s">
        <v>121</v>
      </c>
      <c r="D422" s="2">
        <v>360</v>
      </c>
      <c r="E422" s="51">
        <v>14.53</v>
      </c>
      <c r="F422" s="105"/>
      <c r="H422" s="2">
        <v>51</v>
      </c>
      <c r="I422" s="2">
        <v>15</v>
      </c>
      <c r="J422" s="2">
        <v>0</v>
      </c>
      <c r="K422" s="2">
        <v>3</v>
      </c>
      <c r="L422" s="2">
        <v>156.17999999999998</v>
      </c>
      <c r="M422" s="2">
        <v>162.6875</v>
      </c>
      <c r="N422" s="244">
        <v>0.30022265625</v>
      </c>
      <c r="O422" s="2" t="s">
        <v>108</v>
      </c>
      <c r="P422" s="2">
        <v>100</v>
      </c>
      <c r="Q422" s="2" t="s">
        <v>55</v>
      </c>
      <c r="R422" s="2" t="s">
        <v>120</v>
      </c>
      <c r="S422" s="2"/>
      <c r="T422" s="2">
        <v>11.68</v>
      </c>
      <c r="U422" s="398">
        <v>4204.8</v>
      </c>
      <c r="V422" s="7">
        <v>5230.8</v>
      </c>
      <c r="W422" s="7" t="s">
        <v>660</v>
      </c>
    </row>
    <row r="423" spans="1:23" x14ac:dyDescent="0.35">
      <c r="A423" s="2">
        <v>61</v>
      </c>
      <c r="B423" s="109" t="s">
        <v>122</v>
      </c>
      <c r="C423" s="110" t="s">
        <v>123</v>
      </c>
      <c r="D423" s="2">
        <v>360</v>
      </c>
      <c r="E423" s="51">
        <v>14.53</v>
      </c>
      <c r="F423" s="105"/>
      <c r="H423" s="2">
        <v>51</v>
      </c>
      <c r="I423" s="2">
        <v>15</v>
      </c>
      <c r="J423" s="2">
        <v>0</v>
      </c>
      <c r="K423" s="2">
        <v>3</v>
      </c>
      <c r="L423" s="2">
        <v>156.17999999999998</v>
      </c>
      <c r="M423" s="2">
        <v>162.6875</v>
      </c>
      <c r="N423" s="244">
        <v>0.30022265625</v>
      </c>
      <c r="O423" s="2" t="s">
        <v>108</v>
      </c>
      <c r="P423" s="2">
        <v>100</v>
      </c>
      <c r="Q423" s="2" t="s">
        <v>55</v>
      </c>
      <c r="R423" s="2" t="s">
        <v>122</v>
      </c>
      <c r="S423" s="2"/>
      <c r="T423" s="2">
        <v>11.68</v>
      </c>
      <c r="U423" s="398">
        <v>4204.8</v>
      </c>
      <c r="V423" s="7">
        <v>5230.8</v>
      </c>
      <c r="W423" s="7" t="s">
        <v>660</v>
      </c>
    </row>
    <row r="424" spans="1:23" x14ac:dyDescent="0.35">
      <c r="A424" s="2">
        <v>62</v>
      </c>
      <c r="B424" s="109" t="s">
        <v>17</v>
      </c>
      <c r="C424" s="110" t="s">
        <v>20</v>
      </c>
      <c r="D424" s="2">
        <v>600</v>
      </c>
      <c r="E424" s="51">
        <v>5.3314917127071819</v>
      </c>
      <c r="F424" s="105"/>
      <c r="G424" s="51">
        <v>0</v>
      </c>
      <c r="H424" s="2"/>
      <c r="I424" s="2">
        <v>50</v>
      </c>
      <c r="J424" s="2">
        <v>0</v>
      </c>
      <c r="K424" s="2">
        <v>0</v>
      </c>
      <c r="L424" s="2">
        <v>252</v>
      </c>
      <c r="M424" s="2">
        <v>289.5</v>
      </c>
      <c r="N424" s="244">
        <v>1.40415</v>
      </c>
      <c r="O424" s="2" t="s">
        <v>18</v>
      </c>
      <c r="P424" s="2">
        <v>50</v>
      </c>
      <c r="Q424" s="2">
        <v>0</v>
      </c>
      <c r="R424" s="2" t="s">
        <v>17</v>
      </c>
      <c r="S424" s="2"/>
      <c r="T424" s="2">
        <v>5.23</v>
      </c>
      <c r="U424" s="398">
        <v>3138.0000000000005</v>
      </c>
      <c r="V424" s="7">
        <v>3198.895027624309</v>
      </c>
      <c r="W424" s="7" t="s">
        <v>660</v>
      </c>
    </row>
    <row r="425" spans="1:23" x14ac:dyDescent="0.35">
      <c r="A425" s="2">
        <v>62</v>
      </c>
      <c r="B425" s="109" t="s">
        <v>23</v>
      </c>
      <c r="C425" s="110" t="s">
        <v>24</v>
      </c>
      <c r="D425" s="2">
        <v>1008</v>
      </c>
      <c r="E425" s="51">
        <v>5.3314917127071819</v>
      </c>
      <c r="F425" s="105"/>
      <c r="G425" s="51">
        <v>0</v>
      </c>
      <c r="H425" s="2"/>
      <c r="I425" s="2">
        <v>84</v>
      </c>
      <c r="J425" s="2">
        <v>0</v>
      </c>
      <c r="K425" s="2">
        <v>0</v>
      </c>
      <c r="L425" s="2">
        <v>423.36</v>
      </c>
      <c r="M425" s="2">
        <v>486.36</v>
      </c>
      <c r="N425" s="244">
        <v>2.3589720000000001</v>
      </c>
      <c r="O425" s="2" t="s">
        <v>18</v>
      </c>
      <c r="P425" s="2">
        <v>50</v>
      </c>
      <c r="Q425" s="2">
        <v>0</v>
      </c>
      <c r="R425" s="2" t="s">
        <v>23</v>
      </c>
      <c r="S425" s="2"/>
      <c r="T425" s="2">
        <v>5.23</v>
      </c>
      <c r="U425" s="398">
        <v>5271.84</v>
      </c>
      <c r="V425" s="7">
        <v>5374.1436464088392</v>
      </c>
      <c r="W425" s="7" t="s">
        <v>660</v>
      </c>
    </row>
    <row r="426" spans="1:23" x14ac:dyDescent="0.35">
      <c r="A426" s="2">
        <v>62</v>
      </c>
      <c r="B426" s="109" t="s">
        <v>25</v>
      </c>
      <c r="C426" s="110" t="s">
        <v>26</v>
      </c>
      <c r="D426" s="2">
        <v>1008</v>
      </c>
      <c r="E426" s="51">
        <v>5.3314917127071819</v>
      </c>
      <c r="F426" s="105"/>
      <c r="G426" s="51">
        <v>0</v>
      </c>
      <c r="H426" s="2"/>
      <c r="I426" s="2">
        <v>84</v>
      </c>
      <c r="J426" s="2">
        <v>0</v>
      </c>
      <c r="K426" s="2">
        <v>0</v>
      </c>
      <c r="L426" s="2">
        <v>423.36</v>
      </c>
      <c r="M426" s="2">
        <v>486.36</v>
      </c>
      <c r="N426" s="244">
        <v>2.3589720000000001</v>
      </c>
      <c r="O426" s="2" t="s">
        <v>18</v>
      </c>
      <c r="P426" s="2">
        <v>50</v>
      </c>
      <c r="Q426" s="2">
        <v>0</v>
      </c>
      <c r="R426" s="2" t="s">
        <v>25</v>
      </c>
      <c r="S426" s="2"/>
      <c r="T426" s="2">
        <v>5.23</v>
      </c>
      <c r="U426" s="398">
        <v>5271.84</v>
      </c>
      <c r="V426" s="7">
        <v>5374.1436464088392</v>
      </c>
      <c r="W426" s="7" t="s">
        <v>660</v>
      </c>
    </row>
    <row r="427" spans="1:23" x14ac:dyDescent="0.35">
      <c r="A427" s="2">
        <v>62</v>
      </c>
      <c r="B427" s="109" t="s">
        <v>27</v>
      </c>
      <c r="C427" s="110" t="s">
        <v>28</v>
      </c>
      <c r="D427" s="2">
        <v>1008</v>
      </c>
      <c r="E427" s="51">
        <v>5.3314917127071819</v>
      </c>
      <c r="F427" s="105"/>
      <c r="G427" s="51">
        <v>0</v>
      </c>
      <c r="H427" s="2"/>
      <c r="I427" s="2">
        <v>84</v>
      </c>
      <c r="J427" s="2">
        <v>0</v>
      </c>
      <c r="K427" s="2">
        <v>0</v>
      </c>
      <c r="L427" s="2">
        <v>423.36</v>
      </c>
      <c r="M427" s="2">
        <v>486.36</v>
      </c>
      <c r="N427" s="244">
        <v>2.3589720000000001</v>
      </c>
      <c r="O427" s="2" t="s">
        <v>18</v>
      </c>
      <c r="P427" s="2">
        <v>50</v>
      </c>
      <c r="Q427" s="2">
        <v>0</v>
      </c>
      <c r="R427" s="2" t="s">
        <v>27</v>
      </c>
      <c r="S427" s="2"/>
      <c r="T427" s="2">
        <v>5.23</v>
      </c>
      <c r="U427" s="398">
        <v>5271.84</v>
      </c>
      <c r="V427" s="7">
        <v>5374.1436464088392</v>
      </c>
      <c r="W427" s="7" t="s">
        <v>660</v>
      </c>
    </row>
    <row r="428" spans="1:23" x14ac:dyDescent="0.35">
      <c r="A428" s="2">
        <v>62</v>
      </c>
      <c r="B428" s="109" t="s">
        <v>29</v>
      </c>
      <c r="C428" s="110" t="s">
        <v>31</v>
      </c>
      <c r="D428" s="2">
        <v>1008</v>
      </c>
      <c r="E428" s="51">
        <v>5.3314917127071819</v>
      </c>
      <c r="F428" s="105"/>
      <c r="G428" s="51">
        <v>0</v>
      </c>
      <c r="H428" s="2"/>
      <c r="I428" s="2">
        <v>84</v>
      </c>
      <c r="J428" s="2">
        <v>0</v>
      </c>
      <c r="K428" s="2">
        <v>0</v>
      </c>
      <c r="L428" s="2">
        <v>401.52000000000004</v>
      </c>
      <c r="M428" s="2">
        <v>441</v>
      </c>
      <c r="N428" s="244">
        <v>2.3589720000000001</v>
      </c>
      <c r="O428" s="2" t="s">
        <v>18</v>
      </c>
      <c r="P428" s="2">
        <v>50</v>
      </c>
      <c r="Q428" s="2">
        <v>0</v>
      </c>
      <c r="R428" s="2" t="s">
        <v>29</v>
      </c>
      <c r="S428" s="2"/>
      <c r="T428" s="2">
        <v>5.23</v>
      </c>
      <c r="U428" s="398">
        <v>5271.84</v>
      </c>
      <c r="V428" s="7">
        <v>5374.1436464088392</v>
      </c>
      <c r="W428" s="7" t="s">
        <v>660</v>
      </c>
    </row>
    <row r="429" spans="1:23" x14ac:dyDescent="0.35">
      <c r="A429" s="2">
        <v>62</v>
      </c>
      <c r="B429" s="109" t="s">
        <v>32</v>
      </c>
      <c r="C429" s="110" t="s">
        <v>33</v>
      </c>
      <c r="D429" s="2">
        <v>1008</v>
      </c>
      <c r="E429" s="51">
        <v>5.3314917127071819</v>
      </c>
      <c r="F429" s="105"/>
      <c r="G429" s="51">
        <v>0</v>
      </c>
      <c r="H429" s="2"/>
      <c r="I429" s="2">
        <v>84</v>
      </c>
      <c r="J429" s="2">
        <v>0</v>
      </c>
      <c r="K429" s="2">
        <v>0</v>
      </c>
      <c r="L429" s="2">
        <v>401.52000000000004</v>
      </c>
      <c r="M429" s="2">
        <v>441</v>
      </c>
      <c r="N429" s="244">
        <v>2.3589720000000001</v>
      </c>
      <c r="O429" s="2" t="s">
        <v>18</v>
      </c>
      <c r="P429" s="2">
        <v>50</v>
      </c>
      <c r="Q429" s="2">
        <v>0</v>
      </c>
      <c r="R429" s="2" t="s">
        <v>32</v>
      </c>
      <c r="S429" s="2"/>
      <c r="T429" s="2">
        <v>5.23</v>
      </c>
      <c r="U429" s="398">
        <v>5271.84</v>
      </c>
      <c r="V429" s="7">
        <v>5374.1436464088392</v>
      </c>
      <c r="W429" s="7" t="s">
        <v>660</v>
      </c>
    </row>
    <row r="430" spans="1:23" x14ac:dyDescent="0.35">
      <c r="A430" s="2">
        <v>62</v>
      </c>
      <c r="B430" s="109" t="s">
        <v>34</v>
      </c>
      <c r="C430" s="110" t="s">
        <v>35</v>
      </c>
      <c r="D430" s="2">
        <v>1008</v>
      </c>
      <c r="E430" s="51">
        <v>5.3314917127071819</v>
      </c>
      <c r="F430" s="105"/>
      <c r="G430" s="51">
        <v>0</v>
      </c>
      <c r="H430" s="2"/>
      <c r="I430" s="2">
        <v>84</v>
      </c>
      <c r="J430" s="2">
        <v>0</v>
      </c>
      <c r="K430" s="2">
        <v>0</v>
      </c>
      <c r="L430" s="2">
        <v>401.52000000000004</v>
      </c>
      <c r="M430" s="2">
        <v>441</v>
      </c>
      <c r="N430" s="244">
        <v>2.3589720000000001</v>
      </c>
      <c r="O430" s="2" t="s">
        <v>18</v>
      </c>
      <c r="P430" s="2">
        <v>50</v>
      </c>
      <c r="Q430" s="2">
        <v>0</v>
      </c>
      <c r="R430" s="2" t="s">
        <v>34</v>
      </c>
      <c r="S430" s="2"/>
      <c r="T430" s="2">
        <v>5.23</v>
      </c>
      <c r="U430" s="398">
        <v>5271.84</v>
      </c>
      <c r="V430" s="7">
        <v>5374.1436464088392</v>
      </c>
      <c r="W430" s="7" t="s">
        <v>660</v>
      </c>
    </row>
    <row r="431" spans="1:23" x14ac:dyDescent="0.35">
      <c r="A431" s="2">
        <v>62</v>
      </c>
      <c r="B431" s="109" t="s">
        <v>36</v>
      </c>
      <c r="C431" s="110" t="s">
        <v>37</v>
      </c>
      <c r="D431" s="2">
        <v>1008</v>
      </c>
      <c r="E431" s="51">
        <v>5.3314917127071819</v>
      </c>
      <c r="F431" s="105"/>
      <c r="G431" s="51">
        <v>0</v>
      </c>
      <c r="H431" s="2"/>
      <c r="I431" s="2">
        <v>84</v>
      </c>
      <c r="J431" s="2">
        <v>0</v>
      </c>
      <c r="K431" s="2">
        <v>0</v>
      </c>
      <c r="L431" s="2">
        <v>401.52000000000004</v>
      </c>
      <c r="M431" s="2">
        <v>441</v>
      </c>
      <c r="N431" s="244">
        <v>2.3589720000000001</v>
      </c>
      <c r="O431" s="2" t="s">
        <v>18</v>
      </c>
      <c r="P431" s="2">
        <v>50</v>
      </c>
      <c r="Q431" s="2">
        <v>0</v>
      </c>
      <c r="R431" s="2" t="s">
        <v>36</v>
      </c>
      <c r="S431" s="2"/>
      <c r="T431" s="2">
        <v>5.23</v>
      </c>
      <c r="U431" s="398">
        <v>5271.84</v>
      </c>
      <c r="V431" s="7">
        <v>5374.1436464088392</v>
      </c>
      <c r="W431" s="7" t="s">
        <v>660</v>
      </c>
    </row>
    <row r="432" spans="1:23" x14ac:dyDescent="0.35">
      <c r="A432" s="2">
        <v>62</v>
      </c>
      <c r="B432" s="109" t="s">
        <v>91</v>
      </c>
      <c r="C432" s="110" t="s">
        <v>92</v>
      </c>
      <c r="D432" s="2">
        <v>1200</v>
      </c>
      <c r="E432" s="51">
        <v>5.3314917127071819</v>
      </c>
      <c r="F432" s="105">
        <v>216</v>
      </c>
      <c r="G432" s="51">
        <v>0.53406998158379371</v>
      </c>
      <c r="H432" s="2"/>
      <c r="I432" s="2">
        <v>50</v>
      </c>
      <c r="J432" s="2">
        <v>9</v>
      </c>
      <c r="K432" s="2">
        <v>0</v>
      </c>
      <c r="L432" s="2">
        <v>443.67999999999995</v>
      </c>
      <c r="M432" s="2">
        <v>485.57000000000005</v>
      </c>
      <c r="N432" s="244">
        <v>1.324314</v>
      </c>
      <c r="O432" s="2" t="s">
        <v>934</v>
      </c>
      <c r="P432" s="2">
        <v>100</v>
      </c>
      <c r="Q432" s="2" t="s">
        <v>55</v>
      </c>
      <c r="R432" s="2" t="s">
        <v>91</v>
      </c>
      <c r="S432" s="2"/>
      <c r="T432" s="2">
        <v>5</v>
      </c>
      <c r="U432" s="398">
        <v>7080</v>
      </c>
      <c r="V432" s="7">
        <v>6513.1491712707175</v>
      </c>
      <c r="W432" s="7" t="s">
        <v>660</v>
      </c>
    </row>
    <row r="433" spans="1:23" x14ac:dyDescent="0.35">
      <c r="A433" s="2">
        <v>62</v>
      </c>
      <c r="B433" s="109" t="s">
        <v>93</v>
      </c>
      <c r="C433" s="110" t="s">
        <v>94</v>
      </c>
      <c r="D433" s="2">
        <v>960</v>
      </c>
      <c r="E433" s="51">
        <v>5.3314917127071819</v>
      </c>
      <c r="F433" s="105">
        <v>173</v>
      </c>
      <c r="G433" s="51">
        <v>0.53406998158379371</v>
      </c>
      <c r="H433" s="2"/>
      <c r="I433" s="2">
        <v>40</v>
      </c>
      <c r="J433" s="2">
        <v>8</v>
      </c>
      <c r="K433" s="2">
        <v>0</v>
      </c>
      <c r="L433" s="2">
        <v>355.00666666666666</v>
      </c>
      <c r="M433" s="2">
        <v>388.5245833333334</v>
      </c>
      <c r="N433" s="244">
        <v>1.0596382500000001</v>
      </c>
      <c r="O433" s="2" t="s">
        <v>934</v>
      </c>
      <c r="P433" s="2">
        <v>100</v>
      </c>
      <c r="Q433" s="2" t="s">
        <v>55</v>
      </c>
      <c r="R433" s="2" t="s">
        <v>93</v>
      </c>
      <c r="S433" s="2"/>
      <c r="T433" s="2">
        <v>5</v>
      </c>
      <c r="U433" s="398">
        <v>5665</v>
      </c>
      <c r="V433" s="7">
        <v>5210.6261510128916</v>
      </c>
      <c r="W433" s="7" t="s">
        <v>660</v>
      </c>
    </row>
    <row r="434" spans="1:23" x14ac:dyDescent="0.35">
      <c r="A434" s="2">
        <v>62</v>
      </c>
      <c r="B434" s="109" t="s">
        <v>95</v>
      </c>
      <c r="C434" s="110" t="s">
        <v>96</v>
      </c>
      <c r="D434" s="2">
        <v>1200</v>
      </c>
      <c r="E434" s="51">
        <v>5.3314917127071819</v>
      </c>
      <c r="F434" s="105">
        <v>216</v>
      </c>
      <c r="G434" s="51">
        <v>0.53406998158379371</v>
      </c>
      <c r="H434" s="2"/>
      <c r="I434" s="2">
        <v>50</v>
      </c>
      <c r="J434" s="2">
        <v>9</v>
      </c>
      <c r="K434" s="2">
        <v>0</v>
      </c>
      <c r="L434" s="2">
        <v>443.67999999999995</v>
      </c>
      <c r="M434" s="2">
        <v>485.57000000000005</v>
      </c>
      <c r="N434" s="244">
        <v>1.324314</v>
      </c>
      <c r="O434" s="2" t="s">
        <v>934</v>
      </c>
      <c r="P434" s="2">
        <v>100</v>
      </c>
      <c r="Q434" s="2" t="s">
        <v>55</v>
      </c>
      <c r="R434" s="2" t="s">
        <v>95</v>
      </c>
      <c r="S434" s="2"/>
      <c r="T434" s="2">
        <v>5</v>
      </c>
      <c r="U434" s="398">
        <v>7080</v>
      </c>
      <c r="V434" s="7">
        <v>6513.1491712707175</v>
      </c>
      <c r="W434" s="7" t="s">
        <v>660</v>
      </c>
    </row>
    <row r="435" spans="1:23" x14ac:dyDescent="0.35">
      <c r="A435" s="2">
        <v>62</v>
      </c>
      <c r="B435" s="109" t="s">
        <v>97</v>
      </c>
      <c r="C435" s="110" t="s">
        <v>98</v>
      </c>
      <c r="D435" s="2">
        <v>960</v>
      </c>
      <c r="E435" s="51">
        <v>5.3314917127071819</v>
      </c>
      <c r="F435" s="105">
        <v>173</v>
      </c>
      <c r="G435" s="51">
        <v>0.53406998158379371</v>
      </c>
      <c r="H435" s="2"/>
      <c r="I435" s="2">
        <v>40</v>
      </c>
      <c r="J435" s="2">
        <v>8</v>
      </c>
      <c r="K435" s="2">
        <v>0</v>
      </c>
      <c r="L435" s="2">
        <v>355.00666666666666</v>
      </c>
      <c r="M435" s="2">
        <v>388.5245833333334</v>
      </c>
      <c r="N435" s="244">
        <v>1.0596382500000001</v>
      </c>
      <c r="O435" s="2" t="s">
        <v>934</v>
      </c>
      <c r="P435" s="2">
        <v>100</v>
      </c>
      <c r="Q435" s="2" t="s">
        <v>55</v>
      </c>
      <c r="R435" s="2" t="s">
        <v>97</v>
      </c>
      <c r="S435" s="2"/>
      <c r="T435" s="2">
        <v>5</v>
      </c>
      <c r="U435" s="398">
        <v>5665</v>
      </c>
      <c r="V435" s="7">
        <v>5210.6261510128916</v>
      </c>
      <c r="W435" s="7" t="s">
        <v>660</v>
      </c>
    </row>
    <row r="436" spans="1:23" x14ac:dyDescent="0.35">
      <c r="A436" s="2">
        <v>62</v>
      </c>
      <c r="B436" s="109" t="s">
        <v>1060</v>
      </c>
      <c r="C436" s="110" t="s">
        <v>1208</v>
      </c>
      <c r="D436" s="2"/>
      <c r="E436" s="51">
        <v>0</v>
      </c>
      <c r="F436" s="105">
        <v>20</v>
      </c>
      <c r="G436" s="51">
        <v>0.53406998158379371</v>
      </c>
      <c r="H436" s="2"/>
      <c r="I436" s="2">
        <v>0</v>
      </c>
      <c r="J436" s="2">
        <v>1</v>
      </c>
      <c r="K436" s="2">
        <v>0</v>
      </c>
      <c r="L436" s="2">
        <v>3.6031249999999999</v>
      </c>
      <c r="M436" s="2">
        <v>3.78125</v>
      </c>
      <c r="N436" s="244">
        <v>8.1284375000000002E-3</v>
      </c>
      <c r="O436" s="2" t="s">
        <v>934</v>
      </c>
      <c r="P436" s="2">
        <v>50</v>
      </c>
      <c r="Q436" s="2" t="s">
        <v>55</v>
      </c>
      <c r="R436" s="2" t="s">
        <v>54</v>
      </c>
      <c r="S436" s="2"/>
      <c r="T436" s="2">
        <v>4.4139999999999997</v>
      </c>
      <c r="U436" s="398">
        <v>88.28</v>
      </c>
      <c r="V436" s="7">
        <v>10.681399631675873</v>
      </c>
      <c r="W436" s="7" t="s">
        <v>660</v>
      </c>
    </row>
    <row r="437" spans="1:23" x14ac:dyDescent="0.35">
      <c r="A437" s="2">
        <v>62</v>
      </c>
      <c r="B437" s="109" t="s">
        <v>1201</v>
      </c>
      <c r="C437" s="110" t="s">
        <v>1209</v>
      </c>
      <c r="D437" s="2"/>
      <c r="E437" s="51">
        <v>0</v>
      </c>
      <c r="F437" s="105">
        <v>32</v>
      </c>
      <c r="G437" s="51">
        <v>0.53406998158379371</v>
      </c>
      <c r="H437" s="2"/>
      <c r="I437" s="2">
        <v>0</v>
      </c>
      <c r="J437" s="2">
        <v>1</v>
      </c>
      <c r="K437" s="2">
        <v>0</v>
      </c>
      <c r="L437" s="2">
        <v>5.7649999999999997</v>
      </c>
      <c r="M437" s="2">
        <v>6.05</v>
      </c>
      <c r="N437" s="244">
        <v>1.30055E-2</v>
      </c>
      <c r="O437" s="2" t="s">
        <v>934</v>
      </c>
      <c r="P437" s="2">
        <v>50</v>
      </c>
      <c r="Q437" s="2" t="s">
        <v>55</v>
      </c>
      <c r="R437" s="2" t="s">
        <v>54</v>
      </c>
      <c r="S437" s="2"/>
      <c r="T437" s="2">
        <v>4.4139999999999997</v>
      </c>
      <c r="U437" s="398">
        <v>141.24799999999999</v>
      </c>
      <c r="V437" s="7">
        <v>17.090239410681399</v>
      </c>
      <c r="W437" s="7" t="s">
        <v>660</v>
      </c>
    </row>
    <row r="438" spans="1:23" x14ac:dyDescent="0.35">
      <c r="A438" s="2">
        <v>62</v>
      </c>
      <c r="B438" s="109" t="s">
        <v>1202</v>
      </c>
      <c r="C438" s="110" t="s">
        <v>1210</v>
      </c>
      <c r="D438" s="2"/>
      <c r="E438" s="51">
        <v>0</v>
      </c>
      <c r="F438" s="105">
        <v>32</v>
      </c>
      <c r="G438" s="51">
        <v>0.53406998158379371</v>
      </c>
      <c r="H438" s="2"/>
      <c r="I438" s="2">
        <v>0</v>
      </c>
      <c r="J438" s="2">
        <v>1</v>
      </c>
      <c r="K438" s="2">
        <v>0</v>
      </c>
      <c r="L438" s="2">
        <v>5.7649999999999997</v>
      </c>
      <c r="M438" s="2">
        <v>6.05</v>
      </c>
      <c r="N438" s="244">
        <v>1.30055E-2</v>
      </c>
      <c r="O438" s="2" t="s">
        <v>934</v>
      </c>
      <c r="P438" s="2">
        <v>50</v>
      </c>
      <c r="Q438" s="2" t="s">
        <v>55</v>
      </c>
      <c r="R438" s="2" t="s">
        <v>54</v>
      </c>
      <c r="S438" s="2"/>
      <c r="T438" s="2">
        <v>4.4139999999999997</v>
      </c>
      <c r="U438" s="398">
        <v>141.24799999999999</v>
      </c>
      <c r="V438" s="7">
        <v>17.090239410681399</v>
      </c>
      <c r="W438" s="7" t="s">
        <v>660</v>
      </c>
    </row>
    <row r="439" spans="1:23" x14ac:dyDescent="0.35">
      <c r="A439" s="2">
        <v>62</v>
      </c>
      <c r="B439" s="109" t="s">
        <v>1203</v>
      </c>
      <c r="C439" s="110" t="s">
        <v>1211</v>
      </c>
      <c r="D439" s="2"/>
      <c r="E439" s="51">
        <v>0</v>
      </c>
      <c r="F439" s="105">
        <v>32</v>
      </c>
      <c r="G439" s="51">
        <v>0.53406998158379371</v>
      </c>
      <c r="H439" s="2"/>
      <c r="I439" s="2">
        <v>0</v>
      </c>
      <c r="J439" s="2">
        <v>1</v>
      </c>
      <c r="K439" s="2">
        <v>0</v>
      </c>
      <c r="L439" s="2">
        <v>5.7649999999999997</v>
      </c>
      <c r="M439" s="2">
        <v>6.05</v>
      </c>
      <c r="N439" s="244">
        <v>1.30055E-2</v>
      </c>
      <c r="O439" s="2" t="s">
        <v>934</v>
      </c>
      <c r="P439" s="2">
        <v>50</v>
      </c>
      <c r="Q439" s="2" t="s">
        <v>55</v>
      </c>
      <c r="R439" s="2" t="s">
        <v>54</v>
      </c>
      <c r="S439" s="2"/>
      <c r="T439" s="2">
        <v>4.4139999999999997</v>
      </c>
      <c r="U439" s="398">
        <v>141.24799999999999</v>
      </c>
      <c r="V439" s="7">
        <v>17.090239410681399</v>
      </c>
      <c r="W439" s="7" t="s">
        <v>660</v>
      </c>
    </row>
    <row r="440" spans="1:23" x14ac:dyDescent="0.35">
      <c r="A440" s="2">
        <v>62</v>
      </c>
      <c r="B440" s="109" t="s">
        <v>1204</v>
      </c>
      <c r="C440" s="110" t="s">
        <v>1212</v>
      </c>
      <c r="D440" s="2"/>
      <c r="E440" s="51">
        <v>0</v>
      </c>
      <c r="F440" s="105">
        <v>32</v>
      </c>
      <c r="G440" s="51">
        <v>0.53406998158379371</v>
      </c>
      <c r="H440" s="2"/>
      <c r="I440" s="2">
        <v>0</v>
      </c>
      <c r="J440" s="2">
        <v>1</v>
      </c>
      <c r="K440" s="2">
        <v>0</v>
      </c>
      <c r="L440" s="2">
        <v>5.7649999999999997</v>
      </c>
      <c r="M440" s="2">
        <v>6.05</v>
      </c>
      <c r="N440" s="244">
        <v>1.30055E-2</v>
      </c>
      <c r="O440" s="2" t="s">
        <v>934</v>
      </c>
      <c r="P440" s="2">
        <v>50</v>
      </c>
      <c r="Q440" s="2" t="s">
        <v>55</v>
      </c>
      <c r="R440" s="2" t="s">
        <v>54</v>
      </c>
      <c r="S440" s="2"/>
      <c r="T440" s="2">
        <v>4.4139999999999997</v>
      </c>
      <c r="U440" s="398">
        <v>141.24799999999999</v>
      </c>
      <c r="V440" s="7">
        <v>17.090239410681399</v>
      </c>
      <c r="W440" s="7" t="s">
        <v>660</v>
      </c>
    </row>
    <row r="441" spans="1:23" x14ac:dyDescent="0.35">
      <c r="A441" s="2">
        <v>62</v>
      </c>
      <c r="B441" s="109" t="s">
        <v>1205</v>
      </c>
      <c r="C441" s="110" t="s">
        <v>1213</v>
      </c>
      <c r="D441" s="2"/>
      <c r="E441" s="51">
        <v>0</v>
      </c>
      <c r="F441" s="105">
        <v>32</v>
      </c>
      <c r="G441" s="51">
        <v>0.53406998158379371</v>
      </c>
      <c r="H441" s="2"/>
      <c r="I441" s="2">
        <v>0</v>
      </c>
      <c r="J441" s="2">
        <v>1</v>
      </c>
      <c r="K441" s="2">
        <v>0</v>
      </c>
      <c r="L441" s="2">
        <v>5.7649999999999997</v>
      </c>
      <c r="M441" s="2">
        <v>6.05</v>
      </c>
      <c r="N441" s="244">
        <v>1.30055E-2</v>
      </c>
      <c r="O441" s="2" t="s">
        <v>934</v>
      </c>
      <c r="P441" s="2">
        <v>50</v>
      </c>
      <c r="Q441" s="2" t="s">
        <v>55</v>
      </c>
      <c r="R441" s="2" t="s">
        <v>54</v>
      </c>
      <c r="S441" s="2"/>
      <c r="T441" s="2">
        <v>4.4139999999999997</v>
      </c>
      <c r="U441" s="398">
        <v>141.24799999999999</v>
      </c>
      <c r="V441" s="7">
        <v>17.090239410681399</v>
      </c>
      <c r="W441" s="7" t="s">
        <v>660</v>
      </c>
    </row>
    <row r="442" spans="1:23" x14ac:dyDescent="0.35">
      <c r="A442" s="2">
        <v>62</v>
      </c>
      <c r="B442" s="109" t="s">
        <v>1206</v>
      </c>
      <c r="C442" s="110" t="s">
        <v>1214</v>
      </c>
      <c r="D442" s="2"/>
      <c r="E442" s="51">
        <v>0</v>
      </c>
      <c r="F442" s="105">
        <v>32</v>
      </c>
      <c r="G442" s="51">
        <v>0.53406998158379371</v>
      </c>
      <c r="H442" s="2"/>
      <c r="I442" s="2">
        <v>0</v>
      </c>
      <c r="J442" s="2">
        <v>1</v>
      </c>
      <c r="K442" s="2">
        <v>0</v>
      </c>
      <c r="L442" s="2">
        <v>5.7649999999999997</v>
      </c>
      <c r="M442" s="2">
        <v>6.05</v>
      </c>
      <c r="N442" s="244">
        <v>1.30055E-2</v>
      </c>
      <c r="O442" s="2" t="s">
        <v>934</v>
      </c>
      <c r="P442" s="2">
        <v>50</v>
      </c>
      <c r="Q442" s="2" t="s">
        <v>55</v>
      </c>
      <c r="R442" s="2" t="s">
        <v>54</v>
      </c>
      <c r="S442" s="2"/>
      <c r="T442" s="2">
        <v>4.4139999999999997</v>
      </c>
      <c r="U442" s="398">
        <v>141.24799999999999</v>
      </c>
      <c r="V442" s="7">
        <v>17.090239410681399</v>
      </c>
      <c r="W442" s="7" t="s">
        <v>660</v>
      </c>
    </row>
    <row r="443" spans="1:23" x14ac:dyDescent="0.35">
      <c r="A443" s="2">
        <v>62</v>
      </c>
      <c r="B443" s="109" t="s">
        <v>1207</v>
      </c>
      <c r="C443" s="110" t="s">
        <v>1215</v>
      </c>
      <c r="D443" s="2"/>
      <c r="E443" s="51">
        <v>0</v>
      </c>
      <c r="F443" s="105">
        <v>32</v>
      </c>
      <c r="G443" s="51">
        <v>0.53406998158379371</v>
      </c>
      <c r="H443" s="2"/>
      <c r="I443" s="2">
        <v>0</v>
      </c>
      <c r="J443" s="2">
        <v>1</v>
      </c>
      <c r="K443" s="2">
        <v>0</v>
      </c>
      <c r="L443" s="2">
        <v>5.7649999999999997</v>
      </c>
      <c r="M443" s="2">
        <v>6.05</v>
      </c>
      <c r="N443" s="244">
        <v>1.30055E-2</v>
      </c>
      <c r="O443" s="2" t="s">
        <v>934</v>
      </c>
      <c r="P443" s="2">
        <v>50</v>
      </c>
      <c r="Q443" s="2" t="s">
        <v>55</v>
      </c>
      <c r="R443" s="2" t="s">
        <v>54</v>
      </c>
      <c r="S443" s="2"/>
      <c r="T443" s="2">
        <v>4.4139999999999997</v>
      </c>
      <c r="U443" s="398">
        <v>141.24799999999999</v>
      </c>
      <c r="V443" s="7">
        <v>17.090239410681399</v>
      </c>
      <c r="W443" s="7" t="s">
        <v>660</v>
      </c>
    </row>
    <row r="444" spans="1:23" x14ac:dyDescent="0.35">
      <c r="A444" s="2">
        <v>62</v>
      </c>
      <c r="B444" s="109" t="s">
        <v>99</v>
      </c>
      <c r="C444" s="110" t="s">
        <v>100</v>
      </c>
      <c r="D444" s="2">
        <v>240</v>
      </c>
      <c r="E444" s="51">
        <v>5.3314917127071819</v>
      </c>
      <c r="F444" s="105">
        <v>43</v>
      </c>
      <c r="G444" s="51">
        <v>0.53406998158379371</v>
      </c>
      <c r="H444" s="2"/>
      <c r="I444" s="2">
        <v>10</v>
      </c>
      <c r="J444" s="2">
        <v>2</v>
      </c>
      <c r="K444" s="2">
        <v>0</v>
      </c>
      <c r="L444" s="2">
        <v>81.008749999999992</v>
      </c>
      <c r="M444" s="2">
        <v>89.144999999999996</v>
      </c>
      <c r="N444" s="244">
        <v>0.29661937499999996</v>
      </c>
      <c r="O444" s="2" t="s">
        <v>934</v>
      </c>
      <c r="P444" s="2">
        <v>100</v>
      </c>
      <c r="Q444" s="2" t="s">
        <v>55</v>
      </c>
      <c r="R444" s="2" t="s">
        <v>99</v>
      </c>
      <c r="S444" s="2"/>
      <c r="T444" s="2">
        <v>5</v>
      </c>
      <c r="U444" s="398">
        <v>1415</v>
      </c>
      <c r="V444" s="7">
        <v>1302.5230202578268</v>
      </c>
      <c r="W444" s="7" t="s">
        <v>660</v>
      </c>
    </row>
    <row r="445" spans="1:23" x14ac:dyDescent="0.35">
      <c r="A445" s="2">
        <v>62</v>
      </c>
      <c r="B445" s="109" t="s">
        <v>101</v>
      </c>
      <c r="C445" s="110" t="s">
        <v>102</v>
      </c>
      <c r="D445" s="2">
        <v>360</v>
      </c>
      <c r="E445" s="51">
        <v>5.3314917127071819</v>
      </c>
      <c r="F445" s="105">
        <v>64</v>
      </c>
      <c r="G445" s="51">
        <v>0.53406998158379371</v>
      </c>
      <c r="H445" s="2"/>
      <c r="I445" s="2">
        <v>15</v>
      </c>
      <c r="J445" s="2">
        <v>3</v>
      </c>
      <c r="K445" s="2">
        <v>0</v>
      </c>
      <c r="L445" s="2">
        <v>121.37</v>
      </c>
      <c r="M445" s="2">
        <v>133.56</v>
      </c>
      <c r="N445" s="244">
        <v>0.44440499999999999</v>
      </c>
      <c r="O445" s="2" t="s">
        <v>934</v>
      </c>
      <c r="P445" s="2">
        <v>100</v>
      </c>
      <c r="Q445" s="2" t="s">
        <v>55</v>
      </c>
      <c r="R445" s="2" t="s">
        <v>101</v>
      </c>
      <c r="S445" s="2"/>
      <c r="T445" s="2">
        <v>5</v>
      </c>
      <c r="U445" s="398">
        <v>2120</v>
      </c>
      <c r="V445" s="7">
        <v>1953.5174953959483</v>
      </c>
      <c r="W445" s="7" t="s">
        <v>660</v>
      </c>
    </row>
    <row r="446" spans="1:23" x14ac:dyDescent="0.35">
      <c r="A446" s="2">
        <v>62</v>
      </c>
      <c r="B446" s="109" t="s">
        <v>103</v>
      </c>
      <c r="C446" s="110" t="s">
        <v>104</v>
      </c>
      <c r="D446" s="2"/>
      <c r="E446" s="51">
        <v>0</v>
      </c>
      <c r="F446" s="105">
        <v>43</v>
      </c>
      <c r="G446" s="51">
        <v>0.53406998158379371</v>
      </c>
      <c r="H446" s="2"/>
      <c r="I446" s="2">
        <v>0</v>
      </c>
      <c r="J446" s="2">
        <v>2</v>
      </c>
      <c r="K446" s="2">
        <v>0</v>
      </c>
      <c r="L446" s="2">
        <v>12.30875</v>
      </c>
      <c r="M446" s="2">
        <v>13.545</v>
      </c>
      <c r="N446" s="244">
        <v>4.5069375000000009E-2</v>
      </c>
      <c r="O446" s="2" t="s">
        <v>934</v>
      </c>
      <c r="P446" s="2">
        <v>100</v>
      </c>
      <c r="Q446" s="2" t="s">
        <v>55</v>
      </c>
      <c r="R446" s="2" t="s">
        <v>103</v>
      </c>
      <c r="S446" s="2"/>
      <c r="T446" s="2">
        <v>5</v>
      </c>
      <c r="U446" s="398">
        <v>215</v>
      </c>
      <c r="V446" s="7">
        <v>22.96500920810313</v>
      </c>
      <c r="W446" s="7" t="s">
        <v>660</v>
      </c>
    </row>
    <row r="447" spans="1:23" x14ac:dyDescent="0.35">
      <c r="A447" s="2">
        <v>62</v>
      </c>
      <c r="B447" s="109" t="s">
        <v>105</v>
      </c>
      <c r="C447" s="110" t="s">
        <v>106</v>
      </c>
      <c r="D447" s="2">
        <v>360</v>
      </c>
      <c r="E447" s="51">
        <v>5.3314917127071819</v>
      </c>
      <c r="F447" s="105">
        <v>64</v>
      </c>
      <c r="G447" s="51">
        <v>0.53406998158379371</v>
      </c>
      <c r="H447" s="2"/>
      <c r="I447" s="2">
        <v>15</v>
      </c>
      <c r="J447" s="2">
        <v>3</v>
      </c>
      <c r="K447" s="2">
        <v>0</v>
      </c>
      <c r="L447" s="2">
        <v>121.37</v>
      </c>
      <c r="M447" s="2">
        <v>133.56</v>
      </c>
      <c r="N447" s="244">
        <v>0.44440499999999999</v>
      </c>
      <c r="O447" s="2" t="s">
        <v>934</v>
      </c>
      <c r="P447" s="2">
        <v>100</v>
      </c>
      <c r="Q447" s="2" t="s">
        <v>55</v>
      </c>
      <c r="R447" s="2" t="s">
        <v>105</v>
      </c>
      <c r="S447" s="2"/>
      <c r="T447" s="2">
        <v>5</v>
      </c>
      <c r="U447" s="398">
        <v>2120</v>
      </c>
      <c r="V447" s="7">
        <v>1953.5174953959483</v>
      </c>
      <c r="W447" s="7" t="s">
        <v>660</v>
      </c>
    </row>
    <row r="448" spans="1:23" x14ac:dyDescent="0.35">
      <c r="A448" s="2">
        <v>63</v>
      </c>
      <c r="B448" s="109" t="s">
        <v>107</v>
      </c>
      <c r="C448" s="110" t="s">
        <v>109</v>
      </c>
      <c r="D448" s="2">
        <v>840</v>
      </c>
      <c r="E448" s="51">
        <v>15.91</v>
      </c>
      <c r="F448" s="105"/>
      <c r="H448" s="2">
        <v>105</v>
      </c>
      <c r="I448" s="2">
        <v>35</v>
      </c>
      <c r="J448" s="2">
        <v>0</v>
      </c>
      <c r="K448" s="2">
        <v>5</v>
      </c>
      <c r="L448" s="2">
        <v>373.27500000000003</v>
      </c>
      <c r="M448" s="2">
        <v>389.8125</v>
      </c>
      <c r="N448" s="244">
        <v>0.68108906250000001</v>
      </c>
      <c r="O448" s="2" t="s">
        <v>108</v>
      </c>
      <c r="P448" s="2">
        <v>100</v>
      </c>
      <c r="Q448" s="2" t="s">
        <v>55</v>
      </c>
      <c r="R448" s="2" t="s">
        <v>107</v>
      </c>
      <c r="S448" s="2"/>
      <c r="T448" s="2">
        <v>11.68</v>
      </c>
      <c r="U448" s="398">
        <v>9811.1999999999989</v>
      </c>
      <c r="V448" s="7">
        <v>13364.4</v>
      </c>
      <c r="W448" s="7" t="s">
        <v>660</v>
      </c>
    </row>
    <row r="449" spans="1:23" x14ac:dyDescent="0.35">
      <c r="A449" s="2">
        <v>63</v>
      </c>
      <c r="B449" s="109" t="s">
        <v>110</v>
      </c>
      <c r="C449" s="110" t="s">
        <v>111</v>
      </c>
      <c r="D449" s="2">
        <v>320</v>
      </c>
      <c r="E449" s="51">
        <v>15.91</v>
      </c>
      <c r="F449" s="105"/>
      <c r="H449" s="2">
        <v>40</v>
      </c>
      <c r="I449" s="2">
        <v>14</v>
      </c>
      <c r="J449" s="2">
        <v>0</v>
      </c>
      <c r="K449" s="2">
        <v>2</v>
      </c>
      <c r="L449" s="2">
        <v>142.20000000000002</v>
      </c>
      <c r="M449" s="2">
        <v>148.5</v>
      </c>
      <c r="N449" s="244">
        <v>0.25946249999999998</v>
      </c>
      <c r="O449" s="2" t="s">
        <v>108</v>
      </c>
      <c r="P449" s="2">
        <v>100</v>
      </c>
      <c r="Q449" s="2" t="s">
        <v>55</v>
      </c>
      <c r="R449" s="2" t="s">
        <v>110</v>
      </c>
      <c r="S449" s="2"/>
      <c r="T449" s="2">
        <v>11.68</v>
      </c>
      <c r="U449" s="398">
        <v>3737.6</v>
      </c>
      <c r="V449" s="7">
        <v>5091.2</v>
      </c>
      <c r="W449" s="7" t="s">
        <v>660</v>
      </c>
    </row>
    <row r="450" spans="1:23" x14ac:dyDescent="0.35">
      <c r="A450" s="2">
        <v>63</v>
      </c>
      <c r="B450" s="109" t="s">
        <v>1216</v>
      </c>
      <c r="C450" s="110" t="s">
        <v>648</v>
      </c>
      <c r="D450" s="2">
        <v>450</v>
      </c>
      <c r="E450" s="51">
        <v>15.91</v>
      </c>
      <c r="F450" s="105"/>
      <c r="H450" s="2">
        <v>57</v>
      </c>
      <c r="I450" s="2">
        <v>19</v>
      </c>
      <c r="J450" s="2">
        <v>0</v>
      </c>
      <c r="K450" s="2">
        <v>3</v>
      </c>
      <c r="L450" s="2">
        <v>200.26500000000001</v>
      </c>
      <c r="M450" s="2">
        <v>209.13750000000002</v>
      </c>
      <c r="N450" s="244">
        <v>0.36540968750000002</v>
      </c>
      <c r="O450" s="2" t="s">
        <v>108</v>
      </c>
      <c r="P450" s="2">
        <v>100</v>
      </c>
      <c r="Q450" s="2" t="s">
        <v>55</v>
      </c>
      <c r="R450" s="2" t="s">
        <v>112</v>
      </c>
      <c r="S450" s="2"/>
      <c r="T450" s="2">
        <v>11.68</v>
      </c>
      <c r="U450" s="398">
        <v>5256</v>
      </c>
      <c r="V450" s="7">
        <v>7159.5</v>
      </c>
      <c r="W450" s="7" t="s">
        <v>660</v>
      </c>
    </row>
    <row r="451" spans="1:23" x14ac:dyDescent="0.35">
      <c r="A451" s="2">
        <v>63</v>
      </c>
      <c r="B451" s="109" t="s">
        <v>114</v>
      </c>
      <c r="C451" s="110" t="s">
        <v>115</v>
      </c>
      <c r="D451" s="2">
        <v>620</v>
      </c>
      <c r="E451" s="51">
        <v>15.91</v>
      </c>
      <c r="F451" s="105"/>
      <c r="H451" s="2">
        <v>57</v>
      </c>
      <c r="I451" s="2">
        <v>26</v>
      </c>
      <c r="J451" s="2">
        <v>0</v>
      </c>
      <c r="K451" s="2">
        <v>3</v>
      </c>
      <c r="L451" s="2">
        <v>267.41500000000002</v>
      </c>
      <c r="M451" s="2">
        <v>279.26249999999999</v>
      </c>
      <c r="N451" s="244">
        <v>0.48793364583333332</v>
      </c>
      <c r="O451" s="2" t="s">
        <v>108</v>
      </c>
      <c r="P451" s="2">
        <v>100</v>
      </c>
      <c r="Q451" s="2" t="s">
        <v>55</v>
      </c>
      <c r="R451" s="2" t="s">
        <v>114</v>
      </c>
      <c r="S451" s="2"/>
      <c r="T451" s="2">
        <v>11.68</v>
      </c>
      <c r="U451" s="398">
        <v>7241.5999999999995</v>
      </c>
      <c r="V451" s="7">
        <v>9864.2000000000007</v>
      </c>
      <c r="W451" s="7" t="s">
        <v>660</v>
      </c>
    </row>
    <row r="452" spans="1:23" x14ac:dyDescent="0.35">
      <c r="A452" s="2">
        <v>63</v>
      </c>
      <c r="B452" s="109" t="s">
        <v>118</v>
      </c>
      <c r="C452" s="110" t="s">
        <v>119</v>
      </c>
      <c r="D452" s="2">
        <v>450</v>
      </c>
      <c r="E452" s="51">
        <v>15.91</v>
      </c>
      <c r="F452" s="105"/>
      <c r="H452" s="2">
        <v>57</v>
      </c>
      <c r="I452" s="2">
        <v>19</v>
      </c>
      <c r="J452" s="2">
        <v>0</v>
      </c>
      <c r="K452" s="2">
        <v>3</v>
      </c>
      <c r="L452" s="2">
        <v>192.66</v>
      </c>
      <c r="M452" s="2">
        <v>200.6875</v>
      </c>
      <c r="N452" s="244">
        <v>0.37034765624999999</v>
      </c>
      <c r="O452" s="2" t="s">
        <v>108</v>
      </c>
      <c r="P452" s="2">
        <v>100</v>
      </c>
      <c r="Q452" s="2" t="s">
        <v>55</v>
      </c>
      <c r="R452" s="2" t="s">
        <v>118</v>
      </c>
      <c r="S452" s="2"/>
      <c r="T452" s="2">
        <v>11.68</v>
      </c>
      <c r="U452" s="398">
        <v>5256</v>
      </c>
      <c r="V452" s="7">
        <v>7159.5</v>
      </c>
      <c r="W452" s="7" t="s">
        <v>660</v>
      </c>
    </row>
    <row r="453" spans="1:23" x14ac:dyDescent="0.35">
      <c r="A453" s="2">
        <v>64</v>
      </c>
      <c r="B453" s="109" t="s">
        <v>17</v>
      </c>
      <c r="C453" s="110" t="s">
        <v>20</v>
      </c>
      <c r="D453" s="2">
        <v>36</v>
      </c>
      <c r="E453" s="51">
        <v>5</v>
      </c>
      <c r="F453" s="105"/>
      <c r="H453" s="2"/>
      <c r="I453" s="2">
        <v>3</v>
      </c>
      <c r="J453" s="2">
        <v>0</v>
      </c>
      <c r="K453" s="2">
        <v>0</v>
      </c>
      <c r="L453" s="2">
        <v>15.120000000000001</v>
      </c>
      <c r="M453" s="2">
        <v>17.37</v>
      </c>
      <c r="N453" s="244">
        <v>8.4249000000000004E-2</v>
      </c>
      <c r="O453" s="2" t="s">
        <v>18</v>
      </c>
      <c r="P453" s="2">
        <v>50</v>
      </c>
      <c r="Q453" s="2">
        <v>0</v>
      </c>
      <c r="R453" s="2" t="s">
        <v>17</v>
      </c>
      <c r="S453" s="2"/>
      <c r="T453" s="2">
        <v>5.23</v>
      </c>
      <c r="U453" s="398">
        <v>188.28000000000003</v>
      </c>
      <c r="V453" s="7">
        <v>180</v>
      </c>
      <c r="W453" s="7" t="s">
        <v>660</v>
      </c>
    </row>
    <row r="454" spans="1:23" x14ac:dyDescent="0.35">
      <c r="A454" s="2">
        <v>64</v>
      </c>
      <c r="B454" s="109" t="s">
        <v>23</v>
      </c>
      <c r="C454" s="110" t="s">
        <v>24</v>
      </c>
      <c r="D454" s="2">
        <v>36</v>
      </c>
      <c r="E454" s="51">
        <v>5</v>
      </c>
      <c r="F454" s="105"/>
      <c r="H454" s="2"/>
      <c r="I454" s="2">
        <v>3</v>
      </c>
      <c r="J454" s="2">
        <v>0</v>
      </c>
      <c r="K454" s="2">
        <v>0</v>
      </c>
      <c r="L454" s="2">
        <v>15.120000000000001</v>
      </c>
      <c r="M454" s="2">
        <v>17.37</v>
      </c>
      <c r="N454" s="244">
        <v>8.4249000000000004E-2</v>
      </c>
      <c r="O454" s="2" t="s">
        <v>18</v>
      </c>
      <c r="P454" s="2">
        <v>50</v>
      </c>
      <c r="Q454" s="2">
        <v>0</v>
      </c>
      <c r="R454" s="2" t="s">
        <v>23</v>
      </c>
      <c r="S454" s="2"/>
      <c r="T454" s="2">
        <v>5.23</v>
      </c>
      <c r="U454" s="398">
        <v>188.28000000000003</v>
      </c>
      <c r="V454" s="7">
        <v>180</v>
      </c>
      <c r="W454" s="7" t="s">
        <v>660</v>
      </c>
    </row>
    <row r="455" spans="1:23" x14ac:dyDescent="0.35">
      <c r="A455" s="2">
        <v>64</v>
      </c>
      <c r="B455" s="109" t="s">
        <v>25</v>
      </c>
      <c r="C455" s="110" t="s">
        <v>26</v>
      </c>
      <c r="D455" s="2">
        <v>36</v>
      </c>
      <c r="E455" s="51">
        <v>5</v>
      </c>
      <c r="F455" s="105"/>
      <c r="H455" s="2"/>
      <c r="I455" s="2">
        <v>3</v>
      </c>
      <c r="J455" s="2">
        <v>0</v>
      </c>
      <c r="K455" s="2">
        <v>0</v>
      </c>
      <c r="L455" s="2">
        <v>15.120000000000001</v>
      </c>
      <c r="M455" s="2">
        <v>17.37</v>
      </c>
      <c r="N455" s="244">
        <v>8.4249000000000004E-2</v>
      </c>
      <c r="O455" s="2" t="s">
        <v>18</v>
      </c>
      <c r="P455" s="2">
        <v>50</v>
      </c>
      <c r="Q455" s="2">
        <v>0</v>
      </c>
      <c r="R455" s="2" t="s">
        <v>25</v>
      </c>
      <c r="S455" s="2"/>
      <c r="T455" s="2">
        <v>5.23</v>
      </c>
      <c r="U455" s="398">
        <v>188.28000000000003</v>
      </c>
      <c r="V455" s="7">
        <v>180</v>
      </c>
      <c r="W455" s="7" t="s">
        <v>660</v>
      </c>
    </row>
    <row r="456" spans="1:23" x14ac:dyDescent="0.35">
      <c r="A456" s="2">
        <v>64</v>
      </c>
      <c r="B456" s="109" t="s">
        <v>27</v>
      </c>
      <c r="C456" s="110" t="s">
        <v>28</v>
      </c>
      <c r="D456" s="2">
        <v>36</v>
      </c>
      <c r="E456" s="51">
        <v>5</v>
      </c>
      <c r="F456" s="105"/>
      <c r="H456" s="2"/>
      <c r="I456" s="2">
        <v>3</v>
      </c>
      <c r="J456" s="2">
        <v>0</v>
      </c>
      <c r="K456" s="2">
        <v>0</v>
      </c>
      <c r="L456" s="2">
        <v>15.120000000000001</v>
      </c>
      <c r="M456" s="2">
        <v>17.37</v>
      </c>
      <c r="N456" s="244">
        <v>8.4249000000000004E-2</v>
      </c>
      <c r="O456" s="2" t="s">
        <v>18</v>
      </c>
      <c r="P456" s="2">
        <v>50</v>
      </c>
      <c r="Q456" s="2">
        <v>0</v>
      </c>
      <c r="R456" s="2" t="s">
        <v>27</v>
      </c>
      <c r="S456" s="2"/>
      <c r="T456" s="2">
        <v>5.23</v>
      </c>
      <c r="U456" s="398">
        <v>188.28000000000003</v>
      </c>
      <c r="V456" s="7">
        <v>180</v>
      </c>
      <c r="W456" s="7" t="s">
        <v>660</v>
      </c>
    </row>
    <row r="457" spans="1:23" x14ac:dyDescent="0.35">
      <c r="A457" s="2">
        <v>64</v>
      </c>
      <c r="B457" s="109" t="s">
        <v>38</v>
      </c>
      <c r="C457" s="110" t="s">
        <v>39</v>
      </c>
      <c r="D457" s="2">
        <v>24</v>
      </c>
      <c r="E457" s="51">
        <v>5.5</v>
      </c>
      <c r="F457" s="105"/>
      <c r="H457" s="2"/>
      <c r="I457" s="2">
        <v>2</v>
      </c>
      <c r="J457" s="2">
        <v>0</v>
      </c>
      <c r="K457" s="2">
        <v>0</v>
      </c>
      <c r="L457" s="2">
        <v>12.34</v>
      </c>
      <c r="M457" s="2">
        <v>13.54</v>
      </c>
      <c r="N457" s="244">
        <v>7.7964000000000006E-2</v>
      </c>
      <c r="O457" s="2" t="s">
        <v>18</v>
      </c>
      <c r="P457" s="2">
        <v>50</v>
      </c>
      <c r="Q457" s="2">
        <v>0</v>
      </c>
      <c r="R457" s="2" t="s">
        <v>38</v>
      </c>
      <c r="S457" s="2"/>
      <c r="T457" s="2">
        <v>6.16</v>
      </c>
      <c r="U457" s="398">
        <v>167.28</v>
      </c>
      <c r="V457" s="7">
        <v>132</v>
      </c>
      <c r="W457" s="7" t="s">
        <v>660</v>
      </c>
    </row>
    <row r="458" spans="1:23" x14ac:dyDescent="0.35">
      <c r="A458" s="2">
        <v>64</v>
      </c>
      <c r="B458" s="109" t="s">
        <v>40</v>
      </c>
      <c r="C458" s="110" t="s">
        <v>41</v>
      </c>
      <c r="D458" s="2">
        <v>12</v>
      </c>
      <c r="E458" s="51">
        <v>5.5</v>
      </c>
      <c r="F458" s="105"/>
      <c r="H458" s="2"/>
      <c r="I458" s="2">
        <v>1</v>
      </c>
      <c r="J458" s="2">
        <v>0</v>
      </c>
      <c r="K458" s="2">
        <v>0</v>
      </c>
      <c r="L458" s="2">
        <v>6.17</v>
      </c>
      <c r="M458" s="2">
        <v>6.77</v>
      </c>
      <c r="N458" s="244">
        <v>3.8982000000000003E-2</v>
      </c>
      <c r="O458" s="2" t="s">
        <v>18</v>
      </c>
      <c r="P458" s="2">
        <v>50</v>
      </c>
      <c r="Q458" s="2">
        <v>0</v>
      </c>
      <c r="R458" s="2" t="s">
        <v>40</v>
      </c>
      <c r="S458" s="2"/>
      <c r="T458" s="2">
        <v>6.16</v>
      </c>
      <c r="U458" s="398">
        <v>83.64</v>
      </c>
      <c r="V458" s="7">
        <v>66</v>
      </c>
      <c r="W458" s="7" t="s">
        <v>660</v>
      </c>
    </row>
    <row r="459" spans="1:23" x14ac:dyDescent="0.35">
      <c r="A459" s="2">
        <v>64</v>
      </c>
      <c r="B459" s="109" t="s">
        <v>42</v>
      </c>
      <c r="C459" s="110" t="s">
        <v>43</v>
      </c>
      <c r="D459" s="2">
        <v>24</v>
      </c>
      <c r="E459" s="51">
        <v>5.5</v>
      </c>
      <c r="F459" s="105"/>
      <c r="H459" s="2"/>
      <c r="I459" s="2">
        <v>2</v>
      </c>
      <c r="J459" s="2">
        <v>0</v>
      </c>
      <c r="K459" s="2">
        <v>0</v>
      </c>
      <c r="L459" s="2">
        <v>12.34</v>
      </c>
      <c r="M459" s="2">
        <v>13.54</v>
      </c>
      <c r="N459" s="244">
        <v>7.7964000000000006E-2</v>
      </c>
      <c r="O459" s="2" t="s">
        <v>18</v>
      </c>
      <c r="P459" s="2">
        <v>50</v>
      </c>
      <c r="Q459" s="2">
        <v>0</v>
      </c>
      <c r="R459" s="2" t="s">
        <v>42</v>
      </c>
      <c r="S459" s="2"/>
      <c r="T459" s="2">
        <v>6.16</v>
      </c>
      <c r="U459" s="398">
        <v>167.28</v>
      </c>
      <c r="V459" s="7">
        <v>132</v>
      </c>
      <c r="W459" s="7" t="s">
        <v>660</v>
      </c>
    </row>
    <row r="460" spans="1:23" x14ac:dyDescent="0.35">
      <c r="A460" s="2">
        <v>64</v>
      </c>
      <c r="B460" s="109" t="s">
        <v>44</v>
      </c>
      <c r="C460" s="110" t="s">
        <v>45</v>
      </c>
      <c r="D460" s="2">
        <v>12</v>
      </c>
      <c r="E460" s="51">
        <v>5.5</v>
      </c>
      <c r="F460" s="105"/>
      <c r="H460" s="2"/>
      <c r="I460" s="2">
        <v>1</v>
      </c>
      <c r="J460" s="2">
        <v>0</v>
      </c>
      <c r="K460" s="2">
        <v>0</v>
      </c>
      <c r="L460" s="2">
        <v>6.17</v>
      </c>
      <c r="M460" s="2">
        <v>6.77</v>
      </c>
      <c r="N460" s="244">
        <v>3.8982000000000003E-2</v>
      </c>
      <c r="O460" s="2" t="s">
        <v>18</v>
      </c>
      <c r="P460" s="2">
        <v>50</v>
      </c>
      <c r="Q460" s="2">
        <v>0</v>
      </c>
      <c r="R460" s="2" t="s">
        <v>44</v>
      </c>
      <c r="S460" s="2"/>
      <c r="T460" s="2">
        <v>6.16</v>
      </c>
      <c r="U460" s="398">
        <v>83.64</v>
      </c>
      <c r="V460" s="7">
        <v>66</v>
      </c>
      <c r="W460" s="7" t="s">
        <v>660</v>
      </c>
    </row>
    <row r="461" spans="1:23" x14ac:dyDescent="0.35">
      <c r="A461" s="2">
        <v>64</v>
      </c>
      <c r="B461" s="109" t="s">
        <v>91</v>
      </c>
      <c r="C461" s="110" t="s">
        <v>92</v>
      </c>
      <c r="D461" s="2">
        <v>36</v>
      </c>
      <c r="E461" s="51">
        <v>5</v>
      </c>
      <c r="F461" s="105"/>
      <c r="H461" s="2">
        <v>6</v>
      </c>
      <c r="I461" s="2">
        <v>2</v>
      </c>
      <c r="J461" s="2">
        <v>0</v>
      </c>
      <c r="K461" s="2">
        <v>1</v>
      </c>
      <c r="L461" s="2">
        <v>13.16</v>
      </c>
      <c r="M461" s="2">
        <v>14.4025</v>
      </c>
      <c r="N461" s="244">
        <v>3.9280500000000003E-2</v>
      </c>
      <c r="O461" s="2" t="s">
        <v>934</v>
      </c>
      <c r="P461" s="2">
        <v>100</v>
      </c>
      <c r="Q461" s="2" t="s">
        <v>55</v>
      </c>
      <c r="R461" s="2" t="s">
        <v>91</v>
      </c>
      <c r="S461" s="2"/>
      <c r="T461" s="2">
        <v>5</v>
      </c>
      <c r="U461" s="398">
        <v>210</v>
      </c>
      <c r="V461" s="7">
        <v>180</v>
      </c>
      <c r="W461" s="7" t="s">
        <v>660</v>
      </c>
    </row>
    <row r="462" spans="1:23" x14ac:dyDescent="0.35">
      <c r="A462" s="2">
        <v>64</v>
      </c>
      <c r="B462" s="109" t="s">
        <v>93</v>
      </c>
      <c r="C462" s="110" t="s">
        <v>94</v>
      </c>
      <c r="D462" s="2">
        <v>48</v>
      </c>
      <c r="E462" s="51">
        <v>5</v>
      </c>
      <c r="F462" s="105"/>
      <c r="H462" s="2">
        <v>6</v>
      </c>
      <c r="I462" s="2">
        <v>2</v>
      </c>
      <c r="J462" s="2">
        <v>0</v>
      </c>
      <c r="K462" s="2">
        <v>1</v>
      </c>
      <c r="L462" s="2">
        <v>16.919999999999998</v>
      </c>
      <c r="M462" s="2">
        <v>18.517500000000002</v>
      </c>
      <c r="N462" s="244">
        <v>5.05035E-2</v>
      </c>
      <c r="O462" s="2" t="s">
        <v>934</v>
      </c>
      <c r="P462" s="2">
        <v>100</v>
      </c>
      <c r="Q462" s="2" t="s">
        <v>55</v>
      </c>
      <c r="R462" s="2" t="s">
        <v>93</v>
      </c>
      <c r="S462" s="2"/>
      <c r="T462" s="2">
        <v>5</v>
      </c>
      <c r="U462" s="398">
        <v>270</v>
      </c>
      <c r="V462" s="7">
        <v>240</v>
      </c>
      <c r="W462" s="7" t="s">
        <v>660</v>
      </c>
    </row>
    <row r="463" spans="1:23" x14ac:dyDescent="0.35">
      <c r="A463" s="2">
        <v>64</v>
      </c>
      <c r="B463" s="109" t="s">
        <v>95</v>
      </c>
      <c r="C463" s="110" t="s">
        <v>96</v>
      </c>
      <c r="D463" s="2">
        <v>36</v>
      </c>
      <c r="E463" s="51">
        <v>5</v>
      </c>
      <c r="F463" s="105"/>
      <c r="H463" s="2">
        <v>6</v>
      </c>
      <c r="I463" s="2">
        <v>2</v>
      </c>
      <c r="J463" s="2">
        <v>0</v>
      </c>
      <c r="K463" s="2">
        <v>1</v>
      </c>
      <c r="L463" s="2">
        <v>13.16</v>
      </c>
      <c r="M463" s="2">
        <v>14.4025</v>
      </c>
      <c r="N463" s="244">
        <v>3.9280500000000003E-2</v>
      </c>
      <c r="O463" s="2" t="s">
        <v>934</v>
      </c>
      <c r="P463" s="2">
        <v>100</v>
      </c>
      <c r="Q463" s="2" t="s">
        <v>55</v>
      </c>
      <c r="R463" s="2" t="s">
        <v>95</v>
      </c>
      <c r="S463" s="2"/>
      <c r="T463" s="2">
        <v>5</v>
      </c>
      <c r="U463" s="398">
        <v>210</v>
      </c>
      <c r="V463" s="7">
        <v>180</v>
      </c>
      <c r="W463" s="7" t="s">
        <v>660</v>
      </c>
    </row>
    <row r="464" spans="1:23" x14ac:dyDescent="0.35">
      <c r="A464" s="2">
        <v>64</v>
      </c>
      <c r="B464" s="109" t="s">
        <v>97</v>
      </c>
      <c r="C464" s="110" t="s">
        <v>98</v>
      </c>
      <c r="D464" s="2">
        <v>36</v>
      </c>
      <c r="E464" s="51">
        <v>5</v>
      </c>
      <c r="F464" s="105"/>
      <c r="H464" s="2">
        <v>6</v>
      </c>
      <c r="I464" s="2">
        <v>2</v>
      </c>
      <c r="J464" s="2">
        <v>0</v>
      </c>
      <c r="K464" s="2">
        <v>1</v>
      </c>
      <c r="L464" s="2">
        <v>13.16</v>
      </c>
      <c r="M464" s="2">
        <v>14.4025</v>
      </c>
      <c r="N464" s="244">
        <v>3.9280500000000003E-2</v>
      </c>
      <c r="O464" s="2" t="s">
        <v>934</v>
      </c>
      <c r="P464" s="2">
        <v>100</v>
      </c>
      <c r="Q464" s="2" t="s">
        <v>55</v>
      </c>
      <c r="R464" s="2" t="s">
        <v>97</v>
      </c>
      <c r="S464" s="2"/>
      <c r="T464" s="2">
        <v>5</v>
      </c>
      <c r="U464" s="398">
        <v>210</v>
      </c>
      <c r="V464" s="7">
        <v>180</v>
      </c>
      <c r="W464" s="7" t="s">
        <v>660</v>
      </c>
    </row>
    <row r="465" spans="1:23" x14ac:dyDescent="0.35">
      <c r="A465" s="2">
        <v>64</v>
      </c>
      <c r="B465" s="109" t="s">
        <v>105</v>
      </c>
      <c r="C465" s="110" t="s">
        <v>106</v>
      </c>
      <c r="D465" s="2">
        <v>36</v>
      </c>
      <c r="E465" s="51">
        <v>5</v>
      </c>
      <c r="F465" s="105"/>
      <c r="H465" s="2">
        <v>6</v>
      </c>
      <c r="I465" s="2">
        <v>2</v>
      </c>
      <c r="J465" s="2">
        <v>0</v>
      </c>
      <c r="K465" s="2">
        <v>1</v>
      </c>
      <c r="L465" s="2">
        <v>12.022500000000001</v>
      </c>
      <c r="M465" s="2">
        <v>13.229999999999999</v>
      </c>
      <c r="N465" s="244">
        <v>4.4021249999999998E-2</v>
      </c>
      <c r="O465" s="2" t="s">
        <v>934</v>
      </c>
      <c r="P465" s="2">
        <v>100</v>
      </c>
      <c r="Q465" s="2" t="s">
        <v>55</v>
      </c>
      <c r="R465" s="2" t="s">
        <v>105</v>
      </c>
      <c r="S465" s="2"/>
      <c r="T465" s="2">
        <v>5</v>
      </c>
      <c r="U465" s="398">
        <v>210</v>
      </c>
      <c r="V465" s="7">
        <v>180</v>
      </c>
      <c r="W465" s="7" t="s">
        <v>660</v>
      </c>
    </row>
    <row r="466" spans="1:23" x14ac:dyDescent="0.35">
      <c r="A466" s="2">
        <v>64</v>
      </c>
      <c r="B466" s="109" t="s">
        <v>173</v>
      </c>
      <c r="C466" s="110" t="s">
        <v>174</v>
      </c>
      <c r="D466" s="2">
        <v>36</v>
      </c>
      <c r="E466" s="51">
        <v>2.2999999999999998</v>
      </c>
      <c r="F466" s="105"/>
      <c r="H466" s="2"/>
      <c r="I466" s="2">
        <v>2</v>
      </c>
      <c r="J466" s="2">
        <v>0</v>
      </c>
      <c r="K466" s="2">
        <v>0</v>
      </c>
      <c r="L466" s="2">
        <v>9.5249999999999986</v>
      </c>
      <c r="M466" s="2">
        <v>10.5</v>
      </c>
      <c r="N466" s="244">
        <v>2.3908499999999999E-2</v>
      </c>
      <c r="O466" s="2" t="s">
        <v>169</v>
      </c>
      <c r="P466" s="2">
        <v>200</v>
      </c>
      <c r="Q466" s="2" t="s">
        <v>170</v>
      </c>
      <c r="R466" s="2" t="s">
        <v>173</v>
      </c>
      <c r="S466" s="2"/>
      <c r="T466" s="2">
        <v>2.0499999999999998</v>
      </c>
      <c r="U466" s="398">
        <v>73.8</v>
      </c>
      <c r="V466" s="7">
        <v>82.8</v>
      </c>
      <c r="W466" s="7" t="s">
        <v>660</v>
      </c>
    </row>
    <row r="467" spans="1:23" x14ac:dyDescent="0.35">
      <c r="A467" s="2">
        <v>64</v>
      </c>
      <c r="B467" s="109" t="s">
        <v>177</v>
      </c>
      <c r="C467" s="110" t="s">
        <v>178</v>
      </c>
      <c r="D467" s="2">
        <v>24</v>
      </c>
      <c r="E467" s="51">
        <v>2.2999999999999998</v>
      </c>
      <c r="F467" s="105"/>
      <c r="H467" s="2"/>
      <c r="I467" s="2">
        <v>1</v>
      </c>
      <c r="J467" s="2">
        <v>0</v>
      </c>
      <c r="K467" s="2">
        <v>0</v>
      </c>
      <c r="L467" s="2">
        <v>6.35</v>
      </c>
      <c r="M467" s="2">
        <v>7</v>
      </c>
      <c r="N467" s="244">
        <v>1.5938999999999998E-2</v>
      </c>
      <c r="O467" s="2" t="s">
        <v>169</v>
      </c>
      <c r="P467" s="2">
        <v>200</v>
      </c>
      <c r="Q467" s="2" t="s">
        <v>170</v>
      </c>
      <c r="R467" s="2" t="s">
        <v>177</v>
      </c>
      <c r="S467" s="2"/>
      <c r="T467" s="2">
        <v>2.0499999999999998</v>
      </c>
      <c r="U467" s="398">
        <v>49.199999999999996</v>
      </c>
      <c r="V467" s="7">
        <v>55.199999999999996</v>
      </c>
      <c r="W467" s="7" t="s">
        <v>660</v>
      </c>
    </row>
    <row r="468" spans="1:23" x14ac:dyDescent="0.35">
      <c r="A468" s="2">
        <v>65</v>
      </c>
      <c r="B468" s="109" t="s">
        <v>110</v>
      </c>
      <c r="C468" s="110" t="s">
        <v>111</v>
      </c>
      <c r="D468" s="2"/>
      <c r="E468" s="51"/>
      <c r="F468" s="105">
        <v>30</v>
      </c>
      <c r="G468" s="51">
        <v>6.25</v>
      </c>
      <c r="H468" s="2"/>
      <c r="I468" s="2">
        <v>0</v>
      </c>
      <c r="J468" s="2">
        <v>2</v>
      </c>
      <c r="K468" s="2">
        <v>0</v>
      </c>
      <c r="L468" s="2">
        <v>11.850000000000001</v>
      </c>
      <c r="M468" s="2">
        <v>12.375</v>
      </c>
      <c r="N468" s="244">
        <v>2.1621874999999999E-2</v>
      </c>
      <c r="O468" s="2" t="s">
        <v>108</v>
      </c>
      <c r="P468" s="2">
        <v>100</v>
      </c>
      <c r="Q468" s="2" t="s">
        <v>55</v>
      </c>
      <c r="R468" s="2" t="s">
        <v>110</v>
      </c>
      <c r="S468" s="2"/>
      <c r="T468" s="2">
        <v>11.68</v>
      </c>
      <c r="U468" s="398">
        <v>350.4</v>
      </c>
      <c r="V468" s="7">
        <v>187.5</v>
      </c>
      <c r="W468" s="7" t="s">
        <v>660</v>
      </c>
    </row>
    <row r="469" spans="1:23" x14ac:dyDescent="0.35">
      <c r="A469" s="2">
        <v>65</v>
      </c>
      <c r="B469" s="109" t="s">
        <v>112</v>
      </c>
      <c r="C469" s="110" t="s">
        <v>648</v>
      </c>
      <c r="D469" s="2">
        <v>120</v>
      </c>
      <c r="E469" s="51">
        <v>12.5</v>
      </c>
      <c r="F469" s="105">
        <v>120</v>
      </c>
      <c r="G469" s="51">
        <v>6.25</v>
      </c>
      <c r="H469" s="2"/>
      <c r="I469" s="2">
        <v>5</v>
      </c>
      <c r="J469" s="2">
        <v>5</v>
      </c>
      <c r="K469" s="2">
        <v>0</v>
      </c>
      <c r="L469" s="2">
        <v>94.800000000000011</v>
      </c>
      <c r="M469" s="2">
        <v>99</v>
      </c>
      <c r="N469" s="244">
        <v>0.17297499999999999</v>
      </c>
      <c r="O469" s="2" t="s">
        <v>108</v>
      </c>
      <c r="P469" s="2">
        <v>100</v>
      </c>
      <c r="Q469" s="2" t="s">
        <v>55</v>
      </c>
      <c r="R469" s="2" t="s">
        <v>112</v>
      </c>
      <c r="S469" s="2"/>
      <c r="T469" s="2">
        <v>11.68</v>
      </c>
      <c r="U469" s="398">
        <v>2803.2</v>
      </c>
      <c r="V469" s="7">
        <v>2250</v>
      </c>
      <c r="W469" s="7" t="s">
        <v>660</v>
      </c>
    </row>
    <row r="470" spans="1:23" x14ac:dyDescent="0.35">
      <c r="A470" s="2">
        <v>65</v>
      </c>
      <c r="B470" s="109" t="s">
        <v>114</v>
      </c>
      <c r="C470" s="110" t="s">
        <v>115</v>
      </c>
      <c r="D470" s="2">
        <v>240</v>
      </c>
      <c r="E470" s="51">
        <v>12.5</v>
      </c>
      <c r="F470" s="105">
        <v>20</v>
      </c>
      <c r="G470" s="51">
        <v>6.25</v>
      </c>
      <c r="H470" s="2">
        <v>20</v>
      </c>
      <c r="I470" s="2">
        <v>10</v>
      </c>
      <c r="J470" s="2">
        <v>1</v>
      </c>
      <c r="K470" s="2">
        <v>1</v>
      </c>
      <c r="L470" s="2">
        <v>110.6</v>
      </c>
      <c r="M470" s="2">
        <v>115.5</v>
      </c>
      <c r="N470" s="244">
        <v>0.20180416666666665</v>
      </c>
      <c r="O470" s="2" t="s">
        <v>108</v>
      </c>
      <c r="P470" s="2">
        <v>100</v>
      </c>
      <c r="Q470" s="2" t="s">
        <v>55</v>
      </c>
      <c r="R470" s="2" t="s">
        <v>114</v>
      </c>
      <c r="S470" s="2"/>
      <c r="T470" s="2">
        <v>11.68</v>
      </c>
      <c r="U470" s="398">
        <v>3270.4</v>
      </c>
      <c r="V470" s="7">
        <v>3125</v>
      </c>
      <c r="W470" s="7" t="s">
        <v>660</v>
      </c>
    </row>
    <row r="471" spans="1:23" x14ac:dyDescent="0.35">
      <c r="A471" s="2">
        <v>65</v>
      </c>
      <c r="B471" s="109" t="s">
        <v>116</v>
      </c>
      <c r="C471" s="110" t="s">
        <v>117</v>
      </c>
      <c r="D471" s="2"/>
      <c r="E471" s="51"/>
      <c r="F471" s="105">
        <v>30</v>
      </c>
      <c r="G471" s="51">
        <v>6.25</v>
      </c>
      <c r="H471" s="2"/>
      <c r="I471" s="2">
        <v>0</v>
      </c>
      <c r="J471" s="2">
        <v>2</v>
      </c>
      <c r="K471" s="2">
        <v>0</v>
      </c>
      <c r="L471" s="2">
        <v>11.399999999999999</v>
      </c>
      <c r="M471" s="2">
        <v>11.875</v>
      </c>
      <c r="N471" s="244">
        <v>2.1914062500000001E-2</v>
      </c>
      <c r="O471" s="2" t="s">
        <v>108</v>
      </c>
      <c r="P471" s="2">
        <v>100</v>
      </c>
      <c r="Q471" s="2" t="s">
        <v>55</v>
      </c>
      <c r="R471" s="2" t="s">
        <v>116</v>
      </c>
      <c r="S471" s="2"/>
      <c r="T471" s="2">
        <v>11.68</v>
      </c>
      <c r="U471" s="398">
        <v>350.4</v>
      </c>
      <c r="V471" s="7">
        <v>187.5</v>
      </c>
      <c r="W471" s="7" t="s">
        <v>660</v>
      </c>
    </row>
    <row r="472" spans="1:23" x14ac:dyDescent="0.35">
      <c r="A472" s="2">
        <v>65</v>
      </c>
      <c r="B472" s="109" t="s">
        <v>122</v>
      </c>
      <c r="C472" s="110" t="s">
        <v>123</v>
      </c>
      <c r="D472" s="2"/>
      <c r="E472" s="51"/>
      <c r="F472" s="105">
        <v>15</v>
      </c>
      <c r="G472" s="51">
        <v>6.25</v>
      </c>
      <c r="H472" s="2"/>
      <c r="I472" s="2">
        <v>0</v>
      </c>
      <c r="J472" s="2">
        <v>1</v>
      </c>
      <c r="K472" s="2">
        <v>0</v>
      </c>
      <c r="L472" s="2">
        <v>5.6999999999999993</v>
      </c>
      <c r="M472" s="2">
        <v>5.9375</v>
      </c>
      <c r="N472" s="244">
        <v>1.0957031250000001E-2</v>
      </c>
      <c r="O472" s="2" t="s">
        <v>108</v>
      </c>
      <c r="P472" s="2">
        <v>100</v>
      </c>
      <c r="Q472" s="2" t="s">
        <v>55</v>
      </c>
      <c r="R472" s="2" t="s">
        <v>122</v>
      </c>
      <c r="S472" s="2"/>
      <c r="T472" s="2">
        <v>11.68</v>
      </c>
      <c r="U472" s="398">
        <v>175.2</v>
      </c>
      <c r="V472" s="7">
        <v>93.75</v>
      </c>
      <c r="W472" s="7" t="s">
        <v>660</v>
      </c>
    </row>
    <row r="473" spans="1:23" x14ac:dyDescent="0.35">
      <c r="A473" s="2">
        <v>65</v>
      </c>
      <c r="B473" s="109" t="s">
        <v>141</v>
      </c>
      <c r="C473" s="110" t="s">
        <v>142</v>
      </c>
      <c r="D473" s="2">
        <v>240</v>
      </c>
      <c r="E473" s="51">
        <v>12.5</v>
      </c>
      <c r="F473" s="105">
        <v>20</v>
      </c>
      <c r="G473" s="51">
        <v>6.25</v>
      </c>
      <c r="H473" s="2">
        <v>20</v>
      </c>
      <c r="I473" s="2">
        <v>10</v>
      </c>
      <c r="J473" s="2">
        <v>1</v>
      </c>
      <c r="K473" s="2">
        <v>1</v>
      </c>
      <c r="L473" s="2">
        <v>110.6</v>
      </c>
      <c r="M473" s="2">
        <v>115.5</v>
      </c>
      <c r="N473" s="244">
        <v>0.20453125</v>
      </c>
      <c r="O473" s="2" t="s">
        <v>108</v>
      </c>
      <c r="P473" s="2">
        <v>100</v>
      </c>
      <c r="Q473" s="2" t="s">
        <v>55</v>
      </c>
      <c r="R473" s="2" t="s">
        <v>141</v>
      </c>
      <c r="S473" s="2"/>
      <c r="T473" s="2">
        <v>11.68</v>
      </c>
      <c r="U473" s="398">
        <v>3270.4</v>
      </c>
      <c r="V473" s="7">
        <v>3125</v>
      </c>
      <c r="W473" s="7" t="s">
        <v>660</v>
      </c>
    </row>
    <row r="474" spans="1:23" x14ac:dyDescent="0.35">
      <c r="A474" s="2">
        <v>65</v>
      </c>
      <c r="B474" s="109" t="s">
        <v>143</v>
      </c>
      <c r="C474" s="110" t="s">
        <v>144</v>
      </c>
      <c r="D474" s="2">
        <v>150</v>
      </c>
      <c r="E474" s="51">
        <v>12.5</v>
      </c>
      <c r="F474" s="105">
        <v>12</v>
      </c>
      <c r="G474" s="51">
        <v>6.25</v>
      </c>
      <c r="H474" s="2">
        <v>12</v>
      </c>
      <c r="I474" s="2">
        <v>7</v>
      </c>
      <c r="J474" s="2">
        <v>1</v>
      </c>
      <c r="K474" s="2">
        <v>1</v>
      </c>
      <c r="L474" s="2">
        <v>68.73</v>
      </c>
      <c r="M474" s="2">
        <v>71.775000000000006</v>
      </c>
      <c r="N474" s="244">
        <v>0.12710156249999999</v>
      </c>
      <c r="O474" s="2" t="s">
        <v>108</v>
      </c>
      <c r="P474" s="2">
        <v>100</v>
      </c>
      <c r="Q474" s="2" t="s">
        <v>55</v>
      </c>
      <c r="R474" s="2" t="s">
        <v>143</v>
      </c>
      <c r="S474" s="2"/>
      <c r="T474" s="2">
        <v>11.68</v>
      </c>
      <c r="U474" s="398">
        <v>2032.32</v>
      </c>
      <c r="V474" s="7">
        <v>1950</v>
      </c>
      <c r="W474" s="7" t="s">
        <v>660</v>
      </c>
    </row>
    <row r="475" spans="1:23" x14ac:dyDescent="0.35">
      <c r="A475" s="2">
        <v>66</v>
      </c>
      <c r="B475" s="109" t="s">
        <v>23</v>
      </c>
      <c r="C475" s="110" t="s">
        <v>24</v>
      </c>
      <c r="D475" s="2"/>
      <c r="E475" s="51"/>
      <c r="F475" s="105"/>
      <c r="H475" s="2">
        <v>30</v>
      </c>
      <c r="I475" s="2">
        <v>0</v>
      </c>
      <c r="J475" s="2">
        <v>0</v>
      </c>
      <c r="K475" s="2">
        <v>3</v>
      </c>
      <c r="L475" s="2">
        <v>12.6</v>
      </c>
      <c r="M475" s="2">
        <v>14.475</v>
      </c>
      <c r="N475" s="244">
        <v>7.0207500000000006E-2</v>
      </c>
      <c r="O475" s="2" t="s">
        <v>18</v>
      </c>
      <c r="P475" s="2">
        <v>50</v>
      </c>
      <c r="Q475" s="2">
        <v>0</v>
      </c>
      <c r="R475" s="2" t="s">
        <v>23</v>
      </c>
      <c r="S475" s="2"/>
      <c r="T475" s="2">
        <v>5.23</v>
      </c>
      <c r="U475" s="398">
        <v>0</v>
      </c>
      <c r="V475" s="7">
        <v>0</v>
      </c>
      <c r="W475" s="7" t="s">
        <v>1099</v>
      </c>
    </row>
    <row r="476" spans="1:23" x14ac:dyDescent="0.35">
      <c r="A476" s="2">
        <v>66</v>
      </c>
      <c r="B476" s="109" t="s">
        <v>25</v>
      </c>
      <c r="C476" s="110" t="s">
        <v>26</v>
      </c>
      <c r="D476" s="2"/>
      <c r="E476" s="51"/>
      <c r="F476" s="105"/>
      <c r="H476" s="2">
        <v>30</v>
      </c>
      <c r="I476" s="2">
        <v>0</v>
      </c>
      <c r="J476" s="2">
        <v>0</v>
      </c>
      <c r="K476" s="2">
        <v>3</v>
      </c>
      <c r="L476" s="2">
        <v>12.6</v>
      </c>
      <c r="M476" s="2">
        <v>14.475</v>
      </c>
      <c r="N476" s="244">
        <v>7.0207500000000006E-2</v>
      </c>
      <c r="O476" s="2" t="s">
        <v>18</v>
      </c>
      <c r="P476" s="2">
        <v>50</v>
      </c>
      <c r="Q476" s="2">
        <v>0</v>
      </c>
      <c r="R476" s="2" t="s">
        <v>25</v>
      </c>
      <c r="S476" s="2"/>
      <c r="T476" s="2">
        <v>5.23</v>
      </c>
      <c r="U476" s="398">
        <v>0</v>
      </c>
      <c r="V476" s="7">
        <v>0</v>
      </c>
      <c r="W476" s="7" t="s">
        <v>1099</v>
      </c>
    </row>
    <row r="477" spans="1:23" x14ac:dyDescent="0.35">
      <c r="A477" s="2">
        <v>66</v>
      </c>
      <c r="B477" s="109" t="s">
        <v>27</v>
      </c>
      <c r="C477" s="110" t="s">
        <v>28</v>
      </c>
      <c r="D477" s="2"/>
      <c r="E477" s="51"/>
      <c r="F477" s="105"/>
      <c r="H477" s="2">
        <v>30</v>
      </c>
      <c r="I477" s="2">
        <v>0</v>
      </c>
      <c r="J477" s="2">
        <v>0</v>
      </c>
      <c r="K477" s="2">
        <v>3</v>
      </c>
      <c r="L477" s="2">
        <v>12.6</v>
      </c>
      <c r="M477" s="2">
        <v>14.475</v>
      </c>
      <c r="N477" s="244">
        <v>7.0207500000000006E-2</v>
      </c>
      <c r="O477" s="2" t="s">
        <v>18</v>
      </c>
      <c r="P477" s="2">
        <v>50</v>
      </c>
      <c r="Q477" s="2">
        <v>0</v>
      </c>
      <c r="R477" s="2" t="s">
        <v>27</v>
      </c>
      <c r="S477" s="2"/>
      <c r="T477" s="2">
        <v>5.23</v>
      </c>
      <c r="U477" s="398">
        <v>0</v>
      </c>
      <c r="V477" s="7">
        <v>0</v>
      </c>
      <c r="W477" s="7" t="s">
        <v>1099</v>
      </c>
    </row>
    <row r="478" spans="1:23" x14ac:dyDescent="0.35">
      <c r="A478" s="2">
        <v>66</v>
      </c>
      <c r="B478" s="109" t="s">
        <v>29</v>
      </c>
      <c r="C478" s="110" t="s">
        <v>31</v>
      </c>
      <c r="D478" s="2"/>
      <c r="E478" s="51"/>
      <c r="F478" s="105"/>
      <c r="H478" s="2">
        <v>30</v>
      </c>
      <c r="I478" s="2">
        <v>0</v>
      </c>
      <c r="J478" s="2">
        <v>0</v>
      </c>
      <c r="K478" s="2">
        <v>3</v>
      </c>
      <c r="L478" s="2">
        <v>11.950000000000001</v>
      </c>
      <c r="M478" s="2">
        <v>13.125</v>
      </c>
      <c r="N478" s="244">
        <v>7.0207500000000006E-2</v>
      </c>
      <c r="O478" s="2" t="s">
        <v>18</v>
      </c>
      <c r="P478" s="2">
        <v>50</v>
      </c>
      <c r="Q478" s="2">
        <v>0</v>
      </c>
      <c r="R478" s="2" t="s">
        <v>29</v>
      </c>
      <c r="S478" s="2"/>
      <c r="T478" s="2">
        <v>5.23</v>
      </c>
      <c r="U478" s="398">
        <v>0</v>
      </c>
      <c r="V478" s="7">
        <v>0</v>
      </c>
      <c r="W478" s="7" t="s">
        <v>1099</v>
      </c>
    </row>
    <row r="479" spans="1:23" x14ac:dyDescent="0.35">
      <c r="A479" s="2">
        <v>66</v>
      </c>
      <c r="B479" s="109" t="s">
        <v>32</v>
      </c>
      <c r="C479" s="110" t="s">
        <v>33</v>
      </c>
      <c r="D479" s="2"/>
      <c r="E479" s="51"/>
      <c r="F479" s="105"/>
      <c r="H479" s="2">
        <v>30</v>
      </c>
      <c r="I479" s="2">
        <v>0</v>
      </c>
      <c r="J479" s="2">
        <v>0</v>
      </c>
      <c r="K479" s="2">
        <v>3</v>
      </c>
      <c r="L479" s="2">
        <v>11.950000000000001</v>
      </c>
      <c r="M479" s="2">
        <v>13.125</v>
      </c>
      <c r="N479" s="244">
        <v>7.0207500000000006E-2</v>
      </c>
      <c r="O479" s="2" t="s">
        <v>18</v>
      </c>
      <c r="P479" s="2">
        <v>50</v>
      </c>
      <c r="Q479" s="2">
        <v>0</v>
      </c>
      <c r="R479" s="2" t="s">
        <v>32</v>
      </c>
      <c r="S479" s="2"/>
      <c r="T479" s="2">
        <v>5.23</v>
      </c>
      <c r="U479" s="398">
        <v>0</v>
      </c>
      <c r="V479" s="7">
        <v>0</v>
      </c>
      <c r="W479" s="7" t="s">
        <v>1099</v>
      </c>
    </row>
    <row r="480" spans="1:23" x14ac:dyDescent="0.35">
      <c r="A480" s="2">
        <v>66</v>
      </c>
      <c r="B480" s="109" t="s">
        <v>34</v>
      </c>
      <c r="C480" s="110" t="s">
        <v>35</v>
      </c>
      <c r="D480" s="2"/>
      <c r="E480" s="51"/>
      <c r="F480" s="105"/>
      <c r="H480" s="2">
        <v>30</v>
      </c>
      <c r="I480" s="2">
        <v>0</v>
      </c>
      <c r="J480" s="2">
        <v>0</v>
      </c>
      <c r="K480" s="2">
        <v>3</v>
      </c>
      <c r="L480" s="2">
        <v>11.950000000000001</v>
      </c>
      <c r="M480" s="2">
        <v>13.125</v>
      </c>
      <c r="N480" s="244">
        <v>7.0207500000000006E-2</v>
      </c>
      <c r="O480" s="2" t="s">
        <v>18</v>
      </c>
      <c r="P480" s="2">
        <v>50</v>
      </c>
      <c r="Q480" s="2">
        <v>0</v>
      </c>
      <c r="R480" s="2" t="s">
        <v>34</v>
      </c>
      <c r="S480" s="2"/>
      <c r="T480" s="2">
        <v>5.23</v>
      </c>
      <c r="U480" s="398">
        <v>0</v>
      </c>
      <c r="V480" s="7">
        <v>0</v>
      </c>
      <c r="W480" s="7" t="s">
        <v>1099</v>
      </c>
    </row>
    <row r="481" spans="1:23" x14ac:dyDescent="0.35">
      <c r="A481" s="2">
        <v>66</v>
      </c>
      <c r="B481" s="109" t="s">
        <v>36</v>
      </c>
      <c r="C481" s="110" t="s">
        <v>37</v>
      </c>
      <c r="D481" s="2"/>
      <c r="E481" s="51"/>
      <c r="F481" s="105"/>
      <c r="H481" s="2">
        <v>30</v>
      </c>
      <c r="I481" s="2">
        <v>0</v>
      </c>
      <c r="J481" s="2">
        <v>0</v>
      </c>
      <c r="K481" s="2">
        <v>3</v>
      </c>
      <c r="L481" s="2">
        <v>11.950000000000001</v>
      </c>
      <c r="M481" s="2">
        <v>13.125</v>
      </c>
      <c r="N481" s="244">
        <v>7.0207500000000006E-2</v>
      </c>
      <c r="O481" s="2" t="s">
        <v>18</v>
      </c>
      <c r="P481" s="2">
        <v>50</v>
      </c>
      <c r="Q481" s="2">
        <v>0</v>
      </c>
      <c r="R481" s="2" t="s">
        <v>36</v>
      </c>
      <c r="S481" s="2"/>
      <c r="T481" s="2">
        <v>5.23</v>
      </c>
      <c r="U481" s="398">
        <v>0</v>
      </c>
      <c r="V481" s="7">
        <v>0</v>
      </c>
      <c r="W481" s="7" t="s">
        <v>1099</v>
      </c>
    </row>
    <row r="482" spans="1:23" x14ac:dyDescent="0.35">
      <c r="A482" s="2">
        <v>66</v>
      </c>
      <c r="B482" s="109" t="s">
        <v>160</v>
      </c>
      <c r="C482" s="110" t="s">
        <v>161</v>
      </c>
      <c r="D482" s="2"/>
      <c r="E482" s="51"/>
      <c r="F482" s="105"/>
      <c r="H482" s="2">
        <v>30</v>
      </c>
      <c r="I482" s="2">
        <v>0</v>
      </c>
      <c r="J482" s="2">
        <v>0</v>
      </c>
      <c r="K482" s="2">
        <v>1</v>
      </c>
      <c r="L482" s="2">
        <v>4.6750000000000007</v>
      </c>
      <c r="M482" s="2">
        <v>4.8125</v>
      </c>
      <c r="N482" s="244">
        <v>2.1279375E-2</v>
      </c>
      <c r="O482" s="2" t="s">
        <v>150</v>
      </c>
      <c r="P482" s="2">
        <v>175</v>
      </c>
      <c r="Q482" s="2" t="s">
        <v>151</v>
      </c>
      <c r="R482" s="2" t="s">
        <v>160</v>
      </c>
      <c r="S482" s="2"/>
      <c r="T482" s="2">
        <v>0.81599999999999995</v>
      </c>
      <c r="U482" s="398">
        <v>0</v>
      </c>
      <c r="V482" s="7">
        <v>0</v>
      </c>
      <c r="W482" s="7" t="s">
        <v>1099</v>
      </c>
    </row>
    <row r="483" spans="1:23" x14ac:dyDescent="0.35">
      <c r="A483" s="2">
        <v>66</v>
      </c>
      <c r="B483" s="109" t="s">
        <v>91</v>
      </c>
      <c r="C483" s="110" t="s">
        <v>92</v>
      </c>
      <c r="D483" s="2"/>
      <c r="E483" s="51"/>
      <c r="F483" s="105"/>
      <c r="H483" s="2">
        <v>30</v>
      </c>
      <c r="I483" s="2">
        <v>0</v>
      </c>
      <c r="J483" s="2">
        <v>0</v>
      </c>
      <c r="K483" s="2">
        <v>2</v>
      </c>
      <c r="L483" s="2">
        <v>9.3999999999999986</v>
      </c>
      <c r="M483" s="2">
        <v>10.287500000000001</v>
      </c>
      <c r="N483" s="244">
        <v>2.8057499999999999E-2</v>
      </c>
      <c r="O483" s="2" t="s">
        <v>934</v>
      </c>
      <c r="P483" s="2">
        <v>100</v>
      </c>
      <c r="Q483" s="2" t="s">
        <v>55</v>
      </c>
      <c r="R483" s="2" t="s">
        <v>91</v>
      </c>
      <c r="S483" s="2"/>
      <c r="T483" s="2">
        <v>5</v>
      </c>
      <c r="U483" s="398">
        <v>0</v>
      </c>
      <c r="V483" s="7">
        <v>0</v>
      </c>
      <c r="W483" s="7" t="s">
        <v>1099</v>
      </c>
    </row>
    <row r="484" spans="1:23" x14ac:dyDescent="0.35">
      <c r="A484" s="2">
        <v>66</v>
      </c>
      <c r="B484" s="109" t="s">
        <v>93</v>
      </c>
      <c r="C484" s="110" t="s">
        <v>94</v>
      </c>
      <c r="D484" s="2"/>
      <c r="E484" s="51"/>
      <c r="F484" s="105"/>
      <c r="H484" s="2">
        <v>30</v>
      </c>
      <c r="I484" s="2">
        <v>0</v>
      </c>
      <c r="J484" s="2">
        <v>0</v>
      </c>
      <c r="K484" s="2">
        <v>2</v>
      </c>
      <c r="L484" s="2">
        <v>9.3999999999999986</v>
      </c>
      <c r="M484" s="2">
        <v>10.287500000000001</v>
      </c>
      <c r="N484" s="244">
        <v>2.8057499999999999E-2</v>
      </c>
      <c r="O484" s="2" t="s">
        <v>934</v>
      </c>
      <c r="P484" s="2">
        <v>100</v>
      </c>
      <c r="Q484" s="2" t="s">
        <v>55</v>
      </c>
      <c r="R484" s="2" t="s">
        <v>93</v>
      </c>
      <c r="S484" s="2"/>
      <c r="T484" s="2">
        <v>5</v>
      </c>
      <c r="U484" s="398">
        <v>0</v>
      </c>
      <c r="V484" s="7">
        <v>0</v>
      </c>
      <c r="W484" s="7" t="s">
        <v>1099</v>
      </c>
    </row>
    <row r="485" spans="1:23" x14ac:dyDescent="0.35">
      <c r="A485" s="2">
        <v>66</v>
      </c>
      <c r="B485" s="109" t="s">
        <v>95</v>
      </c>
      <c r="C485" s="110" t="s">
        <v>96</v>
      </c>
      <c r="D485" s="2"/>
      <c r="E485" s="51"/>
      <c r="F485" s="105"/>
      <c r="H485" s="2">
        <v>30</v>
      </c>
      <c r="I485" s="2">
        <v>0</v>
      </c>
      <c r="J485" s="2">
        <v>0</v>
      </c>
      <c r="K485" s="2">
        <v>2</v>
      </c>
      <c r="L485" s="2">
        <v>9.3999999999999986</v>
      </c>
      <c r="M485" s="2">
        <v>10.287500000000001</v>
      </c>
      <c r="N485" s="244">
        <v>2.8057499999999999E-2</v>
      </c>
      <c r="O485" s="2" t="s">
        <v>934</v>
      </c>
      <c r="P485" s="2">
        <v>100</v>
      </c>
      <c r="Q485" s="2" t="s">
        <v>55</v>
      </c>
      <c r="R485" s="2" t="s">
        <v>95</v>
      </c>
      <c r="S485" s="2"/>
      <c r="T485" s="2">
        <v>5</v>
      </c>
      <c r="U485" s="398">
        <v>0</v>
      </c>
      <c r="V485" s="7">
        <v>0</v>
      </c>
      <c r="W485" s="7" t="s">
        <v>1099</v>
      </c>
    </row>
    <row r="486" spans="1:23" x14ac:dyDescent="0.35">
      <c r="A486" s="2">
        <v>66</v>
      </c>
      <c r="B486" s="109" t="s">
        <v>97</v>
      </c>
      <c r="C486" s="110" t="s">
        <v>98</v>
      </c>
      <c r="D486" s="2"/>
      <c r="E486" s="51"/>
      <c r="F486" s="105"/>
      <c r="H486" s="2">
        <v>30</v>
      </c>
      <c r="I486" s="2">
        <v>0</v>
      </c>
      <c r="J486" s="2">
        <v>0</v>
      </c>
      <c r="K486" s="2">
        <v>2</v>
      </c>
      <c r="L486" s="2">
        <v>9.3999999999999986</v>
      </c>
      <c r="M486" s="2">
        <v>10.287500000000001</v>
      </c>
      <c r="N486" s="244">
        <v>2.8057499999999999E-2</v>
      </c>
      <c r="O486" s="2" t="s">
        <v>934</v>
      </c>
      <c r="P486" s="2">
        <v>100</v>
      </c>
      <c r="Q486" s="2" t="s">
        <v>55</v>
      </c>
      <c r="R486" s="2" t="s">
        <v>97</v>
      </c>
      <c r="S486" s="2"/>
      <c r="T486" s="2">
        <v>5</v>
      </c>
      <c r="U486" s="398">
        <v>0</v>
      </c>
      <c r="V486" s="7">
        <v>0</v>
      </c>
      <c r="W486" s="7" t="s">
        <v>1099</v>
      </c>
    </row>
    <row r="487" spans="1:23" x14ac:dyDescent="0.35">
      <c r="A487" s="2">
        <v>66</v>
      </c>
      <c r="B487" s="109" t="s">
        <v>1061</v>
      </c>
      <c r="C487" s="110" t="s">
        <v>1208</v>
      </c>
      <c r="D487" s="2"/>
      <c r="E487" s="51"/>
      <c r="F487" s="105"/>
      <c r="H487" s="2">
        <v>30</v>
      </c>
      <c r="I487" s="2">
        <v>0</v>
      </c>
      <c r="J487" s="2">
        <v>0</v>
      </c>
      <c r="K487" s="2">
        <v>1</v>
      </c>
      <c r="L487" s="2">
        <v>5.4046874999999996</v>
      </c>
      <c r="M487" s="2">
        <v>5.671875</v>
      </c>
      <c r="N487" s="244">
        <v>1.219265625E-2</v>
      </c>
      <c r="O487" s="2" t="s">
        <v>934</v>
      </c>
      <c r="P487" s="2">
        <v>50</v>
      </c>
      <c r="Q487" s="2" t="s">
        <v>55</v>
      </c>
      <c r="R487" s="2" t="s">
        <v>54</v>
      </c>
      <c r="S487" s="2"/>
      <c r="T487" s="2">
        <v>4.4139999999999997</v>
      </c>
      <c r="U487" s="398">
        <v>0</v>
      </c>
      <c r="V487" s="7">
        <v>0</v>
      </c>
      <c r="W487" s="7" t="s">
        <v>1099</v>
      </c>
    </row>
    <row r="488" spans="1:23" x14ac:dyDescent="0.35">
      <c r="A488" s="2">
        <v>66</v>
      </c>
      <c r="B488" s="109" t="s">
        <v>99</v>
      </c>
      <c r="C488" s="110" t="s">
        <v>100</v>
      </c>
      <c r="D488" s="2"/>
      <c r="E488" s="51"/>
      <c r="F488" s="105"/>
      <c r="H488" s="2">
        <v>30</v>
      </c>
      <c r="I488" s="2">
        <v>0</v>
      </c>
      <c r="J488" s="2">
        <v>0</v>
      </c>
      <c r="K488" s="2">
        <v>2</v>
      </c>
      <c r="L488" s="2">
        <v>8.5875000000000004</v>
      </c>
      <c r="M488" s="2">
        <v>9.4499999999999993</v>
      </c>
      <c r="N488" s="244">
        <v>3.1443749999999999E-2</v>
      </c>
      <c r="O488" s="2" t="s">
        <v>934</v>
      </c>
      <c r="P488" s="2">
        <v>100</v>
      </c>
      <c r="Q488" s="2" t="s">
        <v>55</v>
      </c>
      <c r="R488" s="2" t="s">
        <v>99</v>
      </c>
      <c r="S488" s="2"/>
      <c r="T488" s="2">
        <v>5</v>
      </c>
      <c r="U488" s="398">
        <v>0</v>
      </c>
      <c r="V488" s="7">
        <v>0</v>
      </c>
      <c r="W488" s="7" t="s">
        <v>1099</v>
      </c>
    </row>
    <row r="489" spans="1:23" x14ac:dyDescent="0.35">
      <c r="A489" s="2">
        <v>66</v>
      </c>
      <c r="B489" s="109" t="s">
        <v>101</v>
      </c>
      <c r="C489" s="110" t="s">
        <v>102</v>
      </c>
      <c r="D489" s="2"/>
      <c r="E489" s="51"/>
      <c r="F489" s="105"/>
      <c r="H489" s="2">
        <v>30</v>
      </c>
      <c r="I489" s="2">
        <v>0</v>
      </c>
      <c r="J489" s="2">
        <v>0</v>
      </c>
      <c r="K489" s="2">
        <v>2</v>
      </c>
      <c r="L489" s="2">
        <v>8.5875000000000004</v>
      </c>
      <c r="M489" s="2">
        <v>9.4499999999999993</v>
      </c>
      <c r="N489" s="244">
        <v>3.1443749999999999E-2</v>
      </c>
      <c r="O489" s="2" t="s">
        <v>934</v>
      </c>
      <c r="P489" s="2">
        <v>100</v>
      </c>
      <c r="Q489" s="2" t="s">
        <v>55</v>
      </c>
      <c r="R489" s="2" t="s">
        <v>101</v>
      </c>
      <c r="S489" s="2"/>
      <c r="T489" s="2">
        <v>5</v>
      </c>
      <c r="U489" s="398">
        <v>0</v>
      </c>
      <c r="V489" s="7">
        <v>0</v>
      </c>
      <c r="W489" s="7" t="s">
        <v>1099</v>
      </c>
    </row>
    <row r="490" spans="1:23" x14ac:dyDescent="0.35">
      <c r="A490" s="2">
        <v>66</v>
      </c>
      <c r="B490" s="109" t="s">
        <v>103</v>
      </c>
      <c r="C490" s="110" t="s">
        <v>104</v>
      </c>
      <c r="D490" s="2"/>
      <c r="E490" s="51"/>
      <c r="F490" s="105"/>
      <c r="H490" s="2">
        <v>30</v>
      </c>
      <c r="I490" s="2">
        <v>0</v>
      </c>
      <c r="J490" s="2">
        <v>0</v>
      </c>
      <c r="K490" s="2">
        <v>2</v>
      </c>
      <c r="L490" s="2">
        <v>8.5875000000000004</v>
      </c>
      <c r="M490" s="2">
        <v>9.4499999999999993</v>
      </c>
      <c r="N490" s="244">
        <v>3.1443749999999999E-2</v>
      </c>
      <c r="O490" s="2" t="s">
        <v>934</v>
      </c>
      <c r="P490" s="2">
        <v>100</v>
      </c>
      <c r="Q490" s="2" t="s">
        <v>55</v>
      </c>
      <c r="R490" s="2" t="s">
        <v>103</v>
      </c>
      <c r="S490" s="2"/>
      <c r="T490" s="2">
        <v>5</v>
      </c>
      <c r="U490" s="398">
        <v>0</v>
      </c>
      <c r="V490" s="7">
        <v>0</v>
      </c>
      <c r="W490" s="7" t="s">
        <v>1099</v>
      </c>
    </row>
    <row r="491" spans="1:23" x14ac:dyDescent="0.35">
      <c r="A491" s="2">
        <v>66</v>
      </c>
      <c r="B491" s="109" t="s">
        <v>105</v>
      </c>
      <c r="C491" s="110" t="s">
        <v>106</v>
      </c>
      <c r="D491" s="2"/>
      <c r="E491" s="51"/>
      <c r="F491" s="105"/>
      <c r="H491" s="2">
        <v>30</v>
      </c>
      <c r="I491" s="2">
        <v>0</v>
      </c>
      <c r="J491" s="2">
        <v>0</v>
      </c>
      <c r="K491" s="2">
        <v>2</v>
      </c>
      <c r="L491" s="2">
        <v>8.5875000000000004</v>
      </c>
      <c r="M491" s="2">
        <v>9.4499999999999993</v>
      </c>
      <c r="N491" s="244">
        <v>3.1443749999999999E-2</v>
      </c>
      <c r="O491" s="2" t="s">
        <v>934</v>
      </c>
      <c r="P491" s="2">
        <v>100</v>
      </c>
      <c r="Q491" s="2" t="s">
        <v>55</v>
      </c>
      <c r="R491" s="2" t="s">
        <v>105</v>
      </c>
      <c r="S491" s="2"/>
      <c r="T491" s="2">
        <v>5</v>
      </c>
      <c r="U491" s="398">
        <v>0</v>
      </c>
      <c r="V491" s="7">
        <v>0</v>
      </c>
      <c r="W491" s="7" t="s">
        <v>1099</v>
      </c>
    </row>
    <row r="492" spans="1:23" x14ac:dyDescent="0.35">
      <c r="A492" s="2">
        <v>66</v>
      </c>
      <c r="B492" s="109" t="s">
        <v>725</v>
      </c>
      <c r="C492" s="110" t="s">
        <v>726</v>
      </c>
      <c r="D492" s="2"/>
      <c r="E492" s="51"/>
      <c r="F492" s="105"/>
      <c r="H492" s="2">
        <v>30</v>
      </c>
      <c r="I492" s="2" t="s">
        <v>861</v>
      </c>
      <c r="J492" s="2" t="s">
        <v>861</v>
      </c>
      <c r="K492" s="2" t="s">
        <v>861</v>
      </c>
      <c r="L492" s="2" t="s">
        <v>861</v>
      </c>
      <c r="M492" s="2" t="s">
        <v>861</v>
      </c>
      <c r="N492" s="244" t="s">
        <v>861</v>
      </c>
      <c r="O492" s="2" t="s">
        <v>1055</v>
      </c>
      <c r="P492" s="2">
        <v>50</v>
      </c>
      <c r="Q492" s="2" t="s">
        <v>1154</v>
      </c>
      <c r="R492" s="2" t="s">
        <v>725</v>
      </c>
      <c r="S492" s="2"/>
      <c r="T492" s="2" t="s">
        <v>861</v>
      </c>
      <c r="U492" s="398" t="s">
        <v>861</v>
      </c>
      <c r="V492" s="7">
        <v>0</v>
      </c>
      <c r="W492" s="7" t="s">
        <v>1099</v>
      </c>
    </row>
    <row r="493" spans="1:23" x14ac:dyDescent="0.35">
      <c r="A493" s="2">
        <v>66</v>
      </c>
      <c r="B493" s="109" t="s">
        <v>751</v>
      </c>
      <c r="C493" s="110" t="s">
        <v>752</v>
      </c>
      <c r="D493" s="2"/>
      <c r="E493" s="51"/>
      <c r="F493" s="105"/>
      <c r="H493" s="2">
        <v>30</v>
      </c>
      <c r="I493" s="2" t="s">
        <v>861</v>
      </c>
      <c r="J493" s="2" t="s">
        <v>861</v>
      </c>
      <c r="K493" s="2" t="s">
        <v>861</v>
      </c>
      <c r="L493" s="2" t="s">
        <v>861</v>
      </c>
      <c r="M493" s="2" t="s">
        <v>861</v>
      </c>
      <c r="N493" s="244" t="s">
        <v>861</v>
      </c>
      <c r="O493" s="2" t="s">
        <v>1055</v>
      </c>
      <c r="P493" s="2">
        <v>50</v>
      </c>
      <c r="Q493" s="2" t="s">
        <v>1155</v>
      </c>
      <c r="R493" s="2" t="s">
        <v>751</v>
      </c>
      <c r="S493" s="2"/>
      <c r="T493" s="2" t="s">
        <v>861</v>
      </c>
      <c r="U493" s="398" t="s">
        <v>861</v>
      </c>
      <c r="V493" s="7">
        <v>0</v>
      </c>
      <c r="W493" s="7" t="s">
        <v>1099</v>
      </c>
    </row>
    <row r="494" spans="1:23" x14ac:dyDescent="0.35">
      <c r="A494" s="2">
        <v>68</v>
      </c>
      <c r="B494" s="109" t="s">
        <v>54</v>
      </c>
      <c r="C494" s="110" t="s">
        <v>56</v>
      </c>
      <c r="D494" s="2">
        <v>342</v>
      </c>
      <c r="E494" s="51"/>
      <c r="F494" s="105"/>
      <c r="H494" s="2"/>
      <c r="I494" s="2">
        <v>15</v>
      </c>
      <c r="J494" s="2">
        <v>0</v>
      </c>
      <c r="K494" s="2">
        <v>0</v>
      </c>
      <c r="L494" s="2">
        <v>68.399999999999991</v>
      </c>
      <c r="M494" s="2">
        <v>74.100000000000009</v>
      </c>
      <c r="N494" s="244">
        <v>0.205734375</v>
      </c>
      <c r="O494" s="2" t="s">
        <v>934</v>
      </c>
      <c r="P494" s="2">
        <v>50</v>
      </c>
      <c r="Q494" s="2" t="s">
        <v>55</v>
      </c>
      <c r="R494" s="2" t="s">
        <v>54</v>
      </c>
      <c r="S494" s="2"/>
      <c r="T494" s="2" t="s">
        <v>861</v>
      </c>
      <c r="U494" s="398"/>
      <c r="V494" s="7">
        <v>0</v>
      </c>
      <c r="W494" s="7" t="s">
        <v>1084</v>
      </c>
    </row>
    <row r="495" spans="1:23" x14ac:dyDescent="0.35">
      <c r="A495" s="2">
        <v>70</v>
      </c>
      <c r="B495" s="109" t="s">
        <v>179</v>
      </c>
      <c r="C495" s="110" t="s">
        <v>181</v>
      </c>
      <c r="D495" s="2">
        <v>26484</v>
      </c>
      <c r="E495" s="51"/>
      <c r="F495" s="105"/>
      <c r="H495" s="2"/>
      <c r="I495" s="2">
        <v>2207</v>
      </c>
      <c r="J495" s="2">
        <v>0</v>
      </c>
      <c r="K495" s="2">
        <v>0</v>
      </c>
      <c r="L495" s="2">
        <v>9710.8000000000011</v>
      </c>
      <c r="M495" s="2">
        <v>10593.6</v>
      </c>
      <c r="N495" s="244">
        <v>0</v>
      </c>
      <c r="O495" s="2" t="s">
        <v>180</v>
      </c>
      <c r="P495" s="2">
        <v>0</v>
      </c>
      <c r="Q495" s="2" t="s">
        <v>151</v>
      </c>
      <c r="R495" s="2" t="s">
        <v>179</v>
      </c>
      <c r="S495" s="2"/>
      <c r="T495" s="2" t="s">
        <v>861</v>
      </c>
      <c r="U495" s="398"/>
      <c r="V495" s="7">
        <v>0</v>
      </c>
      <c r="W495" s="7" t="s">
        <v>1084</v>
      </c>
    </row>
    <row r="496" spans="1:23" x14ac:dyDescent="0.35">
      <c r="A496" s="2">
        <v>70</v>
      </c>
      <c r="B496" s="109" t="s">
        <v>184</v>
      </c>
      <c r="C496" s="110" t="s">
        <v>185</v>
      </c>
      <c r="D496" s="2">
        <v>5604</v>
      </c>
      <c r="E496" s="51"/>
      <c r="F496" s="105"/>
      <c r="H496" s="2"/>
      <c r="I496" s="2">
        <v>467</v>
      </c>
      <c r="J496" s="2">
        <v>0</v>
      </c>
      <c r="K496" s="2">
        <v>0</v>
      </c>
      <c r="L496" s="2">
        <v>2054.8000000000002</v>
      </c>
      <c r="M496" s="2">
        <v>2241.6</v>
      </c>
      <c r="N496" s="244">
        <v>0</v>
      </c>
      <c r="O496" s="2" t="s">
        <v>180</v>
      </c>
      <c r="P496" s="2">
        <v>0</v>
      </c>
      <c r="Q496" s="2" t="s">
        <v>151</v>
      </c>
      <c r="R496" s="2" t="s">
        <v>184</v>
      </c>
      <c r="S496" s="2"/>
      <c r="T496" s="2" t="s">
        <v>861</v>
      </c>
      <c r="U496" s="398"/>
      <c r="V496" s="7">
        <v>0</v>
      </c>
      <c r="W496" s="7" t="s">
        <v>1084</v>
      </c>
    </row>
    <row r="497" spans="1:23" x14ac:dyDescent="0.35">
      <c r="A497" s="2">
        <v>70</v>
      </c>
      <c r="B497" s="109" t="s">
        <v>186</v>
      </c>
      <c r="C497" s="110" t="s">
        <v>187</v>
      </c>
      <c r="D497" s="2">
        <v>52339</v>
      </c>
      <c r="E497" s="51"/>
      <c r="F497" s="105"/>
      <c r="H497" s="2"/>
      <c r="I497" s="2">
        <v>4362</v>
      </c>
      <c r="J497" s="2">
        <v>0</v>
      </c>
      <c r="K497" s="2">
        <v>0</v>
      </c>
      <c r="L497" s="2">
        <v>19190.966666666667</v>
      </c>
      <c r="M497" s="2">
        <v>20935.599999999999</v>
      </c>
      <c r="N497" s="244">
        <v>0</v>
      </c>
      <c r="O497" s="2" t="s">
        <v>180</v>
      </c>
      <c r="P497" s="2">
        <v>0</v>
      </c>
      <c r="Q497" s="2" t="s">
        <v>151</v>
      </c>
      <c r="R497" s="2" t="s">
        <v>186</v>
      </c>
      <c r="S497" s="2"/>
      <c r="T497" s="2" t="s">
        <v>861</v>
      </c>
      <c r="U497" s="398"/>
      <c r="V497" s="7">
        <v>0</v>
      </c>
      <c r="W497" s="7" t="s">
        <v>1084</v>
      </c>
    </row>
    <row r="498" spans="1:23" x14ac:dyDescent="0.35">
      <c r="A498" s="2">
        <v>71</v>
      </c>
      <c r="B498" s="109" t="s">
        <v>1061</v>
      </c>
      <c r="C498" s="110" t="s">
        <v>56</v>
      </c>
      <c r="D498" s="2"/>
      <c r="E498" s="51"/>
      <c r="F498" s="105"/>
      <c r="H498" s="2">
        <v>64</v>
      </c>
      <c r="I498" s="2">
        <v>0</v>
      </c>
      <c r="J498" s="2">
        <v>0</v>
      </c>
      <c r="K498" s="2">
        <v>1</v>
      </c>
      <c r="L498" s="2">
        <v>11.53</v>
      </c>
      <c r="M498" s="2">
        <v>12.1</v>
      </c>
      <c r="N498" s="244">
        <v>2.6010999999999999E-2</v>
      </c>
      <c r="O498" s="2" t="s">
        <v>934</v>
      </c>
      <c r="P498" s="2">
        <v>50</v>
      </c>
      <c r="Q498" s="2" t="s">
        <v>55</v>
      </c>
      <c r="R498" s="2" t="s">
        <v>54</v>
      </c>
      <c r="S498" s="2"/>
      <c r="T498" s="2" t="s">
        <v>861</v>
      </c>
      <c r="U498" s="398" t="s">
        <v>861</v>
      </c>
      <c r="V498" s="7">
        <v>0</v>
      </c>
      <c r="W498" s="7" t="s">
        <v>1084</v>
      </c>
    </row>
    <row r="499" spans="1:23" x14ac:dyDescent="0.35">
      <c r="A499" s="2">
        <v>72</v>
      </c>
      <c r="B499" s="109" t="s">
        <v>186</v>
      </c>
      <c r="C499" s="110" t="s">
        <v>187</v>
      </c>
      <c r="D499" s="2"/>
      <c r="E499" s="51"/>
      <c r="F499" s="105"/>
      <c r="H499" s="2">
        <v>75</v>
      </c>
      <c r="I499" s="2">
        <v>0</v>
      </c>
      <c r="J499" s="2">
        <v>0</v>
      </c>
      <c r="K499" s="2">
        <v>7</v>
      </c>
      <c r="L499" s="2">
        <v>7.875</v>
      </c>
      <c r="M499" s="2">
        <v>7.875</v>
      </c>
      <c r="N499" s="244">
        <v>1.9195312499999999E-2</v>
      </c>
      <c r="O499" s="2" t="s">
        <v>180</v>
      </c>
      <c r="P499" s="2">
        <v>0</v>
      </c>
      <c r="Q499" s="2" t="s">
        <v>151</v>
      </c>
      <c r="R499" s="2" t="s">
        <v>186</v>
      </c>
      <c r="S499" s="2"/>
      <c r="T499" s="2" t="s">
        <v>861</v>
      </c>
      <c r="U499" s="398" t="s">
        <v>861</v>
      </c>
      <c r="V499" s="7">
        <v>0</v>
      </c>
      <c r="W499" s="7" t="s">
        <v>1084</v>
      </c>
    </row>
    <row r="500" spans="1:23" x14ac:dyDescent="0.35">
      <c r="A500" s="2">
        <v>72</v>
      </c>
      <c r="B500" s="109" t="s">
        <v>421</v>
      </c>
      <c r="C500" s="110" t="s">
        <v>422</v>
      </c>
      <c r="D500" s="2"/>
      <c r="E500" s="51"/>
      <c r="F500" s="105"/>
      <c r="H500" s="2">
        <v>60</v>
      </c>
      <c r="I500" s="2">
        <v>0</v>
      </c>
      <c r="J500" s="2">
        <v>0</v>
      </c>
      <c r="K500" s="2">
        <v>5</v>
      </c>
      <c r="L500" s="2">
        <v>6.3</v>
      </c>
      <c r="M500" s="2">
        <v>6.3</v>
      </c>
      <c r="N500" s="244">
        <v>1.535625E-2</v>
      </c>
      <c r="O500" s="2" t="s">
        <v>180</v>
      </c>
      <c r="P500" s="2">
        <v>0</v>
      </c>
      <c r="Q500" s="2" t="s">
        <v>151</v>
      </c>
      <c r="R500" s="2" t="s">
        <v>421</v>
      </c>
      <c r="S500" s="2"/>
      <c r="T500" s="2" t="s">
        <v>861</v>
      </c>
      <c r="U500" s="398" t="s">
        <v>861</v>
      </c>
      <c r="V500" s="7">
        <v>0</v>
      </c>
      <c r="W500" s="7" t="s">
        <v>1084</v>
      </c>
    </row>
    <row r="501" spans="1:23" x14ac:dyDescent="0.35">
      <c r="A501" s="2">
        <v>72</v>
      </c>
      <c r="B501" s="109" t="s">
        <v>713</v>
      </c>
      <c r="C501" s="110" t="s">
        <v>721</v>
      </c>
      <c r="D501" s="2"/>
      <c r="E501" s="51"/>
      <c r="F501" s="105"/>
      <c r="H501" s="2">
        <v>250</v>
      </c>
      <c r="I501" s="2" t="s">
        <v>861</v>
      </c>
      <c r="J501" s="2" t="s">
        <v>861</v>
      </c>
      <c r="K501" s="2" t="s">
        <v>861</v>
      </c>
      <c r="L501" s="2" t="s">
        <v>861</v>
      </c>
      <c r="M501" s="2" t="s">
        <v>861</v>
      </c>
      <c r="N501" s="244" t="s">
        <v>861</v>
      </c>
      <c r="O501" s="2" t="s">
        <v>1055</v>
      </c>
      <c r="P501" s="2">
        <v>0</v>
      </c>
      <c r="Q501" s="2">
        <v>0</v>
      </c>
      <c r="R501" s="2" t="s">
        <v>713</v>
      </c>
      <c r="S501" s="2"/>
      <c r="T501" s="2" t="s">
        <v>861</v>
      </c>
      <c r="U501" s="398" t="s">
        <v>861</v>
      </c>
      <c r="V501" s="7">
        <v>0</v>
      </c>
      <c r="W501" s="7" t="s">
        <v>1084</v>
      </c>
    </row>
    <row r="502" spans="1:23" x14ac:dyDescent="0.35">
      <c r="A502" s="2">
        <v>72</v>
      </c>
      <c r="B502" s="109" t="s">
        <v>714</v>
      </c>
      <c r="C502" s="110" t="s">
        <v>722</v>
      </c>
      <c r="D502" s="2"/>
      <c r="E502" s="51"/>
      <c r="F502" s="105"/>
      <c r="H502" s="2">
        <v>250</v>
      </c>
      <c r="I502" s="2" t="s">
        <v>861</v>
      </c>
      <c r="J502" s="2" t="s">
        <v>861</v>
      </c>
      <c r="K502" s="2" t="s">
        <v>861</v>
      </c>
      <c r="L502" s="2" t="s">
        <v>861</v>
      </c>
      <c r="M502" s="2" t="s">
        <v>861</v>
      </c>
      <c r="N502" s="244" t="s">
        <v>861</v>
      </c>
      <c r="O502" s="2" t="s">
        <v>1055</v>
      </c>
      <c r="P502" s="2">
        <v>0</v>
      </c>
      <c r="Q502" s="2">
        <v>0</v>
      </c>
      <c r="R502" s="2" t="s">
        <v>714</v>
      </c>
      <c r="S502" s="2"/>
      <c r="T502" s="2" t="s">
        <v>861</v>
      </c>
      <c r="U502" s="398" t="s">
        <v>861</v>
      </c>
      <c r="V502" s="7">
        <v>0</v>
      </c>
      <c r="W502" s="7" t="s">
        <v>1084</v>
      </c>
    </row>
    <row r="503" spans="1:23" x14ac:dyDescent="0.35">
      <c r="A503" s="2">
        <v>72</v>
      </c>
      <c r="B503" s="109" t="s">
        <v>715</v>
      </c>
      <c r="C503" s="110" t="s">
        <v>723</v>
      </c>
      <c r="D503" s="2"/>
      <c r="E503" s="51"/>
      <c r="F503" s="105"/>
      <c r="H503" s="2">
        <v>250</v>
      </c>
      <c r="I503" s="2" t="s">
        <v>861</v>
      </c>
      <c r="J503" s="2" t="s">
        <v>861</v>
      </c>
      <c r="K503" s="2" t="s">
        <v>861</v>
      </c>
      <c r="L503" s="2" t="s">
        <v>861</v>
      </c>
      <c r="M503" s="2" t="s">
        <v>861</v>
      </c>
      <c r="N503" s="244" t="s">
        <v>861</v>
      </c>
      <c r="O503" s="2" t="s">
        <v>1055</v>
      </c>
      <c r="P503" s="2">
        <v>0</v>
      </c>
      <c r="Q503" s="2">
        <v>0</v>
      </c>
      <c r="R503" s="2" t="s">
        <v>715</v>
      </c>
      <c r="S503" s="2"/>
      <c r="T503" s="2" t="s">
        <v>861</v>
      </c>
      <c r="U503" s="398" t="s">
        <v>861</v>
      </c>
      <c r="V503" s="7">
        <v>0</v>
      </c>
      <c r="W503" s="7" t="s">
        <v>1084</v>
      </c>
    </row>
    <row r="504" spans="1:23" x14ac:dyDescent="0.35">
      <c r="A504" s="2">
        <v>72</v>
      </c>
      <c r="B504" s="109" t="s">
        <v>716</v>
      </c>
      <c r="C504" s="110" t="s">
        <v>724</v>
      </c>
      <c r="D504" s="2"/>
      <c r="E504" s="51"/>
      <c r="F504" s="105"/>
      <c r="H504" s="2">
        <v>250</v>
      </c>
      <c r="I504" s="2" t="s">
        <v>861</v>
      </c>
      <c r="J504" s="2" t="s">
        <v>861</v>
      </c>
      <c r="K504" s="2" t="s">
        <v>861</v>
      </c>
      <c r="L504" s="2" t="s">
        <v>861</v>
      </c>
      <c r="M504" s="2" t="s">
        <v>861</v>
      </c>
      <c r="N504" s="244" t="s">
        <v>861</v>
      </c>
      <c r="O504" s="2" t="s">
        <v>1055</v>
      </c>
      <c r="P504" s="2">
        <v>0</v>
      </c>
      <c r="Q504" s="2">
        <v>0</v>
      </c>
      <c r="R504" s="2" t="s">
        <v>716</v>
      </c>
      <c r="S504" s="2"/>
      <c r="T504" s="2" t="s">
        <v>861</v>
      </c>
      <c r="U504" s="398" t="s">
        <v>861</v>
      </c>
      <c r="V504" s="7">
        <v>0</v>
      </c>
      <c r="W504" s="7" t="s">
        <v>1084</v>
      </c>
    </row>
    <row r="505" spans="1:23" x14ac:dyDescent="0.35">
      <c r="A505" s="2">
        <v>72</v>
      </c>
      <c r="B505" s="109" t="s">
        <v>1042</v>
      </c>
      <c r="C505" s="110" t="s">
        <v>1050</v>
      </c>
      <c r="D505" s="2"/>
      <c r="E505" s="51"/>
      <c r="F505" s="105"/>
      <c r="H505" s="2">
        <v>75</v>
      </c>
      <c r="I505" s="2" t="s">
        <v>861</v>
      </c>
      <c r="J505" s="2" t="s">
        <v>861</v>
      </c>
      <c r="K505" s="2" t="s">
        <v>861</v>
      </c>
      <c r="L505" s="2" t="s">
        <v>861</v>
      </c>
      <c r="M505" s="2" t="s">
        <v>861</v>
      </c>
      <c r="N505" s="244" t="s">
        <v>861</v>
      </c>
      <c r="O505" s="2" t="s">
        <v>1055</v>
      </c>
      <c r="P505" s="2">
        <v>0</v>
      </c>
      <c r="Q505" s="2">
        <v>0</v>
      </c>
      <c r="R505" s="2" t="s">
        <v>1042</v>
      </c>
      <c r="S505" s="2"/>
      <c r="T505" s="2" t="s">
        <v>861</v>
      </c>
      <c r="U505" s="398" t="s">
        <v>861</v>
      </c>
      <c r="V505" s="7">
        <v>0</v>
      </c>
      <c r="W505" s="7" t="s">
        <v>1084</v>
      </c>
    </row>
    <row r="506" spans="1:23" x14ac:dyDescent="0.35">
      <c r="A506" s="2">
        <v>72</v>
      </c>
      <c r="B506" s="109" t="s">
        <v>1044</v>
      </c>
      <c r="C506" s="110" t="s">
        <v>1052</v>
      </c>
      <c r="D506" s="2"/>
      <c r="E506" s="51"/>
      <c r="F506" s="105"/>
      <c r="H506" s="2">
        <v>60</v>
      </c>
      <c r="I506" s="2" t="s">
        <v>861</v>
      </c>
      <c r="J506" s="2" t="s">
        <v>861</v>
      </c>
      <c r="K506" s="2" t="s">
        <v>861</v>
      </c>
      <c r="L506" s="2" t="s">
        <v>861</v>
      </c>
      <c r="M506" s="2" t="s">
        <v>861</v>
      </c>
      <c r="N506" s="244" t="s">
        <v>861</v>
      </c>
      <c r="O506" s="2" t="s">
        <v>1055</v>
      </c>
      <c r="P506" s="2">
        <v>0</v>
      </c>
      <c r="Q506" s="2">
        <v>0</v>
      </c>
      <c r="R506" s="2" t="s">
        <v>1044</v>
      </c>
      <c r="S506" s="2"/>
      <c r="T506" s="2" t="s">
        <v>861</v>
      </c>
      <c r="U506" s="398" t="s">
        <v>861</v>
      </c>
      <c r="V506" s="7">
        <v>0</v>
      </c>
      <c r="W506" s="7" t="s">
        <v>1084</v>
      </c>
    </row>
    <row r="507" spans="1:23" x14ac:dyDescent="0.35">
      <c r="A507" s="2">
        <v>72</v>
      </c>
      <c r="B507" s="109" t="s">
        <v>755</v>
      </c>
      <c r="C507" s="110" t="s">
        <v>756</v>
      </c>
      <c r="D507" s="2"/>
      <c r="E507" s="51"/>
      <c r="F507" s="105"/>
      <c r="H507" s="2">
        <v>1000</v>
      </c>
      <c r="I507" s="2" t="s">
        <v>861</v>
      </c>
      <c r="J507" s="2" t="s">
        <v>861</v>
      </c>
      <c r="K507" s="2" t="s">
        <v>861</v>
      </c>
      <c r="L507" s="2" t="s">
        <v>861</v>
      </c>
      <c r="M507" s="2" t="s">
        <v>861</v>
      </c>
      <c r="N507" s="244" t="s">
        <v>861</v>
      </c>
      <c r="O507" s="2" t="s">
        <v>1055</v>
      </c>
      <c r="P507" s="2">
        <v>0</v>
      </c>
      <c r="Q507" s="2">
        <v>0</v>
      </c>
      <c r="R507" s="2" t="s">
        <v>755</v>
      </c>
      <c r="S507" s="2"/>
      <c r="T507" s="2" t="s">
        <v>861</v>
      </c>
      <c r="U507" s="398" t="s">
        <v>861</v>
      </c>
      <c r="V507" s="7">
        <v>0</v>
      </c>
      <c r="W507" s="7" t="s">
        <v>1084</v>
      </c>
    </row>
    <row r="508" spans="1:23" x14ac:dyDescent="0.35">
      <c r="A508" s="2">
        <v>72</v>
      </c>
      <c r="B508" s="109" t="s">
        <v>1031</v>
      </c>
      <c r="C508" s="110" t="s">
        <v>1030</v>
      </c>
      <c r="D508" s="2"/>
      <c r="E508" s="51"/>
      <c r="F508" s="105"/>
      <c r="H508" s="2">
        <v>75</v>
      </c>
      <c r="I508" s="2" t="s">
        <v>861</v>
      </c>
      <c r="J508" s="2" t="s">
        <v>861</v>
      </c>
      <c r="K508" s="2" t="s">
        <v>861</v>
      </c>
      <c r="L508" s="2" t="s">
        <v>861</v>
      </c>
      <c r="M508" s="2" t="s">
        <v>861</v>
      </c>
      <c r="N508" s="244" t="s">
        <v>861</v>
      </c>
      <c r="O508" s="2" t="s">
        <v>1055</v>
      </c>
      <c r="P508" s="2">
        <v>0</v>
      </c>
      <c r="Q508" s="2">
        <v>0</v>
      </c>
      <c r="R508" s="2" t="s">
        <v>1031</v>
      </c>
      <c r="S508" s="2"/>
      <c r="T508" s="2" t="s">
        <v>861</v>
      </c>
      <c r="U508" s="398" t="s">
        <v>861</v>
      </c>
      <c r="V508" s="7">
        <v>0</v>
      </c>
      <c r="W508" s="7" t="s">
        <v>1084</v>
      </c>
    </row>
    <row r="509" spans="1:23" x14ac:dyDescent="0.35">
      <c r="A509" s="2">
        <v>72</v>
      </c>
      <c r="B509" s="109" t="s">
        <v>1032</v>
      </c>
      <c r="C509" s="110" t="s">
        <v>1033</v>
      </c>
      <c r="D509" s="2"/>
      <c r="E509" s="51"/>
      <c r="F509" s="105"/>
      <c r="H509" s="2">
        <v>60</v>
      </c>
      <c r="I509" s="2" t="s">
        <v>861</v>
      </c>
      <c r="J509" s="2" t="s">
        <v>861</v>
      </c>
      <c r="K509" s="2" t="s">
        <v>861</v>
      </c>
      <c r="L509" s="2" t="s">
        <v>861</v>
      </c>
      <c r="M509" s="2" t="s">
        <v>861</v>
      </c>
      <c r="N509" s="244" t="s">
        <v>861</v>
      </c>
      <c r="O509" s="2" t="s">
        <v>1055</v>
      </c>
      <c r="P509" s="2">
        <v>0</v>
      </c>
      <c r="Q509" s="2">
        <v>0</v>
      </c>
      <c r="R509" s="2" t="s">
        <v>1032</v>
      </c>
      <c r="S509" s="2"/>
      <c r="T509" s="2" t="s">
        <v>861</v>
      </c>
      <c r="U509" s="398" t="s">
        <v>861</v>
      </c>
      <c r="V509" s="7">
        <v>0</v>
      </c>
      <c r="W509" s="7" t="s">
        <v>1084</v>
      </c>
    </row>
    <row r="510" spans="1:23" x14ac:dyDescent="0.35">
      <c r="A510" s="2">
        <v>72</v>
      </c>
      <c r="B510" s="109" t="s">
        <v>1036</v>
      </c>
      <c r="C510" s="110" t="s">
        <v>1034</v>
      </c>
      <c r="D510" s="2"/>
      <c r="E510" s="51"/>
      <c r="F510" s="105"/>
      <c r="H510" s="2">
        <v>12</v>
      </c>
      <c r="I510" s="2" t="s">
        <v>861</v>
      </c>
      <c r="J510" s="2" t="s">
        <v>861</v>
      </c>
      <c r="K510" s="2" t="s">
        <v>861</v>
      </c>
      <c r="L510" s="2" t="s">
        <v>861</v>
      </c>
      <c r="M510" s="2" t="s">
        <v>861</v>
      </c>
      <c r="N510" s="244" t="s">
        <v>861</v>
      </c>
      <c r="O510" s="2" t="s">
        <v>1055</v>
      </c>
      <c r="P510" s="2">
        <v>0</v>
      </c>
      <c r="Q510" s="2">
        <v>0</v>
      </c>
      <c r="R510" s="2" t="s">
        <v>1036</v>
      </c>
      <c r="S510" s="2"/>
      <c r="T510" s="2" t="s">
        <v>861</v>
      </c>
      <c r="U510" s="398" t="s">
        <v>861</v>
      </c>
      <c r="V510" s="7">
        <v>0</v>
      </c>
      <c r="W510" s="7" t="s">
        <v>1084</v>
      </c>
    </row>
    <row r="511" spans="1:23" x14ac:dyDescent="0.35">
      <c r="A511" s="2">
        <v>73</v>
      </c>
      <c r="B511" s="109" t="s">
        <v>179</v>
      </c>
      <c r="C511" s="110" t="s">
        <v>181</v>
      </c>
      <c r="D511" s="2">
        <v>26484</v>
      </c>
      <c r="E511" s="51">
        <v>1</v>
      </c>
      <c r="F511" s="105"/>
      <c r="H511" s="2"/>
      <c r="I511" s="2">
        <v>2207</v>
      </c>
      <c r="J511" s="2">
        <v>0</v>
      </c>
      <c r="K511" s="2">
        <v>0</v>
      </c>
      <c r="L511" s="2">
        <v>2780.82</v>
      </c>
      <c r="M511" s="2">
        <v>2780.82</v>
      </c>
      <c r="N511" s="244">
        <v>6.7782487500000004</v>
      </c>
      <c r="O511" s="2" t="s">
        <v>180</v>
      </c>
      <c r="P511" s="2">
        <v>0</v>
      </c>
      <c r="Q511" s="2" t="s">
        <v>151</v>
      </c>
      <c r="R511" s="2" t="s">
        <v>179</v>
      </c>
      <c r="S511" s="2"/>
      <c r="T511" s="2">
        <v>0.93</v>
      </c>
      <c r="U511" s="398">
        <v>24630.120000000003</v>
      </c>
      <c r="V511" s="7">
        <v>26484</v>
      </c>
      <c r="W511" s="7" t="s">
        <v>660</v>
      </c>
    </row>
    <row r="512" spans="1:23" x14ac:dyDescent="0.35">
      <c r="A512" s="2">
        <v>73</v>
      </c>
      <c r="B512" s="109" t="s">
        <v>184</v>
      </c>
      <c r="C512" s="110" t="s">
        <v>185</v>
      </c>
      <c r="D512" s="2">
        <v>5616</v>
      </c>
      <c r="E512" s="51">
        <v>1</v>
      </c>
      <c r="F512" s="105"/>
      <c r="H512" s="2"/>
      <c r="I512" s="2">
        <v>468</v>
      </c>
      <c r="J512" s="2">
        <v>0</v>
      </c>
      <c r="K512" s="2">
        <v>0</v>
      </c>
      <c r="L512" s="2">
        <v>589.67999999999995</v>
      </c>
      <c r="M512" s="2">
        <v>589.67999999999995</v>
      </c>
      <c r="N512" s="244">
        <v>1.4373450000000001</v>
      </c>
      <c r="O512" s="2" t="s">
        <v>180</v>
      </c>
      <c r="P512" s="2">
        <v>0</v>
      </c>
      <c r="Q512" s="2" t="s">
        <v>151</v>
      </c>
      <c r="R512" s="2" t="s">
        <v>184</v>
      </c>
      <c r="S512" s="2"/>
      <c r="T512" s="2">
        <v>0.93</v>
      </c>
      <c r="U512" s="398">
        <v>5222.88</v>
      </c>
      <c r="V512" s="7">
        <v>5616</v>
      </c>
      <c r="W512" s="7" t="s">
        <v>660</v>
      </c>
    </row>
    <row r="513" spans="1:23" x14ac:dyDescent="0.35">
      <c r="A513" s="2">
        <v>73</v>
      </c>
      <c r="B513" s="109" t="s">
        <v>186</v>
      </c>
      <c r="C513" s="110" t="s">
        <v>187</v>
      </c>
      <c r="D513" s="2">
        <v>1932</v>
      </c>
      <c r="E513" s="51">
        <v>1</v>
      </c>
      <c r="F513" s="105"/>
      <c r="H513" s="2"/>
      <c r="I513" s="2">
        <v>161</v>
      </c>
      <c r="J513" s="2">
        <v>0</v>
      </c>
      <c r="K513" s="2">
        <v>0</v>
      </c>
      <c r="L513" s="2">
        <v>202.86</v>
      </c>
      <c r="M513" s="2">
        <v>202.86</v>
      </c>
      <c r="N513" s="244">
        <v>0.49447124999999997</v>
      </c>
      <c r="O513" s="2" t="s">
        <v>180</v>
      </c>
      <c r="P513" s="2">
        <v>0</v>
      </c>
      <c r="Q513" s="2" t="s">
        <v>151</v>
      </c>
      <c r="R513" s="2" t="s">
        <v>186</v>
      </c>
      <c r="S513" s="2"/>
      <c r="T513" s="2">
        <v>0.93</v>
      </c>
      <c r="U513" s="398">
        <v>1796.76</v>
      </c>
      <c r="V513" s="7">
        <v>1932</v>
      </c>
      <c r="W513" s="7" t="s">
        <v>660</v>
      </c>
    </row>
    <row r="514" spans="1:23" x14ac:dyDescent="0.35">
      <c r="A514" s="2">
        <v>74</v>
      </c>
      <c r="B514" s="109" t="s">
        <v>186</v>
      </c>
      <c r="C514" s="110" t="s">
        <v>187</v>
      </c>
      <c r="D514" s="2">
        <v>50400</v>
      </c>
      <c r="E514" s="51">
        <v>1</v>
      </c>
      <c r="F514" s="105"/>
      <c r="H514" s="2"/>
      <c r="I514" s="2">
        <v>4200</v>
      </c>
      <c r="J514" s="2">
        <v>0</v>
      </c>
      <c r="K514" s="2">
        <v>0</v>
      </c>
      <c r="L514" s="2">
        <v>5292</v>
      </c>
      <c r="M514" s="2">
        <v>5292</v>
      </c>
      <c r="N514" s="244">
        <v>12.89925</v>
      </c>
      <c r="O514" s="2" t="s">
        <v>180</v>
      </c>
      <c r="P514" s="2">
        <v>0</v>
      </c>
      <c r="Q514" s="2" t="s">
        <v>151</v>
      </c>
      <c r="R514" s="2" t="s">
        <v>186</v>
      </c>
      <c r="S514" s="2"/>
      <c r="T514" s="2">
        <v>0.93</v>
      </c>
      <c r="U514" s="398">
        <v>46872</v>
      </c>
      <c r="V514" s="7">
        <v>50400</v>
      </c>
      <c r="W514" s="7" t="s">
        <v>660</v>
      </c>
    </row>
    <row r="515" spans="1:23" x14ac:dyDescent="0.35">
      <c r="A515" s="2">
        <v>75</v>
      </c>
      <c r="B515" s="109" t="s">
        <v>72</v>
      </c>
      <c r="C515" s="110" t="s">
        <v>73</v>
      </c>
      <c r="D515" s="2">
        <v>200</v>
      </c>
      <c r="E515" s="51">
        <v>7.8762179718513172</v>
      </c>
      <c r="F515" s="105"/>
      <c r="G515" s="51">
        <v>0</v>
      </c>
      <c r="H515" s="2"/>
      <c r="I515" s="2">
        <v>17</v>
      </c>
      <c r="J515" s="2">
        <v>0</v>
      </c>
      <c r="K515" s="2">
        <v>0</v>
      </c>
      <c r="L515" s="2">
        <v>97.5</v>
      </c>
      <c r="M515" s="2">
        <v>110</v>
      </c>
      <c r="N515" s="244">
        <v>0.54393279999999999</v>
      </c>
      <c r="O515" s="2" t="s">
        <v>18</v>
      </c>
      <c r="P515" s="2">
        <v>100</v>
      </c>
      <c r="Q515" s="2">
        <v>0</v>
      </c>
      <c r="R515" s="2" t="s">
        <v>72</v>
      </c>
      <c r="S515" s="2">
        <v>200</v>
      </c>
      <c r="T515" s="2">
        <v>6.16</v>
      </c>
      <c r="U515" s="398">
        <v>1232</v>
      </c>
      <c r="V515" s="7">
        <v>1575.2435943702633</v>
      </c>
      <c r="W515" s="7" t="s">
        <v>660</v>
      </c>
    </row>
    <row r="516" spans="1:23" x14ac:dyDescent="0.35">
      <c r="A516" s="2">
        <v>75</v>
      </c>
      <c r="B516" s="109" t="s">
        <v>74</v>
      </c>
      <c r="C516" s="110" t="s">
        <v>75</v>
      </c>
      <c r="D516" s="2">
        <v>200</v>
      </c>
      <c r="E516" s="51">
        <v>7.8762179718513172</v>
      </c>
      <c r="F516" s="105"/>
      <c r="G516" s="51">
        <v>0</v>
      </c>
      <c r="H516" s="2"/>
      <c r="I516" s="2">
        <v>17</v>
      </c>
      <c r="J516" s="2">
        <v>0</v>
      </c>
      <c r="K516" s="2">
        <v>0</v>
      </c>
      <c r="L516" s="2">
        <v>97.5</v>
      </c>
      <c r="M516" s="2">
        <v>110</v>
      </c>
      <c r="N516" s="244">
        <v>0.54393279999999999</v>
      </c>
      <c r="O516" s="2" t="s">
        <v>18</v>
      </c>
      <c r="P516" s="2">
        <v>100</v>
      </c>
      <c r="Q516" s="2">
        <v>0</v>
      </c>
      <c r="R516" s="2" t="s">
        <v>74</v>
      </c>
      <c r="S516" s="2">
        <v>200</v>
      </c>
      <c r="T516" s="2">
        <v>6.16</v>
      </c>
      <c r="U516" s="398">
        <v>1232</v>
      </c>
      <c r="V516" s="7">
        <v>1575.2435943702633</v>
      </c>
      <c r="W516" s="7" t="s">
        <v>660</v>
      </c>
    </row>
    <row r="517" spans="1:23" x14ac:dyDescent="0.35">
      <c r="A517" s="2">
        <v>75</v>
      </c>
      <c r="B517" s="109" t="s">
        <v>76</v>
      </c>
      <c r="C517" s="110" t="s">
        <v>77</v>
      </c>
      <c r="D517" s="2">
        <v>200</v>
      </c>
      <c r="E517" s="51">
        <v>7.8762179718513172</v>
      </c>
      <c r="F517" s="105"/>
      <c r="G517" s="51">
        <v>0</v>
      </c>
      <c r="H517" s="2"/>
      <c r="I517" s="2">
        <v>17</v>
      </c>
      <c r="J517" s="2">
        <v>0</v>
      </c>
      <c r="K517" s="2">
        <v>0</v>
      </c>
      <c r="L517" s="2">
        <v>97.5</v>
      </c>
      <c r="M517" s="2">
        <v>110</v>
      </c>
      <c r="N517" s="244">
        <v>0.54393279999999999</v>
      </c>
      <c r="O517" s="2" t="s">
        <v>18</v>
      </c>
      <c r="P517" s="2">
        <v>100</v>
      </c>
      <c r="Q517" s="2">
        <v>0</v>
      </c>
      <c r="R517" s="2" t="s">
        <v>76</v>
      </c>
      <c r="S517" s="2">
        <v>200</v>
      </c>
      <c r="T517" s="2">
        <v>6.16</v>
      </c>
      <c r="U517" s="398">
        <v>1232</v>
      </c>
      <c r="V517" s="7">
        <v>1575.2435943702633</v>
      </c>
      <c r="W517" s="7" t="s">
        <v>660</v>
      </c>
    </row>
    <row r="518" spans="1:23" x14ac:dyDescent="0.35">
      <c r="A518" s="2">
        <v>75</v>
      </c>
      <c r="B518" s="109" t="s">
        <v>78</v>
      </c>
      <c r="C518" s="110" t="s">
        <v>79</v>
      </c>
      <c r="D518" s="2">
        <v>200</v>
      </c>
      <c r="E518" s="51">
        <v>7.8762179718513172</v>
      </c>
      <c r="F518" s="105"/>
      <c r="G518" s="51">
        <v>0</v>
      </c>
      <c r="H518" s="2"/>
      <c r="I518" s="2">
        <v>17</v>
      </c>
      <c r="J518" s="2">
        <v>0</v>
      </c>
      <c r="K518" s="2">
        <v>0</v>
      </c>
      <c r="L518" s="2">
        <v>97.5</v>
      </c>
      <c r="M518" s="2">
        <v>110</v>
      </c>
      <c r="N518" s="244">
        <v>0.54393279999999999</v>
      </c>
      <c r="O518" s="2" t="s">
        <v>18</v>
      </c>
      <c r="P518" s="2">
        <v>100</v>
      </c>
      <c r="Q518" s="2">
        <v>0</v>
      </c>
      <c r="R518" s="2" t="s">
        <v>78</v>
      </c>
      <c r="S518" s="2">
        <v>200</v>
      </c>
      <c r="T518" s="2">
        <v>6.16</v>
      </c>
      <c r="U518" s="398">
        <v>1232</v>
      </c>
      <c r="V518" s="7">
        <v>1575.2435943702633</v>
      </c>
      <c r="W518" s="7" t="s">
        <v>660</v>
      </c>
    </row>
    <row r="519" spans="1:23" x14ac:dyDescent="0.35">
      <c r="A519" s="2">
        <v>77</v>
      </c>
      <c r="B519" s="109" t="s">
        <v>91</v>
      </c>
      <c r="C519" s="110" t="s">
        <v>92</v>
      </c>
      <c r="D519" s="2">
        <v>300</v>
      </c>
      <c r="E519" s="51">
        <v>8.5515208508625751</v>
      </c>
      <c r="F519" s="105"/>
      <c r="G519" s="51">
        <v>0</v>
      </c>
      <c r="H519" s="2">
        <v>25</v>
      </c>
      <c r="I519" s="2">
        <v>13</v>
      </c>
      <c r="J519" s="2">
        <v>0</v>
      </c>
      <c r="K519" s="2">
        <v>2</v>
      </c>
      <c r="L519" s="2">
        <v>101.83333333333333</v>
      </c>
      <c r="M519" s="2">
        <v>111.44791666666667</v>
      </c>
      <c r="N519" s="244">
        <v>0.30395624999999993</v>
      </c>
      <c r="O519" s="2" t="s">
        <v>934</v>
      </c>
      <c r="P519" s="2">
        <v>100</v>
      </c>
      <c r="Q519" s="2" t="s">
        <v>55</v>
      </c>
      <c r="R519" s="2" t="s">
        <v>91</v>
      </c>
      <c r="S519" s="2"/>
      <c r="T519" s="2">
        <v>5</v>
      </c>
      <c r="U519" s="398">
        <v>1500</v>
      </c>
      <c r="V519" s="7">
        <v>2565.4562552587727</v>
      </c>
      <c r="W519" s="7" t="s">
        <v>660</v>
      </c>
    </row>
    <row r="520" spans="1:23" x14ac:dyDescent="0.35">
      <c r="A520" s="2">
        <v>77</v>
      </c>
      <c r="B520" s="109" t="s">
        <v>93</v>
      </c>
      <c r="C520" s="110" t="s">
        <v>94</v>
      </c>
      <c r="D520" s="2">
        <v>300</v>
      </c>
      <c r="E520" s="51">
        <v>8.5515208508625751</v>
      </c>
      <c r="F520" s="105"/>
      <c r="G520" s="51">
        <v>0</v>
      </c>
      <c r="H520" s="2">
        <v>25</v>
      </c>
      <c r="I520" s="2">
        <v>13</v>
      </c>
      <c r="J520" s="2">
        <v>0</v>
      </c>
      <c r="K520" s="2">
        <v>2</v>
      </c>
      <c r="L520" s="2">
        <v>101.83333333333333</v>
      </c>
      <c r="M520" s="2">
        <v>111.44791666666667</v>
      </c>
      <c r="N520" s="244">
        <v>0.30395624999999993</v>
      </c>
      <c r="O520" s="2" t="s">
        <v>934</v>
      </c>
      <c r="P520" s="2">
        <v>100</v>
      </c>
      <c r="Q520" s="2" t="s">
        <v>55</v>
      </c>
      <c r="R520" s="2" t="s">
        <v>93</v>
      </c>
      <c r="S520" s="2"/>
      <c r="T520" s="2">
        <v>5</v>
      </c>
      <c r="U520" s="398">
        <v>1500</v>
      </c>
      <c r="V520" s="7">
        <v>2565.4562552587727</v>
      </c>
      <c r="W520" s="7" t="s">
        <v>660</v>
      </c>
    </row>
    <row r="521" spans="1:23" x14ac:dyDescent="0.35">
      <c r="A521" s="2">
        <v>77</v>
      </c>
      <c r="B521" s="109" t="s">
        <v>95</v>
      </c>
      <c r="C521" s="110" t="s">
        <v>96</v>
      </c>
      <c r="D521" s="2">
        <v>300</v>
      </c>
      <c r="E521" s="51">
        <v>8.5515208508625751</v>
      </c>
      <c r="F521" s="105"/>
      <c r="G521" s="51">
        <v>0</v>
      </c>
      <c r="H521" s="2">
        <v>25</v>
      </c>
      <c r="I521" s="2">
        <v>13</v>
      </c>
      <c r="J521" s="2">
        <v>0</v>
      </c>
      <c r="K521" s="2">
        <v>2</v>
      </c>
      <c r="L521" s="2">
        <v>101.83333333333333</v>
      </c>
      <c r="M521" s="2">
        <v>111.44791666666667</v>
      </c>
      <c r="N521" s="244">
        <v>0.30395624999999993</v>
      </c>
      <c r="O521" s="2" t="s">
        <v>934</v>
      </c>
      <c r="P521" s="2">
        <v>100</v>
      </c>
      <c r="Q521" s="2" t="s">
        <v>55</v>
      </c>
      <c r="R521" s="2" t="s">
        <v>95</v>
      </c>
      <c r="S521" s="2"/>
      <c r="T521" s="2">
        <v>5</v>
      </c>
      <c r="U521" s="398">
        <v>1500</v>
      </c>
      <c r="V521" s="7">
        <v>2565.4562552587727</v>
      </c>
      <c r="W521" s="7" t="s">
        <v>660</v>
      </c>
    </row>
    <row r="522" spans="1:23" x14ac:dyDescent="0.35">
      <c r="A522" s="2">
        <v>77</v>
      </c>
      <c r="B522" s="109" t="s">
        <v>97</v>
      </c>
      <c r="C522" s="110" t="s">
        <v>98</v>
      </c>
      <c r="D522" s="2">
        <v>300</v>
      </c>
      <c r="E522" s="51">
        <v>8.5515208508625751</v>
      </c>
      <c r="F522" s="105"/>
      <c r="G522" s="51">
        <v>0</v>
      </c>
      <c r="H522" s="2">
        <v>25</v>
      </c>
      <c r="I522" s="2">
        <v>13</v>
      </c>
      <c r="J522" s="2">
        <v>0</v>
      </c>
      <c r="K522" s="2">
        <v>2</v>
      </c>
      <c r="L522" s="2">
        <v>101.83333333333333</v>
      </c>
      <c r="M522" s="2">
        <v>111.44791666666667</v>
      </c>
      <c r="N522" s="244">
        <v>0.30395624999999993</v>
      </c>
      <c r="O522" s="2" t="s">
        <v>934</v>
      </c>
      <c r="P522" s="2">
        <v>100</v>
      </c>
      <c r="Q522" s="2" t="s">
        <v>55</v>
      </c>
      <c r="R522" s="2" t="s">
        <v>97</v>
      </c>
      <c r="S522" s="2"/>
      <c r="T522" s="2">
        <v>5</v>
      </c>
      <c r="U522" s="398">
        <v>1500</v>
      </c>
      <c r="V522" s="7">
        <v>2565.4562552587727</v>
      </c>
      <c r="W522" s="7" t="s">
        <v>660</v>
      </c>
    </row>
    <row r="523" spans="1:23" x14ac:dyDescent="0.35">
      <c r="A523" s="2">
        <v>77</v>
      </c>
      <c r="B523" s="109" t="s">
        <v>99</v>
      </c>
      <c r="C523" s="110" t="s">
        <v>100</v>
      </c>
      <c r="D523" s="2">
        <v>300</v>
      </c>
      <c r="E523" s="51">
        <v>8.5515208508625751</v>
      </c>
      <c r="F523" s="105"/>
      <c r="G523" s="51">
        <v>0</v>
      </c>
      <c r="H523" s="2">
        <v>25</v>
      </c>
      <c r="I523" s="2">
        <v>13</v>
      </c>
      <c r="J523" s="2">
        <v>0</v>
      </c>
      <c r="K523" s="2">
        <v>2</v>
      </c>
      <c r="L523" s="2">
        <v>93.03125</v>
      </c>
      <c r="M523" s="2">
        <v>102.37499999999999</v>
      </c>
      <c r="N523" s="244">
        <v>0.34064062499999992</v>
      </c>
      <c r="O523" s="2" t="s">
        <v>934</v>
      </c>
      <c r="P523" s="2">
        <v>100</v>
      </c>
      <c r="Q523" s="2" t="s">
        <v>55</v>
      </c>
      <c r="R523" s="2" t="s">
        <v>99</v>
      </c>
      <c r="S523" s="2"/>
      <c r="T523" s="2">
        <v>5</v>
      </c>
      <c r="U523" s="398">
        <v>1500</v>
      </c>
      <c r="V523" s="7">
        <v>2565.4562552587727</v>
      </c>
      <c r="W523" s="7" t="s">
        <v>660</v>
      </c>
    </row>
    <row r="524" spans="1:23" x14ac:dyDescent="0.35">
      <c r="A524" s="2">
        <v>77</v>
      </c>
      <c r="B524" s="109" t="s">
        <v>101</v>
      </c>
      <c r="C524" s="110" t="s">
        <v>102</v>
      </c>
      <c r="D524" s="2">
        <v>300</v>
      </c>
      <c r="E524" s="51">
        <v>8.5515208508625751</v>
      </c>
      <c r="F524" s="105"/>
      <c r="G524" s="51">
        <v>0</v>
      </c>
      <c r="H524" s="2">
        <v>25</v>
      </c>
      <c r="I524" s="2">
        <v>13</v>
      </c>
      <c r="J524" s="2">
        <v>0</v>
      </c>
      <c r="K524" s="2">
        <v>2</v>
      </c>
      <c r="L524" s="2">
        <v>93.03125</v>
      </c>
      <c r="M524" s="2">
        <v>102.37499999999999</v>
      </c>
      <c r="N524" s="244">
        <v>0.34064062499999992</v>
      </c>
      <c r="O524" s="2" t="s">
        <v>934</v>
      </c>
      <c r="P524" s="2">
        <v>100</v>
      </c>
      <c r="Q524" s="2" t="s">
        <v>55</v>
      </c>
      <c r="R524" s="2" t="s">
        <v>101</v>
      </c>
      <c r="S524" s="2"/>
      <c r="T524" s="2">
        <v>5</v>
      </c>
      <c r="U524" s="398">
        <v>1500</v>
      </c>
      <c r="V524" s="7">
        <v>2565.4562552587727</v>
      </c>
      <c r="W524" s="7" t="s">
        <v>660</v>
      </c>
    </row>
    <row r="525" spans="1:23" x14ac:dyDescent="0.35">
      <c r="A525" s="2">
        <v>77</v>
      </c>
      <c r="B525" s="109" t="s">
        <v>103</v>
      </c>
      <c r="C525" s="110" t="s">
        <v>104</v>
      </c>
      <c r="D525" s="2">
        <v>300</v>
      </c>
      <c r="E525" s="51">
        <v>8.5515208508625751</v>
      </c>
      <c r="F525" s="105"/>
      <c r="G525" s="51">
        <v>0</v>
      </c>
      <c r="H525" s="2">
        <v>25</v>
      </c>
      <c r="I525" s="2">
        <v>13</v>
      </c>
      <c r="J525" s="2">
        <v>0</v>
      </c>
      <c r="K525" s="2">
        <v>2</v>
      </c>
      <c r="L525" s="2">
        <v>93.03125</v>
      </c>
      <c r="M525" s="2">
        <v>102.37499999999999</v>
      </c>
      <c r="N525" s="244">
        <v>0.34064062499999992</v>
      </c>
      <c r="O525" s="2" t="s">
        <v>934</v>
      </c>
      <c r="P525" s="2">
        <v>100</v>
      </c>
      <c r="Q525" s="2" t="s">
        <v>55</v>
      </c>
      <c r="R525" s="2" t="s">
        <v>103</v>
      </c>
      <c r="S525" s="2"/>
      <c r="T525" s="2">
        <v>5</v>
      </c>
      <c r="U525" s="398">
        <v>1500</v>
      </c>
      <c r="V525" s="7">
        <v>2565.4562552587727</v>
      </c>
      <c r="W525" s="7" t="s">
        <v>660</v>
      </c>
    </row>
    <row r="526" spans="1:23" x14ac:dyDescent="0.35">
      <c r="A526" s="2">
        <v>77</v>
      </c>
      <c r="B526" s="109" t="s">
        <v>107</v>
      </c>
      <c r="C526" s="110" t="s">
        <v>109</v>
      </c>
      <c r="D526" s="2">
        <v>280</v>
      </c>
      <c r="E526" s="51">
        <v>14.234203517030632</v>
      </c>
      <c r="F526" s="105"/>
      <c r="G526" s="51">
        <v>0</v>
      </c>
      <c r="H526" s="2">
        <v>23</v>
      </c>
      <c r="I526" s="2">
        <v>12</v>
      </c>
      <c r="J526" s="2">
        <v>0</v>
      </c>
      <c r="K526" s="2">
        <v>1</v>
      </c>
      <c r="L526" s="2">
        <v>119.685</v>
      </c>
      <c r="M526" s="2">
        <v>124.98750000000001</v>
      </c>
      <c r="N526" s="244">
        <v>0.21838093750000001</v>
      </c>
      <c r="O526" s="2" t="s">
        <v>108</v>
      </c>
      <c r="P526" s="2">
        <v>100</v>
      </c>
      <c r="Q526" s="2" t="s">
        <v>55</v>
      </c>
      <c r="R526" s="2" t="s">
        <v>107</v>
      </c>
      <c r="S526" s="2"/>
      <c r="T526" s="2">
        <v>11.68</v>
      </c>
      <c r="U526" s="398">
        <v>3270.4</v>
      </c>
      <c r="V526" s="7">
        <v>3985.5769847685769</v>
      </c>
      <c r="W526" s="7" t="s">
        <v>660</v>
      </c>
    </row>
    <row r="527" spans="1:23" x14ac:dyDescent="0.35">
      <c r="A527" s="2">
        <v>77</v>
      </c>
      <c r="B527" s="109" t="s">
        <v>114</v>
      </c>
      <c r="C527" s="110" t="s">
        <v>115</v>
      </c>
      <c r="D527" s="2">
        <v>280</v>
      </c>
      <c r="E527" s="51">
        <v>14.234203517030632</v>
      </c>
      <c r="F527" s="105"/>
      <c r="G527" s="51">
        <v>0</v>
      </c>
      <c r="H527" s="2">
        <v>24</v>
      </c>
      <c r="I527" s="2">
        <v>12</v>
      </c>
      <c r="J527" s="2">
        <v>0</v>
      </c>
      <c r="K527" s="2">
        <v>1</v>
      </c>
      <c r="L527" s="2">
        <v>120.08</v>
      </c>
      <c r="M527" s="2">
        <v>125.4</v>
      </c>
      <c r="N527" s="244">
        <v>0.21910166666666667</v>
      </c>
      <c r="O527" s="2" t="s">
        <v>108</v>
      </c>
      <c r="P527" s="2">
        <v>100</v>
      </c>
      <c r="Q527" s="2" t="s">
        <v>55</v>
      </c>
      <c r="R527" s="2" t="s">
        <v>114</v>
      </c>
      <c r="S527" s="2"/>
      <c r="T527" s="2">
        <v>11.68</v>
      </c>
      <c r="U527" s="398">
        <v>3270.4</v>
      </c>
      <c r="V527" s="7">
        <v>3985.5769847685769</v>
      </c>
      <c r="W527" s="7" t="s">
        <v>660</v>
      </c>
    </row>
    <row r="528" spans="1:23" x14ac:dyDescent="0.35">
      <c r="A528" s="2">
        <v>77</v>
      </c>
      <c r="B528" s="109" t="s">
        <v>122</v>
      </c>
      <c r="C528" s="110" t="s">
        <v>123</v>
      </c>
      <c r="D528" s="2">
        <v>180</v>
      </c>
      <c r="E528" s="51">
        <v>14.234203517030632</v>
      </c>
      <c r="F528" s="105"/>
      <c r="G528" s="51">
        <v>0</v>
      </c>
      <c r="H528" s="2">
        <v>15</v>
      </c>
      <c r="I528" s="2">
        <v>8</v>
      </c>
      <c r="J528" s="2">
        <v>0</v>
      </c>
      <c r="K528" s="2">
        <v>1</v>
      </c>
      <c r="L528" s="2">
        <v>74.099999999999994</v>
      </c>
      <c r="M528" s="2">
        <v>77.1875</v>
      </c>
      <c r="N528" s="244">
        <v>0.14244140625000001</v>
      </c>
      <c r="O528" s="2" t="s">
        <v>108</v>
      </c>
      <c r="P528" s="2">
        <v>100</v>
      </c>
      <c r="Q528" s="2" t="s">
        <v>55</v>
      </c>
      <c r="R528" s="2" t="s">
        <v>122</v>
      </c>
      <c r="S528" s="2"/>
      <c r="T528" s="2">
        <v>11.68</v>
      </c>
      <c r="U528" s="398">
        <v>2102.4</v>
      </c>
      <c r="V528" s="7">
        <v>2562.1566330655137</v>
      </c>
      <c r="W528" s="7" t="s">
        <v>660</v>
      </c>
    </row>
    <row r="529" spans="1:23" x14ac:dyDescent="0.35">
      <c r="A529" s="2">
        <v>78</v>
      </c>
      <c r="B529" s="109" t="s">
        <v>179</v>
      </c>
      <c r="C529" s="110" t="s">
        <v>181</v>
      </c>
      <c r="D529" s="2">
        <v>2207</v>
      </c>
      <c r="E529" s="51">
        <v>0.93</v>
      </c>
      <c r="F529" s="105"/>
      <c r="H529" s="2"/>
      <c r="I529" s="2">
        <v>184</v>
      </c>
      <c r="J529" s="2">
        <v>0</v>
      </c>
      <c r="K529" s="2">
        <v>0</v>
      </c>
      <c r="L529" s="2">
        <v>231.73499999999999</v>
      </c>
      <c r="M529" s="2">
        <v>231.73499999999999</v>
      </c>
      <c r="N529" s="244">
        <v>0.56485406250000003</v>
      </c>
      <c r="O529" s="2" t="s">
        <v>180</v>
      </c>
      <c r="P529" s="2">
        <v>0</v>
      </c>
      <c r="Q529" s="2" t="s">
        <v>151</v>
      </c>
      <c r="R529" s="2" t="s">
        <v>179</v>
      </c>
      <c r="S529" s="2"/>
      <c r="T529" s="2">
        <v>0.93</v>
      </c>
      <c r="U529" s="398">
        <v>2052.5100000000002</v>
      </c>
      <c r="V529" s="7">
        <v>2052.5100000000002</v>
      </c>
      <c r="W529" s="7" t="s">
        <v>660</v>
      </c>
    </row>
    <row r="530" spans="1:23" x14ac:dyDescent="0.35">
      <c r="A530" s="2">
        <v>78</v>
      </c>
      <c r="B530" s="109" t="s">
        <v>184</v>
      </c>
      <c r="C530" s="110" t="s">
        <v>185</v>
      </c>
      <c r="D530" s="2">
        <v>468</v>
      </c>
      <c r="E530" s="51">
        <v>0.93</v>
      </c>
      <c r="F530" s="105"/>
      <c r="H530" s="2"/>
      <c r="I530" s="2">
        <v>39</v>
      </c>
      <c r="J530" s="2">
        <v>0</v>
      </c>
      <c r="K530" s="2">
        <v>0</v>
      </c>
      <c r="L530" s="2">
        <v>49.14</v>
      </c>
      <c r="M530" s="2">
        <v>49.14</v>
      </c>
      <c r="N530" s="244">
        <v>0.11977875</v>
      </c>
      <c r="O530" s="2" t="s">
        <v>180</v>
      </c>
      <c r="P530" s="2">
        <v>0</v>
      </c>
      <c r="Q530" s="2" t="s">
        <v>151</v>
      </c>
      <c r="R530" s="2" t="s">
        <v>184</v>
      </c>
      <c r="S530" s="2"/>
      <c r="T530" s="2">
        <v>0.93</v>
      </c>
      <c r="U530" s="398">
        <v>435.24</v>
      </c>
      <c r="V530" s="7">
        <v>435.24</v>
      </c>
      <c r="W530" s="7" t="s">
        <v>660</v>
      </c>
    </row>
    <row r="531" spans="1:23" x14ac:dyDescent="0.35">
      <c r="A531" s="2">
        <v>78</v>
      </c>
      <c r="B531" s="109" t="s">
        <v>186</v>
      </c>
      <c r="C531" s="110" t="s">
        <v>187</v>
      </c>
      <c r="D531" s="2">
        <v>4361</v>
      </c>
      <c r="E531" s="51">
        <v>0.93</v>
      </c>
      <c r="F531" s="105"/>
      <c r="H531" s="2"/>
      <c r="I531" s="2">
        <v>364</v>
      </c>
      <c r="J531" s="2">
        <v>0</v>
      </c>
      <c r="K531" s="2">
        <v>0</v>
      </c>
      <c r="L531" s="2">
        <v>457.90500000000003</v>
      </c>
      <c r="M531" s="2">
        <v>457.90500000000003</v>
      </c>
      <c r="N531" s="244">
        <v>1.1161434374999999</v>
      </c>
      <c r="O531" s="2" t="s">
        <v>180</v>
      </c>
      <c r="P531" s="2">
        <v>0</v>
      </c>
      <c r="Q531" s="2" t="s">
        <v>151</v>
      </c>
      <c r="R531" s="2" t="s">
        <v>186</v>
      </c>
      <c r="S531" s="2"/>
      <c r="T531" s="2">
        <v>0.93</v>
      </c>
      <c r="U531" s="398">
        <v>4055.73</v>
      </c>
      <c r="V531" s="7">
        <v>4055.73</v>
      </c>
      <c r="W531" s="7" t="s">
        <v>660</v>
      </c>
    </row>
    <row r="532" spans="1:23" x14ac:dyDescent="0.35">
      <c r="A532" s="2">
        <v>79</v>
      </c>
      <c r="B532" s="109" t="s">
        <v>54</v>
      </c>
      <c r="C532" s="110" t="s">
        <v>56</v>
      </c>
      <c r="D532" s="2">
        <v>342</v>
      </c>
      <c r="E532" s="51">
        <v>4.4139999999999997</v>
      </c>
      <c r="F532" s="105"/>
      <c r="H532" s="2"/>
      <c r="I532" s="2">
        <v>15</v>
      </c>
      <c r="J532" s="2">
        <v>0</v>
      </c>
      <c r="K532" s="2">
        <v>0</v>
      </c>
      <c r="L532" s="2">
        <v>68.399999999999991</v>
      </c>
      <c r="M532" s="2">
        <v>74.100000000000009</v>
      </c>
      <c r="N532" s="244">
        <v>0.205734375</v>
      </c>
      <c r="O532" s="2" t="s">
        <v>934</v>
      </c>
      <c r="P532" s="2">
        <v>50</v>
      </c>
      <c r="Q532" s="2" t="s">
        <v>55</v>
      </c>
      <c r="R532" s="2" t="s">
        <v>54</v>
      </c>
      <c r="S532" s="2"/>
      <c r="T532" s="2" t="s">
        <v>861</v>
      </c>
      <c r="U532" s="398" t="s">
        <v>861</v>
      </c>
      <c r="V532" s="7">
        <v>1509.588</v>
      </c>
      <c r="W532" s="7" t="s">
        <v>1084</v>
      </c>
    </row>
    <row r="533" spans="1:23" x14ac:dyDescent="0.35">
      <c r="A533" s="2">
        <v>81</v>
      </c>
      <c r="B533" s="109" t="s">
        <v>54</v>
      </c>
      <c r="C533" s="110" t="s">
        <v>56</v>
      </c>
      <c r="D533" s="2">
        <v>342</v>
      </c>
      <c r="E533" s="51">
        <v>4.4139999999999997</v>
      </c>
      <c r="F533" s="105"/>
      <c r="H533" s="2"/>
      <c r="I533" s="2">
        <v>15</v>
      </c>
      <c r="J533" s="2">
        <v>0</v>
      </c>
      <c r="K533" s="2">
        <v>0</v>
      </c>
      <c r="L533" s="2">
        <v>68.399999999999991</v>
      </c>
      <c r="M533" s="2">
        <v>74.100000000000009</v>
      </c>
      <c r="N533" s="244">
        <v>0.205734375</v>
      </c>
      <c r="O533" s="2" t="s">
        <v>934</v>
      </c>
      <c r="P533" s="2">
        <v>50</v>
      </c>
      <c r="Q533" s="2" t="s">
        <v>55</v>
      </c>
      <c r="R533" s="2" t="s">
        <v>54</v>
      </c>
      <c r="S533" s="2"/>
      <c r="T533" s="2" t="s">
        <v>861</v>
      </c>
      <c r="U533" s="398" t="s">
        <v>861</v>
      </c>
      <c r="V533" s="7">
        <v>1509.588</v>
      </c>
      <c r="W533" s="7" t="s">
        <v>1084</v>
      </c>
    </row>
    <row r="534" spans="1:23" x14ac:dyDescent="0.35">
      <c r="A534" s="2">
        <v>82</v>
      </c>
      <c r="B534" s="109" t="s">
        <v>23</v>
      </c>
      <c r="C534" s="110" t="s">
        <v>24</v>
      </c>
      <c r="D534" s="2">
        <v>48</v>
      </c>
      <c r="E534" s="51">
        <v>5.78</v>
      </c>
      <c r="F534" s="105"/>
      <c r="H534" s="2"/>
      <c r="I534" s="2">
        <v>4</v>
      </c>
      <c r="J534" s="2">
        <v>0</v>
      </c>
      <c r="K534" s="2">
        <v>0</v>
      </c>
      <c r="L534" s="2">
        <v>20.16</v>
      </c>
      <c r="M534" s="2">
        <v>23.16</v>
      </c>
      <c r="N534" s="244">
        <v>0.112332</v>
      </c>
      <c r="O534" s="2" t="s">
        <v>18</v>
      </c>
      <c r="P534" s="2">
        <v>50</v>
      </c>
      <c r="Q534" s="2">
        <v>0</v>
      </c>
      <c r="R534" s="2" t="s">
        <v>23</v>
      </c>
      <c r="S534" s="2">
        <v>48</v>
      </c>
      <c r="T534" s="2">
        <v>5.23</v>
      </c>
      <c r="U534" s="398">
        <v>251.04000000000002</v>
      </c>
      <c r="V534" s="7">
        <v>277.44</v>
      </c>
      <c r="W534" s="7" t="s">
        <v>660</v>
      </c>
    </row>
    <row r="535" spans="1:23" x14ac:dyDescent="0.35">
      <c r="A535" s="2">
        <v>82</v>
      </c>
      <c r="B535" s="109" t="s">
        <v>25</v>
      </c>
      <c r="C535" s="110" t="s">
        <v>26</v>
      </c>
      <c r="D535" s="2">
        <v>72</v>
      </c>
      <c r="E535" s="51">
        <v>5.78</v>
      </c>
      <c r="F535" s="105"/>
      <c r="H535" s="2"/>
      <c r="I535" s="2">
        <v>6</v>
      </c>
      <c r="J535" s="2">
        <v>0</v>
      </c>
      <c r="K535" s="2">
        <v>0</v>
      </c>
      <c r="L535" s="2">
        <v>30.240000000000002</v>
      </c>
      <c r="M535" s="2">
        <v>34.74</v>
      </c>
      <c r="N535" s="244">
        <v>0.16849800000000001</v>
      </c>
      <c r="O535" s="2" t="s">
        <v>18</v>
      </c>
      <c r="P535" s="2">
        <v>50</v>
      </c>
      <c r="Q535" s="2">
        <v>0</v>
      </c>
      <c r="R535" s="2" t="s">
        <v>25</v>
      </c>
      <c r="S535" s="2">
        <v>72</v>
      </c>
      <c r="T535" s="2">
        <v>5.23</v>
      </c>
      <c r="U535" s="398">
        <v>376.56000000000006</v>
      </c>
      <c r="V535" s="7">
        <v>416.16</v>
      </c>
      <c r="W535" s="7" t="s">
        <v>660</v>
      </c>
    </row>
    <row r="536" spans="1:23" x14ac:dyDescent="0.35">
      <c r="A536" s="2">
        <v>82</v>
      </c>
      <c r="B536" s="109" t="s">
        <v>27</v>
      </c>
      <c r="C536" s="110" t="s">
        <v>28</v>
      </c>
      <c r="D536" s="2">
        <v>72</v>
      </c>
      <c r="E536" s="51">
        <v>5.78</v>
      </c>
      <c r="F536" s="105"/>
      <c r="H536" s="2"/>
      <c r="I536" s="2">
        <v>6</v>
      </c>
      <c r="J536" s="2">
        <v>0</v>
      </c>
      <c r="K536" s="2">
        <v>0</v>
      </c>
      <c r="L536" s="2">
        <v>30.240000000000002</v>
      </c>
      <c r="M536" s="2">
        <v>34.74</v>
      </c>
      <c r="N536" s="244">
        <v>0.16849800000000001</v>
      </c>
      <c r="O536" s="2" t="s">
        <v>18</v>
      </c>
      <c r="P536" s="2">
        <v>50</v>
      </c>
      <c r="Q536" s="2">
        <v>0</v>
      </c>
      <c r="R536" s="2" t="s">
        <v>27</v>
      </c>
      <c r="S536" s="2">
        <v>72</v>
      </c>
      <c r="T536" s="2">
        <v>5.23</v>
      </c>
      <c r="U536" s="398">
        <v>376.56000000000006</v>
      </c>
      <c r="V536" s="7">
        <v>416.16</v>
      </c>
      <c r="W536" s="7" t="s">
        <v>660</v>
      </c>
    </row>
    <row r="537" spans="1:23" x14ac:dyDescent="0.35">
      <c r="A537" s="2">
        <v>82</v>
      </c>
      <c r="B537" s="109" t="s">
        <v>29</v>
      </c>
      <c r="C537" s="110" t="s">
        <v>31</v>
      </c>
      <c r="D537" s="2">
        <v>36</v>
      </c>
      <c r="E537" s="51">
        <v>5.78</v>
      </c>
      <c r="F537" s="105"/>
      <c r="H537" s="2"/>
      <c r="I537" s="2">
        <v>3</v>
      </c>
      <c r="J537" s="2">
        <v>0</v>
      </c>
      <c r="K537" s="2">
        <v>0</v>
      </c>
      <c r="L537" s="2">
        <v>14.34</v>
      </c>
      <c r="M537" s="2">
        <v>15.75</v>
      </c>
      <c r="N537" s="244">
        <v>8.4249000000000004E-2</v>
      </c>
      <c r="O537" s="2" t="s">
        <v>18</v>
      </c>
      <c r="P537" s="2">
        <v>50</v>
      </c>
      <c r="Q537" s="2">
        <v>0</v>
      </c>
      <c r="R537" s="2" t="s">
        <v>29</v>
      </c>
      <c r="S537" s="2">
        <v>36</v>
      </c>
      <c r="T537" s="2">
        <v>5.23</v>
      </c>
      <c r="U537" s="398">
        <v>188.28000000000003</v>
      </c>
      <c r="V537" s="7">
        <v>208.08</v>
      </c>
      <c r="W537" s="7" t="s">
        <v>660</v>
      </c>
    </row>
    <row r="538" spans="1:23" x14ac:dyDescent="0.35">
      <c r="A538" s="2">
        <v>82</v>
      </c>
      <c r="B538" s="109" t="s">
        <v>32</v>
      </c>
      <c r="C538" s="110" t="s">
        <v>33</v>
      </c>
      <c r="D538" s="2">
        <v>48</v>
      </c>
      <c r="E538" s="51">
        <v>5.78</v>
      </c>
      <c r="F538" s="105"/>
      <c r="H538" s="2"/>
      <c r="I538" s="2">
        <v>4</v>
      </c>
      <c r="J538" s="2">
        <v>0</v>
      </c>
      <c r="K538" s="2">
        <v>0</v>
      </c>
      <c r="L538" s="2">
        <v>19.12</v>
      </c>
      <c r="M538" s="2">
        <v>21</v>
      </c>
      <c r="N538" s="244">
        <v>0.112332</v>
      </c>
      <c r="O538" s="2" t="s">
        <v>18</v>
      </c>
      <c r="P538" s="2">
        <v>50</v>
      </c>
      <c r="Q538" s="2">
        <v>0</v>
      </c>
      <c r="R538" s="2" t="s">
        <v>32</v>
      </c>
      <c r="S538" s="2">
        <v>48</v>
      </c>
      <c r="T538" s="2">
        <v>5.23</v>
      </c>
      <c r="U538" s="398">
        <v>251.04000000000002</v>
      </c>
      <c r="V538" s="7">
        <v>277.44</v>
      </c>
      <c r="W538" s="7" t="s">
        <v>660</v>
      </c>
    </row>
    <row r="539" spans="1:23" x14ac:dyDescent="0.35">
      <c r="A539" s="2">
        <v>82</v>
      </c>
      <c r="B539" s="109" t="s">
        <v>34</v>
      </c>
      <c r="C539" s="110" t="s">
        <v>35</v>
      </c>
      <c r="D539" s="2">
        <v>24</v>
      </c>
      <c r="E539" s="51">
        <v>5.78</v>
      </c>
      <c r="F539" s="105"/>
      <c r="H539" s="2"/>
      <c r="I539" s="2">
        <v>2</v>
      </c>
      <c r="J539" s="2">
        <v>0</v>
      </c>
      <c r="K539" s="2">
        <v>0</v>
      </c>
      <c r="L539" s="2">
        <v>9.56</v>
      </c>
      <c r="M539" s="2">
        <v>10.5</v>
      </c>
      <c r="N539" s="244">
        <v>5.6166000000000001E-2</v>
      </c>
      <c r="O539" s="2" t="s">
        <v>18</v>
      </c>
      <c r="P539" s="2">
        <v>50</v>
      </c>
      <c r="Q539" s="2">
        <v>0</v>
      </c>
      <c r="R539" s="2" t="s">
        <v>34</v>
      </c>
      <c r="S539" s="2">
        <v>24</v>
      </c>
      <c r="T539" s="2">
        <v>5.23</v>
      </c>
      <c r="U539" s="398">
        <v>125.52000000000001</v>
      </c>
      <c r="V539" s="7">
        <v>138.72</v>
      </c>
      <c r="W539" s="7" t="s">
        <v>660</v>
      </c>
    </row>
    <row r="540" spans="1:23" x14ac:dyDescent="0.35">
      <c r="A540" s="2">
        <v>82</v>
      </c>
      <c r="B540" s="109" t="s">
        <v>36</v>
      </c>
      <c r="C540" s="110" t="s">
        <v>37</v>
      </c>
      <c r="D540" s="2">
        <v>24</v>
      </c>
      <c r="E540" s="51">
        <v>5.78</v>
      </c>
      <c r="F540" s="105"/>
      <c r="H540" s="2"/>
      <c r="I540" s="2">
        <v>2</v>
      </c>
      <c r="J540" s="2">
        <v>0</v>
      </c>
      <c r="K540" s="2">
        <v>0</v>
      </c>
      <c r="L540" s="2">
        <v>9.56</v>
      </c>
      <c r="M540" s="2">
        <v>10.5</v>
      </c>
      <c r="N540" s="244">
        <v>5.6166000000000001E-2</v>
      </c>
      <c r="O540" s="2" t="s">
        <v>18</v>
      </c>
      <c r="P540" s="2">
        <v>50</v>
      </c>
      <c r="Q540" s="2">
        <v>0</v>
      </c>
      <c r="R540" s="2" t="s">
        <v>36</v>
      </c>
      <c r="S540" s="2">
        <v>24</v>
      </c>
      <c r="T540" s="2">
        <v>5.23</v>
      </c>
      <c r="U540" s="398">
        <v>125.52000000000001</v>
      </c>
      <c r="V540" s="7">
        <v>138.72</v>
      </c>
      <c r="W540" s="7" t="s">
        <v>660</v>
      </c>
    </row>
    <row r="541" spans="1:23" x14ac:dyDescent="0.35">
      <c r="A541" s="2">
        <v>82</v>
      </c>
      <c r="B541" s="109" t="s">
        <v>38</v>
      </c>
      <c r="C541" s="110" t="s">
        <v>39</v>
      </c>
      <c r="D541" s="2">
        <v>36</v>
      </c>
      <c r="E541" s="51">
        <v>6.66</v>
      </c>
      <c r="F541" s="105"/>
      <c r="H541" s="2"/>
      <c r="I541" s="2">
        <v>3</v>
      </c>
      <c r="J541" s="2">
        <v>0</v>
      </c>
      <c r="K541" s="2">
        <v>0</v>
      </c>
      <c r="L541" s="2">
        <v>18.509999999999998</v>
      </c>
      <c r="M541" s="2">
        <v>20.309999999999999</v>
      </c>
      <c r="N541" s="244">
        <v>0.11694599999999999</v>
      </c>
      <c r="O541" s="2" t="s">
        <v>18</v>
      </c>
      <c r="P541" s="2">
        <v>50</v>
      </c>
      <c r="Q541" s="2">
        <v>0</v>
      </c>
      <c r="R541" s="2" t="s">
        <v>38</v>
      </c>
      <c r="S541" s="2"/>
      <c r="T541" s="2">
        <v>6.16</v>
      </c>
      <c r="U541" s="398">
        <v>221.76</v>
      </c>
      <c r="V541" s="7">
        <v>239.76</v>
      </c>
      <c r="W541" s="7" t="s">
        <v>660</v>
      </c>
    </row>
    <row r="542" spans="1:23" x14ac:dyDescent="0.35">
      <c r="A542" s="2">
        <v>82</v>
      </c>
      <c r="B542" s="109" t="s">
        <v>40</v>
      </c>
      <c r="C542" s="110" t="s">
        <v>41</v>
      </c>
      <c r="D542" s="2">
        <v>12</v>
      </c>
      <c r="E542" s="51">
        <v>6.66</v>
      </c>
      <c r="F542" s="105"/>
      <c r="H542" s="2"/>
      <c r="I542" s="2">
        <v>1</v>
      </c>
      <c r="J542" s="2">
        <v>0</v>
      </c>
      <c r="K542" s="2">
        <v>0</v>
      </c>
      <c r="L542" s="2">
        <v>6.17</v>
      </c>
      <c r="M542" s="2">
        <v>6.77</v>
      </c>
      <c r="N542" s="244">
        <v>3.8982000000000003E-2</v>
      </c>
      <c r="O542" s="2" t="s">
        <v>18</v>
      </c>
      <c r="P542" s="2">
        <v>50</v>
      </c>
      <c r="Q542" s="2">
        <v>0</v>
      </c>
      <c r="R542" s="2" t="s">
        <v>40</v>
      </c>
      <c r="S542" s="2"/>
      <c r="T542" s="2">
        <v>6.16</v>
      </c>
      <c r="U542" s="398">
        <v>73.92</v>
      </c>
      <c r="V542" s="7">
        <v>79.92</v>
      </c>
      <c r="W542" s="7" t="s">
        <v>660</v>
      </c>
    </row>
    <row r="543" spans="1:23" x14ac:dyDescent="0.35">
      <c r="A543" s="2">
        <v>82</v>
      </c>
      <c r="B543" s="109" t="s">
        <v>42</v>
      </c>
      <c r="C543" s="110" t="s">
        <v>43</v>
      </c>
      <c r="D543" s="2">
        <v>24</v>
      </c>
      <c r="E543" s="51">
        <v>6.66</v>
      </c>
      <c r="F543" s="105"/>
      <c r="H543" s="2"/>
      <c r="I543" s="2">
        <v>2</v>
      </c>
      <c r="J543" s="2">
        <v>0</v>
      </c>
      <c r="K543" s="2">
        <v>0</v>
      </c>
      <c r="L543" s="2">
        <v>12.34</v>
      </c>
      <c r="M543" s="2">
        <v>13.54</v>
      </c>
      <c r="N543" s="244">
        <v>7.7964000000000006E-2</v>
      </c>
      <c r="O543" s="2" t="s">
        <v>18</v>
      </c>
      <c r="P543" s="2">
        <v>50</v>
      </c>
      <c r="Q543" s="2">
        <v>0</v>
      </c>
      <c r="R543" s="2" t="s">
        <v>42</v>
      </c>
      <c r="S543" s="2"/>
      <c r="T543" s="2">
        <v>6.16</v>
      </c>
      <c r="U543" s="398">
        <v>147.84</v>
      </c>
      <c r="V543" s="7">
        <v>159.84</v>
      </c>
      <c r="W543" s="7" t="s">
        <v>660</v>
      </c>
    </row>
    <row r="544" spans="1:23" x14ac:dyDescent="0.35">
      <c r="A544" s="2">
        <v>82</v>
      </c>
      <c r="B544" s="109" t="s">
        <v>91</v>
      </c>
      <c r="C544" s="110" t="s">
        <v>92</v>
      </c>
      <c r="D544" s="2">
        <v>48</v>
      </c>
      <c r="E544" s="51">
        <v>5.78</v>
      </c>
      <c r="F544" s="105"/>
      <c r="H544" s="2">
        <v>4</v>
      </c>
      <c r="I544" s="2">
        <v>2</v>
      </c>
      <c r="J544" s="2">
        <v>0</v>
      </c>
      <c r="K544" s="2">
        <v>1</v>
      </c>
      <c r="L544" s="2">
        <v>16.293333333333333</v>
      </c>
      <c r="M544" s="2">
        <v>17.831666666666667</v>
      </c>
      <c r="N544" s="244">
        <v>4.8633000000000003E-2</v>
      </c>
      <c r="O544" s="2" t="s">
        <v>934</v>
      </c>
      <c r="P544" s="2">
        <v>100</v>
      </c>
      <c r="Q544" s="2" t="s">
        <v>55</v>
      </c>
      <c r="R544" s="2" t="s">
        <v>91</v>
      </c>
      <c r="S544" s="2"/>
      <c r="T544" s="2">
        <v>5</v>
      </c>
      <c r="U544" s="398">
        <v>240</v>
      </c>
      <c r="V544" s="7">
        <v>277.44</v>
      </c>
      <c r="W544" s="7" t="s">
        <v>660</v>
      </c>
    </row>
    <row r="545" spans="1:23" x14ac:dyDescent="0.35">
      <c r="A545" s="2">
        <v>82</v>
      </c>
      <c r="B545" s="109" t="s">
        <v>95</v>
      </c>
      <c r="C545" s="110" t="s">
        <v>96</v>
      </c>
      <c r="D545" s="2">
        <v>24</v>
      </c>
      <c r="E545" s="51">
        <v>5.78</v>
      </c>
      <c r="F545" s="105"/>
      <c r="H545" s="2">
        <v>2</v>
      </c>
      <c r="I545" s="2">
        <v>1</v>
      </c>
      <c r="J545" s="2">
        <v>0</v>
      </c>
      <c r="K545" s="2">
        <v>1</v>
      </c>
      <c r="L545" s="2">
        <v>8.1466666666666665</v>
      </c>
      <c r="M545" s="2">
        <v>8.9158333333333335</v>
      </c>
      <c r="N545" s="244">
        <v>2.4316500000000001E-2</v>
      </c>
      <c r="O545" s="2" t="s">
        <v>934</v>
      </c>
      <c r="P545" s="2">
        <v>100</v>
      </c>
      <c r="Q545" s="2" t="s">
        <v>55</v>
      </c>
      <c r="R545" s="2" t="s">
        <v>95</v>
      </c>
      <c r="S545" s="2"/>
      <c r="T545" s="2">
        <v>5</v>
      </c>
      <c r="U545" s="398">
        <v>120</v>
      </c>
      <c r="V545" s="7">
        <v>138.72</v>
      </c>
      <c r="W545" s="7" t="s">
        <v>660</v>
      </c>
    </row>
    <row r="546" spans="1:23" x14ac:dyDescent="0.35">
      <c r="A546" s="2">
        <v>82</v>
      </c>
      <c r="B546" s="109" t="s">
        <v>101</v>
      </c>
      <c r="C546" s="110" t="s">
        <v>102</v>
      </c>
      <c r="D546" s="2">
        <v>24</v>
      </c>
      <c r="E546" s="51">
        <v>5.78</v>
      </c>
      <c r="F546" s="105"/>
      <c r="H546" s="2">
        <v>2</v>
      </c>
      <c r="I546" s="2">
        <v>1</v>
      </c>
      <c r="J546" s="2">
        <v>0</v>
      </c>
      <c r="K546" s="2">
        <v>1</v>
      </c>
      <c r="L546" s="2">
        <v>7.4424999999999999</v>
      </c>
      <c r="M546" s="2">
        <v>8.19</v>
      </c>
      <c r="N546" s="244">
        <v>2.7251250000000001E-2</v>
      </c>
      <c r="O546" s="2" t="s">
        <v>934</v>
      </c>
      <c r="P546" s="2">
        <v>100</v>
      </c>
      <c r="Q546" s="2" t="s">
        <v>55</v>
      </c>
      <c r="R546" s="2" t="s">
        <v>101</v>
      </c>
      <c r="S546" s="2"/>
      <c r="T546" s="2">
        <v>5</v>
      </c>
      <c r="U546" s="398">
        <v>120</v>
      </c>
      <c r="V546" s="7">
        <v>138.72</v>
      </c>
      <c r="W546" s="7" t="s">
        <v>660</v>
      </c>
    </row>
    <row r="547" spans="1:23" x14ac:dyDescent="0.35">
      <c r="A547" s="2">
        <v>82</v>
      </c>
      <c r="B547" s="109" t="s">
        <v>103</v>
      </c>
      <c r="C547" s="110" t="s">
        <v>104</v>
      </c>
      <c r="D547" s="2">
        <v>24</v>
      </c>
      <c r="E547" s="51">
        <v>5.78</v>
      </c>
      <c r="F547" s="105"/>
      <c r="H547" s="2">
        <v>2</v>
      </c>
      <c r="I547" s="2">
        <v>1</v>
      </c>
      <c r="J547" s="2">
        <v>0</v>
      </c>
      <c r="K547" s="2">
        <v>1</v>
      </c>
      <c r="L547" s="2">
        <v>7.4424999999999999</v>
      </c>
      <c r="M547" s="2">
        <v>8.19</v>
      </c>
      <c r="N547" s="244">
        <v>2.7251250000000001E-2</v>
      </c>
      <c r="O547" s="2" t="s">
        <v>934</v>
      </c>
      <c r="P547" s="2">
        <v>100</v>
      </c>
      <c r="Q547" s="2" t="s">
        <v>55</v>
      </c>
      <c r="R547" s="2" t="s">
        <v>103</v>
      </c>
      <c r="S547" s="2"/>
      <c r="T547" s="2">
        <v>5</v>
      </c>
      <c r="U547" s="398">
        <v>120</v>
      </c>
      <c r="V547" s="7">
        <v>138.72</v>
      </c>
      <c r="W547" s="7" t="s">
        <v>660</v>
      </c>
    </row>
    <row r="548" spans="1:23" x14ac:dyDescent="0.35">
      <c r="A548" s="2">
        <v>82</v>
      </c>
      <c r="B548" s="109" t="s">
        <v>105</v>
      </c>
      <c r="C548" s="110" t="s">
        <v>106</v>
      </c>
      <c r="D548" s="2">
        <v>24</v>
      </c>
      <c r="E548" s="51">
        <v>5.78</v>
      </c>
      <c r="F548" s="105"/>
      <c r="H548" s="2">
        <v>2</v>
      </c>
      <c r="I548" s="2">
        <v>1</v>
      </c>
      <c r="J548" s="2">
        <v>0</v>
      </c>
      <c r="K548" s="2">
        <v>1</v>
      </c>
      <c r="L548" s="2">
        <v>7.4424999999999999</v>
      </c>
      <c r="M548" s="2">
        <v>8.19</v>
      </c>
      <c r="N548" s="244">
        <v>2.7251250000000001E-2</v>
      </c>
      <c r="O548" s="2" t="s">
        <v>934</v>
      </c>
      <c r="P548" s="2">
        <v>100</v>
      </c>
      <c r="Q548" s="2" t="s">
        <v>55</v>
      </c>
      <c r="R548" s="2" t="s">
        <v>105</v>
      </c>
      <c r="S548" s="2"/>
      <c r="T548" s="2">
        <v>5</v>
      </c>
      <c r="U548" s="398">
        <v>120</v>
      </c>
      <c r="V548" s="7">
        <v>138.72</v>
      </c>
      <c r="W548" s="7" t="s">
        <v>660</v>
      </c>
    </row>
    <row r="549" spans="1:23" x14ac:dyDescent="0.35">
      <c r="A549" s="2">
        <v>82</v>
      </c>
      <c r="B549" s="109" t="s">
        <v>107</v>
      </c>
      <c r="C549" s="110" t="s">
        <v>109</v>
      </c>
      <c r="D549" s="2">
        <v>72</v>
      </c>
      <c r="E549" s="51">
        <v>15.55</v>
      </c>
      <c r="F549" s="105"/>
      <c r="H549" s="2">
        <v>6</v>
      </c>
      <c r="I549" s="2">
        <v>3</v>
      </c>
      <c r="J549" s="2">
        <v>0</v>
      </c>
      <c r="K549" s="2">
        <v>1</v>
      </c>
      <c r="L549" s="2">
        <v>30.810000000000002</v>
      </c>
      <c r="M549" s="2">
        <v>32.175000000000004</v>
      </c>
      <c r="N549" s="244">
        <v>5.6216874999999999E-2</v>
      </c>
      <c r="O549" s="2" t="s">
        <v>108</v>
      </c>
      <c r="P549" s="2">
        <v>100</v>
      </c>
      <c r="Q549" s="2" t="s">
        <v>55</v>
      </c>
      <c r="R549" s="2" t="s">
        <v>107</v>
      </c>
      <c r="S549" s="2"/>
      <c r="T549" s="2">
        <v>11.68</v>
      </c>
      <c r="U549" s="398">
        <v>840.96</v>
      </c>
      <c r="V549" s="7">
        <v>1119.6000000000001</v>
      </c>
      <c r="W549" s="7" t="s">
        <v>660</v>
      </c>
    </row>
    <row r="550" spans="1:23" x14ac:dyDescent="0.35">
      <c r="A550" s="2">
        <v>82</v>
      </c>
      <c r="B550" s="109" t="s">
        <v>1216</v>
      </c>
      <c r="C550" s="110" t="s">
        <v>648</v>
      </c>
      <c r="D550" s="2">
        <v>24</v>
      </c>
      <c r="E550" s="51">
        <v>15.55</v>
      </c>
      <c r="F550" s="105"/>
      <c r="H550" s="2">
        <v>2</v>
      </c>
      <c r="I550" s="2">
        <v>1</v>
      </c>
      <c r="J550" s="2">
        <v>0</v>
      </c>
      <c r="K550" s="2">
        <v>1</v>
      </c>
      <c r="L550" s="2">
        <v>10.27</v>
      </c>
      <c r="M550" s="2">
        <v>10.725</v>
      </c>
      <c r="N550" s="244">
        <v>1.8738958333333333E-2</v>
      </c>
      <c r="O550" s="2" t="s">
        <v>108</v>
      </c>
      <c r="P550" s="2">
        <v>100</v>
      </c>
      <c r="Q550" s="2" t="s">
        <v>55</v>
      </c>
      <c r="R550" s="2" t="s">
        <v>112</v>
      </c>
      <c r="S550" s="2"/>
      <c r="T550" s="2">
        <v>11.68</v>
      </c>
      <c r="U550" s="398">
        <v>280.32</v>
      </c>
      <c r="V550" s="7">
        <v>373.20000000000005</v>
      </c>
      <c r="W550" s="7" t="s">
        <v>660</v>
      </c>
    </row>
    <row r="551" spans="1:23" x14ac:dyDescent="0.35">
      <c r="A551" s="2">
        <v>82</v>
      </c>
      <c r="B551" s="109" t="s">
        <v>141</v>
      </c>
      <c r="C551" s="110" t="s">
        <v>142</v>
      </c>
      <c r="D551" s="2">
        <v>24</v>
      </c>
      <c r="E551" s="51">
        <v>15.55</v>
      </c>
      <c r="F551" s="105"/>
      <c r="H551" s="2">
        <v>2</v>
      </c>
      <c r="I551" s="2">
        <v>1</v>
      </c>
      <c r="J551" s="2">
        <v>0</v>
      </c>
      <c r="K551" s="2">
        <v>1</v>
      </c>
      <c r="L551" s="2">
        <v>10.27</v>
      </c>
      <c r="M551" s="2">
        <v>10.725</v>
      </c>
      <c r="N551" s="244">
        <v>1.89921875E-2</v>
      </c>
      <c r="O551" s="2" t="s">
        <v>108</v>
      </c>
      <c r="P551" s="2">
        <v>100</v>
      </c>
      <c r="Q551" s="2" t="s">
        <v>55</v>
      </c>
      <c r="R551" s="2" t="s">
        <v>141</v>
      </c>
      <c r="S551" s="2"/>
      <c r="T551" s="2">
        <v>11.68</v>
      </c>
      <c r="U551" s="398">
        <v>280.32</v>
      </c>
      <c r="V551" s="7">
        <v>373.20000000000005</v>
      </c>
      <c r="W551" s="7" t="s">
        <v>660</v>
      </c>
    </row>
    <row r="552" spans="1:23" x14ac:dyDescent="0.35">
      <c r="A552" s="2">
        <v>82</v>
      </c>
      <c r="B552" s="109" t="s">
        <v>143</v>
      </c>
      <c r="C552" s="110" t="s">
        <v>144</v>
      </c>
      <c r="D552" s="2">
        <v>24</v>
      </c>
      <c r="E552" s="51">
        <v>15.55</v>
      </c>
      <c r="F552" s="105"/>
      <c r="H552" s="2">
        <v>2</v>
      </c>
      <c r="I552" s="2">
        <v>1</v>
      </c>
      <c r="J552" s="2">
        <v>0</v>
      </c>
      <c r="K552" s="2">
        <v>1</v>
      </c>
      <c r="L552" s="2">
        <v>10.27</v>
      </c>
      <c r="M552" s="2">
        <v>10.725</v>
      </c>
      <c r="N552" s="244">
        <v>1.89921875E-2</v>
      </c>
      <c r="O552" s="2" t="s">
        <v>108</v>
      </c>
      <c r="P552" s="2">
        <v>100</v>
      </c>
      <c r="Q552" s="2" t="s">
        <v>55</v>
      </c>
      <c r="R552" s="2" t="s">
        <v>143</v>
      </c>
      <c r="S552" s="2"/>
      <c r="T552" s="2">
        <v>11.68</v>
      </c>
      <c r="U552" s="398">
        <v>280.32</v>
      </c>
      <c r="V552" s="7">
        <v>373.20000000000005</v>
      </c>
      <c r="W552" s="7" t="s">
        <v>660</v>
      </c>
    </row>
    <row r="553" spans="1:23" x14ac:dyDescent="0.35">
      <c r="A553" s="2">
        <v>83</v>
      </c>
      <c r="B553" s="109" t="s">
        <v>91</v>
      </c>
      <c r="C553" s="110" t="s">
        <v>92</v>
      </c>
      <c r="D553" s="2">
        <v>528</v>
      </c>
      <c r="E553" s="51">
        <v>5.0812460723583808</v>
      </c>
      <c r="F553" s="105"/>
      <c r="G553" s="51">
        <v>0</v>
      </c>
      <c r="H553" s="2">
        <v>39</v>
      </c>
      <c r="I553" s="2">
        <v>22</v>
      </c>
      <c r="J553" s="2">
        <v>0</v>
      </c>
      <c r="K553" s="2">
        <v>2</v>
      </c>
      <c r="L553" s="2">
        <v>177.66</v>
      </c>
      <c r="M553" s="2">
        <v>194.43375</v>
      </c>
      <c r="N553" s="244">
        <v>0.53028675000000003</v>
      </c>
      <c r="O553" s="2" t="s">
        <v>934</v>
      </c>
      <c r="P553" s="2">
        <v>100</v>
      </c>
      <c r="Q553" s="2" t="s">
        <v>55</v>
      </c>
      <c r="R553" s="2" t="s">
        <v>91</v>
      </c>
      <c r="S553" s="2"/>
      <c r="T553" s="2">
        <v>5</v>
      </c>
      <c r="U553" s="398">
        <v>2640</v>
      </c>
      <c r="V553" s="7">
        <v>2682.8979262052253</v>
      </c>
      <c r="W553" s="7" t="s">
        <v>660</v>
      </c>
    </row>
    <row r="554" spans="1:23" x14ac:dyDescent="0.35">
      <c r="A554" s="2">
        <v>83</v>
      </c>
      <c r="B554" s="109" t="s">
        <v>93</v>
      </c>
      <c r="C554" s="110" t="s">
        <v>94</v>
      </c>
      <c r="D554" s="2">
        <v>432</v>
      </c>
      <c r="E554" s="51">
        <v>5.0812460723583808</v>
      </c>
      <c r="F554" s="105"/>
      <c r="G554" s="51">
        <v>0</v>
      </c>
      <c r="H554" s="2">
        <v>22</v>
      </c>
      <c r="I554" s="2">
        <v>18</v>
      </c>
      <c r="J554" s="2">
        <v>0</v>
      </c>
      <c r="K554" s="2">
        <v>1</v>
      </c>
      <c r="L554" s="2">
        <v>142.25333333333333</v>
      </c>
      <c r="M554" s="2">
        <v>155.6841666666667</v>
      </c>
      <c r="N554" s="244">
        <v>0.42460350000000002</v>
      </c>
      <c r="O554" s="2" t="s">
        <v>934</v>
      </c>
      <c r="P554" s="2">
        <v>100</v>
      </c>
      <c r="Q554" s="2" t="s">
        <v>55</v>
      </c>
      <c r="R554" s="2" t="s">
        <v>93</v>
      </c>
      <c r="S554" s="2"/>
      <c r="T554" s="2">
        <v>5</v>
      </c>
      <c r="U554" s="398">
        <v>2160</v>
      </c>
      <c r="V554" s="7">
        <v>2195.0983032588206</v>
      </c>
      <c r="W554" s="7" t="s">
        <v>660</v>
      </c>
    </row>
    <row r="555" spans="1:23" x14ac:dyDescent="0.35">
      <c r="A555" s="2">
        <v>83</v>
      </c>
      <c r="B555" s="109" t="s">
        <v>95</v>
      </c>
      <c r="C555" s="110" t="s">
        <v>96</v>
      </c>
      <c r="D555" s="2">
        <v>432</v>
      </c>
      <c r="E555" s="51">
        <v>5.0812460723583808</v>
      </c>
      <c r="F555" s="105"/>
      <c r="G555" s="51">
        <v>0</v>
      </c>
      <c r="H555" s="2">
        <v>39</v>
      </c>
      <c r="I555" s="2">
        <v>18</v>
      </c>
      <c r="J555" s="2">
        <v>0</v>
      </c>
      <c r="K555" s="2">
        <v>2</v>
      </c>
      <c r="L555" s="2">
        <v>147.57999999999998</v>
      </c>
      <c r="M555" s="2">
        <v>161.51375000000002</v>
      </c>
      <c r="N555" s="244">
        <v>0.44050275</v>
      </c>
      <c r="O555" s="2" t="s">
        <v>934</v>
      </c>
      <c r="P555" s="2">
        <v>100</v>
      </c>
      <c r="Q555" s="2" t="s">
        <v>55</v>
      </c>
      <c r="R555" s="2" t="s">
        <v>95</v>
      </c>
      <c r="S555" s="2"/>
      <c r="T555" s="2">
        <v>5</v>
      </c>
      <c r="U555" s="398">
        <v>2160</v>
      </c>
      <c r="V555" s="7">
        <v>2195.0983032588206</v>
      </c>
      <c r="W555" s="7" t="s">
        <v>660</v>
      </c>
    </row>
    <row r="556" spans="1:23" x14ac:dyDescent="0.35">
      <c r="A556" s="2">
        <v>83</v>
      </c>
      <c r="B556" s="109" t="s">
        <v>97</v>
      </c>
      <c r="C556" s="110" t="s">
        <v>98</v>
      </c>
      <c r="D556" s="2"/>
      <c r="E556" s="51">
        <v>0</v>
      </c>
      <c r="F556" s="105"/>
      <c r="G556" s="51">
        <v>0</v>
      </c>
      <c r="H556" s="2">
        <v>23</v>
      </c>
      <c r="I556" s="2">
        <v>0</v>
      </c>
      <c r="J556" s="2">
        <v>0</v>
      </c>
      <c r="K556" s="2">
        <v>1</v>
      </c>
      <c r="L556" s="2">
        <v>7.2066666666666661</v>
      </c>
      <c r="M556" s="2">
        <v>7.8870833333333339</v>
      </c>
      <c r="N556" s="244">
        <v>2.1510750000000002E-2</v>
      </c>
      <c r="O556" s="2" t="s">
        <v>934</v>
      </c>
      <c r="P556" s="2">
        <v>100</v>
      </c>
      <c r="Q556" s="2" t="s">
        <v>55</v>
      </c>
      <c r="R556" s="2" t="s">
        <v>97</v>
      </c>
      <c r="S556" s="2"/>
      <c r="T556" s="2">
        <v>5</v>
      </c>
      <c r="U556" s="398">
        <v>0</v>
      </c>
      <c r="V556" s="7">
        <v>0</v>
      </c>
      <c r="W556" s="7" t="s">
        <v>660</v>
      </c>
    </row>
    <row r="557" spans="1:23" x14ac:dyDescent="0.35">
      <c r="A557" s="2">
        <v>83</v>
      </c>
      <c r="B557" s="109" t="s">
        <v>107</v>
      </c>
      <c r="C557" s="110" t="s">
        <v>109</v>
      </c>
      <c r="D557" s="2">
        <v>528</v>
      </c>
      <c r="E557" s="51">
        <v>9.6148666846216013</v>
      </c>
      <c r="F557" s="105"/>
      <c r="G557" s="51">
        <v>0</v>
      </c>
      <c r="H557" s="2">
        <v>20</v>
      </c>
      <c r="I557" s="2">
        <v>22</v>
      </c>
      <c r="J557" s="2">
        <v>0</v>
      </c>
      <c r="K557" s="2">
        <v>1</v>
      </c>
      <c r="L557" s="2">
        <v>216.46</v>
      </c>
      <c r="M557" s="2">
        <v>226.04999999999998</v>
      </c>
      <c r="N557" s="244">
        <v>0.39495958333333331</v>
      </c>
      <c r="O557" s="2" t="s">
        <v>108</v>
      </c>
      <c r="P557" s="2">
        <v>100</v>
      </c>
      <c r="Q557" s="2" t="s">
        <v>55</v>
      </c>
      <c r="R557" s="2" t="s">
        <v>107</v>
      </c>
      <c r="S557" s="2"/>
      <c r="T557" s="2">
        <v>11.68</v>
      </c>
      <c r="U557" s="398">
        <v>6167.04</v>
      </c>
      <c r="V557" s="7">
        <v>5076.6496094802051</v>
      </c>
      <c r="W557" s="7" t="s">
        <v>660</v>
      </c>
    </row>
    <row r="558" spans="1:23" x14ac:dyDescent="0.35">
      <c r="A558" s="2">
        <v>83</v>
      </c>
      <c r="B558" s="109" t="s">
        <v>110</v>
      </c>
      <c r="C558" s="110" t="s">
        <v>111</v>
      </c>
      <c r="D558" s="2"/>
      <c r="E558" s="51">
        <v>0</v>
      </c>
      <c r="F558" s="105"/>
      <c r="G558" s="51">
        <v>0</v>
      </c>
      <c r="H558" s="2">
        <v>15</v>
      </c>
      <c r="I558" s="2">
        <v>0</v>
      </c>
      <c r="J558" s="2">
        <v>0</v>
      </c>
      <c r="K558" s="2">
        <v>1</v>
      </c>
      <c r="L558" s="2">
        <v>5.9250000000000007</v>
      </c>
      <c r="M558" s="2">
        <v>6.1875</v>
      </c>
      <c r="N558" s="244">
        <v>1.0810937499999999E-2</v>
      </c>
      <c r="O558" s="2" t="s">
        <v>108</v>
      </c>
      <c r="P558" s="2">
        <v>100</v>
      </c>
      <c r="Q558" s="2" t="s">
        <v>55</v>
      </c>
      <c r="R558" s="2" t="s">
        <v>110</v>
      </c>
      <c r="S558" s="2"/>
      <c r="T558" s="2">
        <v>11.68</v>
      </c>
      <c r="U558" s="398">
        <v>0</v>
      </c>
      <c r="V558" s="7">
        <v>0</v>
      </c>
      <c r="W558" s="7" t="s">
        <v>660</v>
      </c>
    </row>
    <row r="559" spans="1:23" x14ac:dyDescent="0.35">
      <c r="A559" s="2">
        <v>83</v>
      </c>
      <c r="B559" s="109" t="s">
        <v>1216</v>
      </c>
      <c r="C559" s="110" t="s">
        <v>648</v>
      </c>
      <c r="D559" s="2"/>
      <c r="E559" s="51">
        <v>0</v>
      </c>
      <c r="F559" s="105"/>
      <c r="G559" s="51">
        <v>0</v>
      </c>
      <c r="H559" s="2">
        <v>10</v>
      </c>
      <c r="I559" s="2">
        <v>0</v>
      </c>
      <c r="J559" s="2">
        <v>0</v>
      </c>
      <c r="K559" s="2">
        <v>1</v>
      </c>
      <c r="L559" s="2">
        <v>3.95</v>
      </c>
      <c r="M559" s="2">
        <v>4.125</v>
      </c>
      <c r="N559" s="244">
        <v>7.2072916666666674E-3</v>
      </c>
      <c r="O559" s="2" t="s">
        <v>108</v>
      </c>
      <c r="P559" s="2">
        <v>100</v>
      </c>
      <c r="Q559" s="2" t="s">
        <v>55</v>
      </c>
      <c r="R559" s="2" t="s">
        <v>112</v>
      </c>
      <c r="S559" s="2"/>
      <c r="T559" s="2">
        <v>11.68</v>
      </c>
      <c r="U559" s="398">
        <v>0</v>
      </c>
      <c r="V559" s="7">
        <v>0</v>
      </c>
      <c r="W559" s="7" t="s">
        <v>660</v>
      </c>
    </row>
    <row r="560" spans="1:23" x14ac:dyDescent="0.35">
      <c r="A560" s="2">
        <v>83</v>
      </c>
      <c r="B560" s="109" t="s">
        <v>114</v>
      </c>
      <c r="C560" s="110" t="s">
        <v>115</v>
      </c>
      <c r="D560" s="2">
        <v>336</v>
      </c>
      <c r="E560" s="51">
        <v>9.6148666846216013</v>
      </c>
      <c r="F560" s="105"/>
      <c r="G560" s="51">
        <v>0</v>
      </c>
      <c r="H560" s="2">
        <v>15</v>
      </c>
      <c r="I560" s="2">
        <v>14</v>
      </c>
      <c r="J560" s="2">
        <v>0</v>
      </c>
      <c r="K560" s="2">
        <v>1</v>
      </c>
      <c r="L560" s="2">
        <v>138.64500000000001</v>
      </c>
      <c r="M560" s="2">
        <v>144.78749999999999</v>
      </c>
      <c r="N560" s="244">
        <v>0.25297593750000003</v>
      </c>
      <c r="O560" s="2" t="s">
        <v>108</v>
      </c>
      <c r="P560" s="2">
        <v>100</v>
      </c>
      <c r="Q560" s="2" t="s">
        <v>55</v>
      </c>
      <c r="R560" s="2" t="s">
        <v>114</v>
      </c>
      <c r="S560" s="2"/>
      <c r="T560" s="2">
        <v>11.68</v>
      </c>
      <c r="U560" s="398">
        <v>3924.48</v>
      </c>
      <c r="V560" s="7">
        <v>3230.5952060328577</v>
      </c>
      <c r="W560" s="7" t="s">
        <v>660</v>
      </c>
    </row>
    <row r="561" spans="1:23" x14ac:dyDescent="0.35">
      <c r="A561" s="2">
        <v>83</v>
      </c>
      <c r="B561" s="109" t="s">
        <v>116</v>
      </c>
      <c r="C561" s="110" t="s">
        <v>117</v>
      </c>
      <c r="D561" s="2"/>
      <c r="E561" s="51">
        <v>0</v>
      </c>
      <c r="F561" s="105"/>
      <c r="G561" s="51">
        <v>0</v>
      </c>
      <c r="H561" s="2">
        <v>25</v>
      </c>
      <c r="I561" s="2">
        <v>0</v>
      </c>
      <c r="J561" s="2">
        <v>0</v>
      </c>
      <c r="K561" s="2">
        <v>2</v>
      </c>
      <c r="L561" s="2">
        <v>9.5</v>
      </c>
      <c r="M561" s="2">
        <v>9.8958333333333339</v>
      </c>
      <c r="N561" s="244">
        <v>1.8261718749999999E-2</v>
      </c>
      <c r="O561" s="2" t="s">
        <v>108</v>
      </c>
      <c r="P561" s="2">
        <v>100</v>
      </c>
      <c r="Q561" s="2" t="s">
        <v>55</v>
      </c>
      <c r="R561" s="2" t="s">
        <v>116</v>
      </c>
      <c r="S561" s="2"/>
      <c r="T561" s="2">
        <v>11.68</v>
      </c>
      <c r="U561" s="398">
        <v>0</v>
      </c>
      <c r="V561" s="7">
        <v>0</v>
      </c>
      <c r="W561" s="7" t="s">
        <v>660</v>
      </c>
    </row>
    <row r="562" spans="1:23" x14ac:dyDescent="0.35">
      <c r="A562" s="2">
        <v>83</v>
      </c>
      <c r="B562" s="109" t="s">
        <v>118</v>
      </c>
      <c r="C562" s="110" t="s">
        <v>119</v>
      </c>
      <c r="D562" s="2"/>
      <c r="E562" s="51">
        <v>0</v>
      </c>
      <c r="F562" s="105"/>
      <c r="G562" s="51">
        <v>0</v>
      </c>
      <c r="H562" s="2">
        <v>10</v>
      </c>
      <c r="I562" s="2">
        <v>0</v>
      </c>
      <c r="J562" s="2">
        <v>0</v>
      </c>
      <c r="K562" s="2">
        <v>1</v>
      </c>
      <c r="L562" s="2">
        <v>3.8</v>
      </c>
      <c r="M562" s="2">
        <v>3.9583333333333335</v>
      </c>
      <c r="N562" s="244">
        <v>7.3046875000000004E-3</v>
      </c>
      <c r="O562" s="2" t="s">
        <v>108</v>
      </c>
      <c r="P562" s="2">
        <v>100</v>
      </c>
      <c r="Q562" s="2" t="s">
        <v>55</v>
      </c>
      <c r="R562" s="2" t="s">
        <v>118</v>
      </c>
      <c r="S562" s="2"/>
      <c r="T562" s="2">
        <v>11.68</v>
      </c>
      <c r="U562" s="398">
        <v>0</v>
      </c>
      <c r="V562" s="7">
        <v>0</v>
      </c>
      <c r="W562" s="7" t="s">
        <v>660</v>
      </c>
    </row>
    <row r="563" spans="1:23" x14ac:dyDescent="0.35">
      <c r="A563" s="2">
        <v>84</v>
      </c>
      <c r="B563" s="109" t="s">
        <v>114</v>
      </c>
      <c r="C563" s="110" t="s">
        <v>115</v>
      </c>
      <c r="D563" s="2">
        <v>120</v>
      </c>
      <c r="E563" s="51">
        <v>12.5</v>
      </c>
      <c r="F563" s="105"/>
      <c r="H563" s="2">
        <v>10</v>
      </c>
      <c r="I563" s="2">
        <v>5</v>
      </c>
      <c r="J563" s="2">
        <v>0</v>
      </c>
      <c r="K563" s="2">
        <v>1</v>
      </c>
      <c r="L563" s="2">
        <v>51.350000000000009</v>
      </c>
      <c r="M563" s="2">
        <v>53.625000000000007</v>
      </c>
      <c r="N563" s="244">
        <v>9.3694791666666666E-2</v>
      </c>
      <c r="O563" s="2" t="s">
        <v>108</v>
      </c>
      <c r="P563" s="2">
        <v>100</v>
      </c>
      <c r="Q563" s="2" t="s">
        <v>55</v>
      </c>
      <c r="R563" s="2" t="s">
        <v>114</v>
      </c>
      <c r="S563" s="2"/>
      <c r="T563" s="2">
        <v>11.68</v>
      </c>
      <c r="U563" s="398">
        <v>1401.6</v>
      </c>
      <c r="V563" s="7">
        <v>1500</v>
      </c>
      <c r="W563" s="7" t="s">
        <v>660</v>
      </c>
    </row>
    <row r="564" spans="1:23" x14ac:dyDescent="0.35">
      <c r="A564" s="2">
        <v>84</v>
      </c>
      <c r="B564" s="109" t="s">
        <v>116</v>
      </c>
      <c r="C564" s="110" t="s">
        <v>117</v>
      </c>
      <c r="D564" s="2">
        <v>24</v>
      </c>
      <c r="E564" s="51">
        <v>12.5</v>
      </c>
      <c r="F564" s="105"/>
      <c r="H564" s="2">
        <v>2</v>
      </c>
      <c r="I564" s="2">
        <v>1</v>
      </c>
      <c r="J564" s="2">
        <v>0</v>
      </c>
      <c r="K564" s="2">
        <v>1</v>
      </c>
      <c r="L564" s="2">
        <v>9.879999999999999</v>
      </c>
      <c r="M564" s="2">
        <v>10.291666666666666</v>
      </c>
      <c r="N564" s="244">
        <v>1.89921875E-2</v>
      </c>
      <c r="O564" s="2" t="s">
        <v>108</v>
      </c>
      <c r="P564" s="2">
        <v>100</v>
      </c>
      <c r="Q564" s="2" t="s">
        <v>55</v>
      </c>
      <c r="R564" s="2" t="s">
        <v>116</v>
      </c>
      <c r="S564" s="2"/>
      <c r="T564" s="2">
        <v>11.68</v>
      </c>
      <c r="U564" s="398">
        <v>280.32</v>
      </c>
      <c r="V564" s="7">
        <v>300</v>
      </c>
      <c r="W564" s="7" t="s">
        <v>660</v>
      </c>
    </row>
    <row r="565" spans="1:23" x14ac:dyDescent="0.35">
      <c r="A565" s="2">
        <v>84</v>
      </c>
      <c r="B565" s="109" t="s">
        <v>120</v>
      </c>
      <c r="C565" s="110" t="s">
        <v>121</v>
      </c>
      <c r="D565" s="2">
        <v>24</v>
      </c>
      <c r="E565" s="51">
        <v>12.5</v>
      </c>
      <c r="F565" s="105">
        <v>24</v>
      </c>
      <c r="G565" s="51">
        <v>6.25</v>
      </c>
      <c r="H565" s="2">
        <v>2</v>
      </c>
      <c r="I565" s="2">
        <v>1</v>
      </c>
      <c r="J565" s="2">
        <v>1</v>
      </c>
      <c r="K565" s="2">
        <v>1</v>
      </c>
      <c r="L565" s="2">
        <v>19</v>
      </c>
      <c r="M565" s="2">
        <v>19.791666666666668</v>
      </c>
      <c r="N565" s="244">
        <v>3.6523437499999999E-2</v>
      </c>
      <c r="O565" s="2" t="s">
        <v>108</v>
      </c>
      <c r="P565" s="2">
        <v>100</v>
      </c>
      <c r="Q565" s="2" t="s">
        <v>55</v>
      </c>
      <c r="R565" s="2" t="s">
        <v>120</v>
      </c>
      <c r="S565" s="2"/>
      <c r="T565" s="2">
        <v>11.68</v>
      </c>
      <c r="U565" s="398">
        <v>560.64</v>
      </c>
      <c r="V565" s="7">
        <v>450</v>
      </c>
      <c r="W565" s="7" t="s">
        <v>660</v>
      </c>
    </row>
    <row r="566" spans="1:23" x14ac:dyDescent="0.35">
      <c r="A566" s="2">
        <v>84</v>
      </c>
      <c r="B566" s="109" t="s">
        <v>141</v>
      </c>
      <c r="C566" s="110" t="s">
        <v>142</v>
      </c>
      <c r="D566" s="2">
        <v>240</v>
      </c>
      <c r="E566" s="51">
        <v>12.5</v>
      </c>
      <c r="F566" s="105"/>
      <c r="H566" s="2">
        <v>20</v>
      </c>
      <c r="I566" s="2">
        <v>10</v>
      </c>
      <c r="J566" s="2">
        <v>0</v>
      </c>
      <c r="K566" s="2">
        <v>1</v>
      </c>
      <c r="L566" s="2">
        <v>102.70000000000002</v>
      </c>
      <c r="M566" s="2">
        <v>107.25000000000001</v>
      </c>
      <c r="N566" s="244">
        <v>0.18992187499999999</v>
      </c>
      <c r="O566" s="2" t="s">
        <v>108</v>
      </c>
      <c r="P566" s="2">
        <v>100</v>
      </c>
      <c r="Q566" s="2" t="s">
        <v>55</v>
      </c>
      <c r="R566" s="2" t="s">
        <v>141</v>
      </c>
      <c r="S566" s="2"/>
      <c r="T566" s="2">
        <v>11.68</v>
      </c>
      <c r="U566" s="398">
        <v>2803.2</v>
      </c>
      <c r="V566" s="7">
        <v>3000</v>
      </c>
      <c r="W566" s="7" t="s">
        <v>660</v>
      </c>
    </row>
    <row r="567" spans="1:23" x14ac:dyDescent="0.35">
      <c r="A567" s="2">
        <v>84</v>
      </c>
      <c r="B567" s="109" t="s">
        <v>143</v>
      </c>
      <c r="C567" s="110" t="s">
        <v>144</v>
      </c>
      <c r="D567" s="2">
        <v>180</v>
      </c>
      <c r="E567" s="51">
        <v>12.5</v>
      </c>
      <c r="F567" s="105"/>
      <c r="H567" s="2">
        <v>15</v>
      </c>
      <c r="I567" s="2">
        <v>8</v>
      </c>
      <c r="J567" s="2">
        <v>0</v>
      </c>
      <c r="K567" s="2">
        <v>1</v>
      </c>
      <c r="L567" s="2">
        <v>77.025000000000006</v>
      </c>
      <c r="M567" s="2">
        <v>80.4375</v>
      </c>
      <c r="N567" s="244">
        <v>0.14244140625000001</v>
      </c>
      <c r="O567" s="2" t="s">
        <v>108</v>
      </c>
      <c r="P567" s="2">
        <v>100</v>
      </c>
      <c r="Q567" s="2" t="s">
        <v>55</v>
      </c>
      <c r="R567" s="2" t="s">
        <v>143</v>
      </c>
      <c r="S567" s="2"/>
      <c r="T567" s="2">
        <v>11.68</v>
      </c>
      <c r="U567" s="398">
        <v>2102.4</v>
      </c>
      <c r="V567" s="7">
        <v>2250</v>
      </c>
      <c r="W567" s="7" t="s">
        <v>660</v>
      </c>
    </row>
    <row r="568" spans="1:23" x14ac:dyDescent="0.35">
      <c r="A568" s="2">
        <v>85</v>
      </c>
      <c r="B568" s="109" t="s">
        <v>91</v>
      </c>
      <c r="C568" s="110" t="s">
        <v>92</v>
      </c>
      <c r="D568" s="2">
        <v>2000</v>
      </c>
      <c r="E568" s="51">
        <v>5.346005346005346</v>
      </c>
      <c r="F568" s="105"/>
      <c r="G568" s="51">
        <v>0</v>
      </c>
      <c r="H568" s="2"/>
      <c r="I568" s="2">
        <v>84</v>
      </c>
      <c r="J568" s="2">
        <v>0</v>
      </c>
      <c r="K568" s="2">
        <v>0</v>
      </c>
      <c r="L568" s="2">
        <v>626.66666666666663</v>
      </c>
      <c r="M568" s="2">
        <v>685.83333333333337</v>
      </c>
      <c r="N568" s="244">
        <v>1.8704999999999998</v>
      </c>
      <c r="O568" s="2" t="s">
        <v>934</v>
      </c>
      <c r="P568" s="2">
        <v>100</v>
      </c>
      <c r="Q568" s="2" t="s">
        <v>55</v>
      </c>
      <c r="R568" s="2" t="s">
        <v>91</v>
      </c>
      <c r="S568" s="2"/>
      <c r="T568" s="2">
        <v>5</v>
      </c>
      <c r="U568" s="398">
        <v>10000</v>
      </c>
      <c r="V568" s="7">
        <v>10692.010692010692</v>
      </c>
      <c r="W568" s="7" t="s">
        <v>660</v>
      </c>
    </row>
    <row r="569" spans="1:23" x14ac:dyDescent="0.35">
      <c r="A569" s="2">
        <v>85</v>
      </c>
      <c r="B569" s="109" t="s">
        <v>93</v>
      </c>
      <c r="C569" s="110" t="s">
        <v>94</v>
      </c>
      <c r="D569" s="2">
        <v>750</v>
      </c>
      <c r="E569" s="51">
        <v>5.346005346005346</v>
      </c>
      <c r="F569" s="105"/>
      <c r="G569" s="51">
        <v>0</v>
      </c>
      <c r="H569" s="2"/>
      <c r="I569" s="2">
        <v>32</v>
      </c>
      <c r="J569" s="2">
        <v>0</v>
      </c>
      <c r="K569" s="2">
        <v>0</v>
      </c>
      <c r="L569" s="2">
        <v>235</v>
      </c>
      <c r="M569" s="2">
        <v>257.1875</v>
      </c>
      <c r="N569" s="244">
        <v>0.70143750000000005</v>
      </c>
      <c r="O569" s="2" t="s">
        <v>934</v>
      </c>
      <c r="P569" s="2">
        <v>100</v>
      </c>
      <c r="Q569" s="2" t="s">
        <v>55</v>
      </c>
      <c r="R569" s="2" t="s">
        <v>93</v>
      </c>
      <c r="S569" s="2"/>
      <c r="T569" s="2">
        <v>5</v>
      </c>
      <c r="U569" s="398">
        <v>3750</v>
      </c>
      <c r="V569" s="7">
        <v>4009.5040095040094</v>
      </c>
      <c r="W569" s="7" t="s">
        <v>660</v>
      </c>
    </row>
    <row r="570" spans="1:23" x14ac:dyDescent="0.35">
      <c r="A570" s="2">
        <v>85</v>
      </c>
      <c r="B570" s="109" t="s">
        <v>97</v>
      </c>
      <c r="C570" s="110" t="s">
        <v>98</v>
      </c>
      <c r="D570" s="2">
        <v>2000</v>
      </c>
      <c r="E570" s="51">
        <v>5.346005346005346</v>
      </c>
      <c r="F570" s="105"/>
      <c r="G570" s="51">
        <v>0</v>
      </c>
      <c r="H570" s="2"/>
      <c r="I570" s="2">
        <v>84</v>
      </c>
      <c r="J570" s="2">
        <v>0</v>
      </c>
      <c r="K570" s="2">
        <v>0</v>
      </c>
      <c r="L570" s="2">
        <v>626.66666666666663</v>
      </c>
      <c r="M570" s="2">
        <v>685.83333333333337</v>
      </c>
      <c r="N570" s="244">
        <v>1.8704999999999998</v>
      </c>
      <c r="O570" s="2" t="s">
        <v>934</v>
      </c>
      <c r="P570" s="2">
        <v>100</v>
      </c>
      <c r="Q570" s="2" t="s">
        <v>55</v>
      </c>
      <c r="R570" s="2" t="s">
        <v>97</v>
      </c>
      <c r="S570" s="2"/>
      <c r="T570" s="2">
        <v>5</v>
      </c>
      <c r="U570" s="398">
        <v>10000</v>
      </c>
      <c r="V570" s="7">
        <v>10692.010692010692</v>
      </c>
      <c r="W570" s="7" t="s">
        <v>660</v>
      </c>
    </row>
    <row r="571" spans="1:23" x14ac:dyDescent="0.35">
      <c r="A571" s="2">
        <v>86</v>
      </c>
      <c r="B571" s="109" t="s">
        <v>23</v>
      </c>
      <c r="C571" s="110" t="s">
        <v>24</v>
      </c>
      <c r="D571" s="2">
        <v>48</v>
      </c>
      <c r="E571" s="51"/>
      <c r="F571" s="105"/>
      <c r="H571" s="2"/>
      <c r="I571" s="2">
        <v>4</v>
      </c>
      <c r="J571" s="2">
        <v>0</v>
      </c>
      <c r="K571" s="2">
        <v>0</v>
      </c>
      <c r="L571" s="2">
        <v>20.16</v>
      </c>
      <c r="M571" s="2">
        <v>23.16</v>
      </c>
      <c r="N571" s="244">
        <v>0.112332</v>
      </c>
      <c r="O571" s="2" t="s">
        <v>18</v>
      </c>
      <c r="P571" s="2">
        <v>50</v>
      </c>
      <c r="Q571" s="2">
        <v>0</v>
      </c>
      <c r="R571" s="2" t="s">
        <v>23</v>
      </c>
      <c r="S571" s="2"/>
      <c r="T571" s="2" t="s">
        <v>861</v>
      </c>
      <c r="U571" s="398" t="s">
        <v>861</v>
      </c>
      <c r="V571" s="7">
        <v>0</v>
      </c>
      <c r="W571" s="7" t="s">
        <v>1334</v>
      </c>
    </row>
    <row r="572" spans="1:23" x14ac:dyDescent="0.35">
      <c r="A572" s="2">
        <v>86</v>
      </c>
      <c r="B572" s="109" t="s">
        <v>25</v>
      </c>
      <c r="C572" s="110" t="s">
        <v>26</v>
      </c>
      <c r="D572" s="2">
        <v>72</v>
      </c>
      <c r="E572" s="51"/>
      <c r="F572" s="105"/>
      <c r="H572" s="2"/>
      <c r="I572" s="2">
        <v>6</v>
      </c>
      <c r="J572" s="2">
        <v>0</v>
      </c>
      <c r="K572" s="2">
        <v>0</v>
      </c>
      <c r="L572" s="2">
        <v>30.240000000000002</v>
      </c>
      <c r="M572" s="2">
        <v>34.74</v>
      </c>
      <c r="N572" s="244">
        <v>0.16849800000000001</v>
      </c>
      <c r="O572" s="2" t="s">
        <v>18</v>
      </c>
      <c r="P572" s="2">
        <v>50</v>
      </c>
      <c r="Q572" s="2">
        <v>0</v>
      </c>
      <c r="R572" s="2" t="s">
        <v>25</v>
      </c>
      <c r="S572" s="2"/>
      <c r="T572" s="2" t="s">
        <v>861</v>
      </c>
      <c r="U572" s="398" t="s">
        <v>861</v>
      </c>
      <c r="V572" s="7">
        <v>0</v>
      </c>
      <c r="W572" s="7" t="s">
        <v>1334</v>
      </c>
    </row>
    <row r="573" spans="1:23" x14ac:dyDescent="0.35">
      <c r="A573" s="2">
        <v>86</v>
      </c>
      <c r="B573" s="109" t="s">
        <v>27</v>
      </c>
      <c r="C573" s="110" t="s">
        <v>28</v>
      </c>
      <c r="D573" s="2">
        <v>72</v>
      </c>
      <c r="E573" s="51"/>
      <c r="F573" s="105"/>
      <c r="H573" s="2"/>
      <c r="I573" s="2">
        <v>6</v>
      </c>
      <c r="J573" s="2">
        <v>0</v>
      </c>
      <c r="K573" s="2">
        <v>0</v>
      </c>
      <c r="L573" s="2">
        <v>30.240000000000002</v>
      </c>
      <c r="M573" s="2">
        <v>34.74</v>
      </c>
      <c r="N573" s="244">
        <v>0.16849800000000001</v>
      </c>
      <c r="O573" s="2" t="s">
        <v>18</v>
      </c>
      <c r="P573" s="2">
        <v>50</v>
      </c>
      <c r="Q573" s="2">
        <v>0</v>
      </c>
      <c r="R573" s="2" t="s">
        <v>27</v>
      </c>
      <c r="S573" s="2"/>
      <c r="T573" s="2" t="s">
        <v>861</v>
      </c>
      <c r="U573" s="398" t="s">
        <v>861</v>
      </c>
      <c r="V573" s="7">
        <v>0</v>
      </c>
      <c r="W573" s="7" t="s">
        <v>1334</v>
      </c>
    </row>
    <row r="574" spans="1:23" x14ac:dyDescent="0.35">
      <c r="A574" s="2">
        <v>86</v>
      </c>
      <c r="B574" s="109" t="s">
        <v>29</v>
      </c>
      <c r="C574" s="110" t="s">
        <v>31</v>
      </c>
      <c r="D574" s="2">
        <v>36</v>
      </c>
      <c r="E574" s="51"/>
      <c r="F574" s="105"/>
      <c r="H574" s="2"/>
      <c r="I574" s="2">
        <v>3</v>
      </c>
      <c r="J574" s="2">
        <v>0</v>
      </c>
      <c r="K574" s="2">
        <v>0</v>
      </c>
      <c r="L574" s="2">
        <v>14.34</v>
      </c>
      <c r="M574" s="2">
        <v>15.75</v>
      </c>
      <c r="N574" s="244">
        <v>8.4249000000000004E-2</v>
      </c>
      <c r="O574" s="2" t="s">
        <v>18</v>
      </c>
      <c r="P574" s="2">
        <v>50</v>
      </c>
      <c r="Q574" s="2">
        <v>0</v>
      </c>
      <c r="R574" s="2" t="s">
        <v>29</v>
      </c>
      <c r="S574" s="2"/>
      <c r="T574" s="2" t="s">
        <v>861</v>
      </c>
      <c r="U574" s="398" t="s">
        <v>861</v>
      </c>
      <c r="V574" s="7">
        <v>0</v>
      </c>
      <c r="W574" s="7" t="s">
        <v>1334</v>
      </c>
    </row>
    <row r="575" spans="1:23" x14ac:dyDescent="0.35">
      <c r="A575" s="2">
        <v>86</v>
      </c>
      <c r="B575" s="109" t="s">
        <v>32</v>
      </c>
      <c r="C575" s="110" t="s">
        <v>33</v>
      </c>
      <c r="D575" s="2">
        <v>48</v>
      </c>
      <c r="E575" s="51"/>
      <c r="F575" s="105"/>
      <c r="H575" s="2"/>
      <c r="I575" s="2">
        <v>4</v>
      </c>
      <c r="J575" s="2">
        <v>0</v>
      </c>
      <c r="K575" s="2">
        <v>0</v>
      </c>
      <c r="L575" s="2">
        <v>19.12</v>
      </c>
      <c r="M575" s="2">
        <v>21</v>
      </c>
      <c r="N575" s="244">
        <v>0.112332</v>
      </c>
      <c r="O575" s="2" t="s">
        <v>18</v>
      </c>
      <c r="P575" s="2">
        <v>50</v>
      </c>
      <c r="Q575" s="2">
        <v>0</v>
      </c>
      <c r="R575" s="2" t="s">
        <v>32</v>
      </c>
      <c r="S575" s="2"/>
      <c r="T575" s="2" t="s">
        <v>861</v>
      </c>
      <c r="U575" s="398" t="s">
        <v>861</v>
      </c>
      <c r="V575" s="7">
        <v>0</v>
      </c>
      <c r="W575" s="7" t="s">
        <v>1334</v>
      </c>
    </row>
    <row r="576" spans="1:23" x14ac:dyDescent="0.35">
      <c r="A576" s="2">
        <v>86</v>
      </c>
      <c r="B576" s="109" t="s">
        <v>34</v>
      </c>
      <c r="C576" s="110" t="s">
        <v>35</v>
      </c>
      <c r="D576" s="2">
        <v>24</v>
      </c>
      <c r="E576" s="51"/>
      <c r="F576" s="105"/>
      <c r="H576" s="2"/>
      <c r="I576" s="2">
        <v>2</v>
      </c>
      <c r="J576" s="2">
        <v>0</v>
      </c>
      <c r="K576" s="2">
        <v>0</v>
      </c>
      <c r="L576" s="2">
        <v>9.56</v>
      </c>
      <c r="M576" s="2">
        <v>10.5</v>
      </c>
      <c r="N576" s="244">
        <v>5.6166000000000001E-2</v>
      </c>
      <c r="O576" s="2" t="s">
        <v>18</v>
      </c>
      <c r="P576" s="2">
        <v>50</v>
      </c>
      <c r="Q576" s="2">
        <v>0</v>
      </c>
      <c r="R576" s="2" t="s">
        <v>34</v>
      </c>
      <c r="S576" s="2"/>
      <c r="T576" s="2" t="s">
        <v>861</v>
      </c>
      <c r="U576" s="398" t="s">
        <v>861</v>
      </c>
      <c r="V576" s="7">
        <v>0</v>
      </c>
      <c r="W576" s="7" t="s">
        <v>1334</v>
      </c>
    </row>
    <row r="577" spans="1:23" x14ac:dyDescent="0.35">
      <c r="A577" s="2">
        <v>86</v>
      </c>
      <c r="B577" s="109" t="s">
        <v>36</v>
      </c>
      <c r="C577" s="110" t="s">
        <v>37</v>
      </c>
      <c r="D577" s="2">
        <v>24</v>
      </c>
      <c r="E577" s="51"/>
      <c r="F577" s="105"/>
      <c r="H577" s="2"/>
      <c r="I577" s="2">
        <v>2</v>
      </c>
      <c r="J577" s="2">
        <v>0</v>
      </c>
      <c r="K577" s="2">
        <v>0</v>
      </c>
      <c r="L577" s="2">
        <v>9.56</v>
      </c>
      <c r="M577" s="2">
        <v>10.5</v>
      </c>
      <c r="N577" s="244">
        <v>5.6166000000000001E-2</v>
      </c>
      <c r="O577" s="2" t="s">
        <v>18</v>
      </c>
      <c r="P577" s="2">
        <v>50</v>
      </c>
      <c r="Q577" s="2">
        <v>0</v>
      </c>
      <c r="R577" s="2" t="s">
        <v>36</v>
      </c>
      <c r="S577" s="2"/>
      <c r="T577" s="2" t="s">
        <v>861</v>
      </c>
      <c r="U577" s="398" t="s">
        <v>861</v>
      </c>
      <c r="V577" s="7">
        <v>0</v>
      </c>
      <c r="W577" s="7" t="s">
        <v>1334</v>
      </c>
    </row>
    <row r="578" spans="1:23" x14ac:dyDescent="0.35">
      <c r="A578" s="2">
        <v>86</v>
      </c>
      <c r="B578" s="109" t="s">
        <v>162</v>
      </c>
      <c r="C578" s="110" t="s">
        <v>163</v>
      </c>
      <c r="D578" s="2">
        <v>-48</v>
      </c>
      <c r="E578" s="51"/>
      <c r="F578" s="105"/>
      <c r="H578" s="2"/>
      <c r="I578" s="2">
        <v>-1</v>
      </c>
      <c r="J578" s="2">
        <v>0</v>
      </c>
      <c r="K578" s="2">
        <v>0</v>
      </c>
      <c r="L578" s="2">
        <v>-7.48</v>
      </c>
      <c r="M578" s="2">
        <v>-7.7</v>
      </c>
      <c r="N578" s="244">
        <v>-3.4047000000000001E-2</v>
      </c>
      <c r="O578" s="2" t="s">
        <v>150</v>
      </c>
      <c r="P578" s="2">
        <v>175</v>
      </c>
      <c r="Q578" s="2" t="s">
        <v>151</v>
      </c>
      <c r="R578" s="2" t="s">
        <v>162</v>
      </c>
      <c r="S578" s="2"/>
      <c r="T578" s="2" t="s">
        <v>861</v>
      </c>
      <c r="U578" s="398" t="s">
        <v>861</v>
      </c>
      <c r="V578" s="7">
        <v>0</v>
      </c>
      <c r="W578" s="7" t="s">
        <v>1334</v>
      </c>
    </row>
    <row r="579" spans="1:23" x14ac:dyDescent="0.35">
      <c r="A579" s="2">
        <v>86</v>
      </c>
      <c r="B579" s="109" t="s">
        <v>164</v>
      </c>
      <c r="C579" s="110" t="s">
        <v>165</v>
      </c>
      <c r="D579" s="2">
        <v>-72</v>
      </c>
      <c r="E579" s="51"/>
      <c r="F579" s="105"/>
      <c r="H579" s="2"/>
      <c r="I579" s="2">
        <v>-2</v>
      </c>
      <c r="J579" s="2">
        <v>0</v>
      </c>
      <c r="K579" s="2">
        <v>0</v>
      </c>
      <c r="L579" s="2">
        <v>-11.22</v>
      </c>
      <c r="M579" s="2">
        <v>-11.55</v>
      </c>
      <c r="N579" s="244">
        <v>-5.1070499999999998E-2</v>
      </c>
      <c r="O579" s="2" t="s">
        <v>150</v>
      </c>
      <c r="P579" s="2">
        <v>175</v>
      </c>
      <c r="Q579" s="2" t="s">
        <v>151</v>
      </c>
      <c r="R579" s="2" t="s">
        <v>164</v>
      </c>
      <c r="S579" s="2"/>
      <c r="T579" s="2" t="s">
        <v>861</v>
      </c>
      <c r="U579" s="398" t="s">
        <v>861</v>
      </c>
      <c r="V579" s="7">
        <v>0</v>
      </c>
      <c r="W579" s="7" t="s">
        <v>1334</v>
      </c>
    </row>
    <row r="580" spans="1:23" x14ac:dyDescent="0.35">
      <c r="A580" s="2">
        <v>86</v>
      </c>
      <c r="B580" s="109" t="s">
        <v>166</v>
      </c>
      <c r="C580" s="110" t="s">
        <v>167</v>
      </c>
      <c r="D580" s="2">
        <v>-72</v>
      </c>
      <c r="E580" s="51"/>
      <c r="F580" s="105"/>
      <c r="H580" s="2"/>
      <c r="I580" s="2">
        <v>-2</v>
      </c>
      <c r="J580" s="2">
        <v>0</v>
      </c>
      <c r="K580" s="2">
        <v>0</v>
      </c>
      <c r="L580" s="2">
        <v>-11.22</v>
      </c>
      <c r="M580" s="2">
        <v>-11.55</v>
      </c>
      <c r="N580" s="244">
        <v>-5.1070499999999998E-2</v>
      </c>
      <c r="O580" s="2" t="s">
        <v>150</v>
      </c>
      <c r="P580" s="2">
        <v>175</v>
      </c>
      <c r="Q580" s="2" t="s">
        <v>151</v>
      </c>
      <c r="R580" s="2" t="s">
        <v>166</v>
      </c>
      <c r="S580" s="2"/>
      <c r="T580" s="2" t="s">
        <v>861</v>
      </c>
      <c r="U580" s="398" t="s">
        <v>861</v>
      </c>
      <c r="V580" s="7">
        <v>0</v>
      </c>
      <c r="W580" s="7" t="s">
        <v>1334</v>
      </c>
    </row>
    <row r="581" spans="1:23" x14ac:dyDescent="0.35">
      <c r="A581" s="2">
        <v>86</v>
      </c>
      <c r="B581" s="109" t="s">
        <v>1201</v>
      </c>
      <c r="C581" s="110" t="s">
        <v>1209</v>
      </c>
      <c r="D581" s="2">
        <v>-48</v>
      </c>
      <c r="E581" s="51"/>
      <c r="F581" s="105"/>
      <c r="H581" s="2"/>
      <c r="I581" s="2">
        <v>-1</v>
      </c>
      <c r="J581" s="2">
        <v>0</v>
      </c>
      <c r="K581" s="2">
        <v>0</v>
      </c>
      <c r="L581" s="2">
        <v>-8.6474999999999991</v>
      </c>
      <c r="M581" s="2">
        <v>-9.0749999999999993</v>
      </c>
      <c r="N581" s="244">
        <v>-1.9508250000000001E-2</v>
      </c>
      <c r="O581" s="2" t="s">
        <v>934</v>
      </c>
      <c r="P581" s="2">
        <v>50</v>
      </c>
      <c r="Q581" s="2" t="s">
        <v>55</v>
      </c>
      <c r="R581" s="2" t="s">
        <v>54</v>
      </c>
      <c r="S581" s="2"/>
      <c r="T581" s="2" t="s">
        <v>861</v>
      </c>
      <c r="U581" s="398" t="s">
        <v>861</v>
      </c>
      <c r="V581" s="7">
        <v>0</v>
      </c>
      <c r="W581" s="7" t="s">
        <v>1334</v>
      </c>
    </row>
    <row r="582" spans="1:23" x14ac:dyDescent="0.35">
      <c r="A582" s="2">
        <v>86</v>
      </c>
      <c r="B582" s="109" t="s">
        <v>1202</v>
      </c>
      <c r="C582" s="110" t="s">
        <v>1210</v>
      </c>
      <c r="D582" s="2">
        <v>-72</v>
      </c>
      <c r="E582" s="51"/>
      <c r="F582" s="105"/>
      <c r="H582" s="2"/>
      <c r="I582" s="2">
        <v>-2</v>
      </c>
      <c r="J582" s="2">
        <v>0</v>
      </c>
      <c r="K582" s="2">
        <v>0</v>
      </c>
      <c r="L582" s="2">
        <v>-12.97125</v>
      </c>
      <c r="M582" s="2">
        <v>-13.612499999999999</v>
      </c>
      <c r="N582" s="244">
        <v>-2.9262375E-2</v>
      </c>
      <c r="O582" s="2" t="s">
        <v>934</v>
      </c>
      <c r="P582" s="2">
        <v>50</v>
      </c>
      <c r="Q582" s="2" t="s">
        <v>55</v>
      </c>
      <c r="R582" s="2" t="s">
        <v>54</v>
      </c>
      <c r="S582" s="2"/>
      <c r="T582" s="2" t="s">
        <v>861</v>
      </c>
      <c r="U582" s="398" t="s">
        <v>861</v>
      </c>
      <c r="V582" s="7">
        <v>0</v>
      </c>
      <c r="W582" s="7" t="s">
        <v>1334</v>
      </c>
    </row>
    <row r="583" spans="1:23" x14ac:dyDescent="0.35">
      <c r="A583" s="2">
        <v>86</v>
      </c>
      <c r="B583" s="109" t="s">
        <v>1203</v>
      </c>
      <c r="C583" s="110" t="s">
        <v>1211</v>
      </c>
      <c r="D583" s="2">
        <v>-72</v>
      </c>
      <c r="E583" s="51"/>
      <c r="F583" s="105"/>
      <c r="H583" s="2"/>
      <c r="I583" s="2">
        <v>-2</v>
      </c>
      <c r="J583" s="2">
        <v>0</v>
      </c>
      <c r="K583" s="2">
        <v>0</v>
      </c>
      <c r="L583" s="2">
        <v>-12.97125</v>
      </c>
      <c r="M583" s="2">
        <v>-13.612499999999999</v>
      </c>
      <c r="N583" s="244">
        <v>-2.9262375E-2</v>
      </c>
      <c r="O583" s="2" t="s">
        <v>934</v>
      </c>
      <c r="P583" s="2">
        <v>50</v>
      </c>
      <c r="Q583" s="2" t="s">
        <v>55</v>
      </c>
      <c r="R583" s="2" t="s">
        <v>54</v>
      </c>
      <c r="S583" s="2"/>
      <c r="T583" s="2" t="s">
        <v>861</v>
      </c>
      <c r="U583" s="398" t="s">
        <v>861</v>
      </c>
      <c r="V583" s="7">
        <v>0</v>
      </c>
      <c r="W583" s="7" t="s">
        <v>1334</v>
      </c>
    </row>
    <row r="584" spans="1:23" x14ac:dyDescent="0.35">
      <c r="A584" s="2">
        <v>86</v>
      </c>
      <c r="B584" s="109" t="s">
        <v>1204</v>
      </c>
      <c r="C584" s="110" t="s">
        <v>1212</v>
      </c>
      <c r="D584" s="2">
        <v>-36</v>
      </c>
      <c r="E584" s="51"/>
      <c r="F584" s="105"/>
      <c r="H584" s="2"/>
      <c r="I584" s="2">
        <v>-1</v>
      </c>
      <c r="J584" s="2">
        <v>0</v>
      </c>
      <c r="K584" s="2">
        <v>0</v>
      </c>
      <c r="L584" s="2">
        <v>-6.4856249999999998</v>
      </c>
      <c r="M584" s="2">
        <v>-6.8062499999999995</v>
      </c>
      <c r="N584" s="244">
        <v>-1.46311875E-2</v>
      </c>
      <c r="O584" s="2" t="s">
        <v>934</v>
      </c>
      <c r="P584" s="2">
        <v>50</v>
      </c>
      <c r="Q584" s="2" t="s">
        <v>55</v>
      </c>
      <c r="R584" s="2" t="s">
        <v>54</v>
      </c>
      <c r="S584" s="2"/>
      <c r="T584" s="2" t="s">
        <v>861</v>
      </c>
      <c r="U584" s="398" t="s">
        <v>861</v>
      </c>
      <c r="V584" s="7">
        <v>0</v>
      </c>
      <c r="W584" s="7" t="s">
        <v>1334</v>
      </c>
    </row>
    <row r="585" spans="1:23" x14ac:dyDescent="0.35">
      <c r="A585" s="2">
        <v>86</v>
      </c>
      <c r="B585" s="109" t="s">
        <v>1205</v>
      </c>
      <c r="C585" s="110" t="s">
        <v>1213</v>
      </c>
      <c r="D585" s="2">
        <v>-48</v>
      </c>
      <c r="E585" s="51"/>
      <c r="F585" s="105"/>
      <c r="H585" s="2"/>
      <c r="I585" s="2">
        <v>-1</v>
      </c>
      <c r="J585" s="2">
        <v>0</v>
      </c>
      <c r="K585" s="2">
        <v>0</v>
      </c>
      <c r="L585" s="2">
        <v>-8.6474999999999991</v>
      </c>
      <c r="M585" s="2">
        <v>-9.0749999999999993</v>
      </c>
      <c r="N585" s="244">
        <v>-1.9508250000000001E-2</v>
      </c>
      <c r="O585" s="2" t="s">
        <v>934</v>
      </c>
      <c r="P585" s="2">
        <v>50</v>
      </c>
      <c r="Q585" s="2" t="s">
        <v>55</v>
      </c>
      <c r="R585" s="2" t="s">
        <v>54</v>
      </c>
      <c r="S585" s="2"/>
      <c r="T585" s="2" t="s">
        <v>861</v>
      </c>
      <c r="U585" s="398" t="s">
        <v>861</v>
      </c>
      <c r="V585" s="7">
        <v>0</v>
      </c>
      <c r="W585" s="7" t="s">
        <v>1334</v>
      </c>
    </row>
    <row r="586" spans="1:23" x14ac:dyDescent="0.35">
      <c r="A586" s="2">
        <v>86</v>
      </c>
      <c r="B586" s="109" t="s">
        <v>1206</v>
      </c>
      <c r="C586" s="110" t="s">
        <v>1214</v>
      </c>
      <c r="D586" s="2">
        <v>-24</v>
      </c>
      <c r="E586" s="51"/>
      <c r="F586" s="105"/>
      <c r="H586" s="2"/>
      <c r="I586" s="2">
        <v>-1</v>
      </c>
      <c r="J586" s="2">
        <v>0</v>
      </c>
      <c r="K586" s="2">
        <v>0</v>
      </c>
      <c r="L586" s="2">
        <v>-4.3237499999999995</v>
      </c>
      <c r="M586" s="2">
        <v>-4.5374999999999996</v>
      </c>
      <c r="N586" s="244">
        <v>-9.7541250000000006E-3</v>
      </c>
      <c r="O586" s="2" t="s">
        <v>934</v>
      </c>
      <c r="P586" s="2">
        <v>50</v>
      </c>
      <c r="Q586" s="2" t="s">
        <v>55</v>
      </c>
      <c r="R586" s="2" t="s">
        <v>54</v>
      </c>
      <c r="S586" s="2"/>
      <c r="T586" s="2" t="s">
        <v>861</v>
      </c>
      <c r="U586" s="398" t="s">
        <v>861</v>
      </c>
      <c r="V586" s="7">
        <v>0</v>
      </c>
      <c r="W586" s="7" t="s">
        <v>1334</v>
      </c>
    </row>
    <row r="587" spans="1:23" x14ac:dyDescent="0.35">
      <c r="A587" s="2">
        <v>86</v>
      </c>
      <c r="B587" s="109" t="s">
        <v>1207</v>
      </c>
      <c r="C587" s="110" t="s">
        <v>1215</v>
      </c>
      <c r="D587" s="2">
        <v>-24</v>
      </c>
      <c r="E587" s="51"/>
      <c r="F587" s="105"/>
      <c r="H587" s="2"/>
      <c r="I587" s="2">
        <v>-1</v>
      </c>
      <c r="J587" s="2">
        <v>0</v>
      </c>
      <c r="K587" s="2">
        <v>0</v>
      </c>
      <c r="L587" s="2">
        <v>-4.3237499999999995</v>
      </c>
      <c r="M587" s="2">
        <v>-4.5374999999999996</v>
      </c>
      <c r="N587" s="244">
        <v>-9.7541250000000006E-3</v>
      </c>
      <c r="O587" s="2" t="s">
        <v>934</v>
      </c>
      <c r="P587" s="2">
        <v>50</v>
      </c>
      <c r="Q587" s="2" t="s">
        <v>55</v>
      </c>
      <c r="R587" s="2" t="s">
        <v>54</v>
      </c>
      <c r="S587" s="2"/>
      <c r="T587" s="2" t="s">
        <v>861</v>
      </c>
      <c r="U587" s="398" t="s">
        <v>861</v>
      </c>
      <c r="V587" s="7">
        <v>0</v>
      </c>
      <c r="W587" s="7" t="s">
        <v>1334</v>
      </c>
    </row>
    <row r="588" spans="1:23" x14ac:dyDescent="0.35">
      <c r="A588" s="2">
        <v>86</v>
      </c>
      <c r="B588" s="109" t="s">
        <v>149</v>
      </c>
      <c r="C588" s="110" t="s">
        <v>152</v>
      </c>
      <c r="D588" s="2">
        <v>-36</v>
      </c>
      <c r="E588" s="51"/>
      <c r="F588" s="105"/>
      <c r="H588" s="2"/>
      <c r="I588" s="2">
        <v>-1</v>
      </c>
      <c r="J588" s="2">
        <v>0</v>
      </c>
      <c r="K588" s="2">
        <v>0</v>
      </c>
      <c r="L588" s="2">
        <v>-4.7160000000000002</v>
      </c>
      <c r="M588" s="2">
        <v>-5.2769999999999992</v>
      </c>
      <c r="N588" s="244">
        <v>-1.968E-2</v>
      </c>
      <c r="O588" s="2" t="s">
        <v>150</v>
      </c>
      <c r="P588" s="2">
        <v>150</v>
      </c>
      <c r="Q588" s="2" t="s">
        <v>151</v>
      </c>
      <c r="R588" s="2" t="s">
        <v>149</v>
      </c>
      <c r="S588" s="2"/>
      <c r="T588" s="2" t="s">
        <v>861</v>
      </c>
      <c r="U588" s="398" t="s">
        <v>861</v>
      </c>
      <c r="V588" s="7">
        <v>0</v>
      </c>
      <c r="W588" s="7" t="s">
        <v>1334</v>
      </c>
    </row>
    <row r="589" spans="1:23" x14ac:dyDescent="0.35">
      <c r="A589" s="2">
        <v>86</v>
      </c>
      <c r="B589" s="109" t="s">
        <v>154</v>
      </c>
      <c r="C589" s="110" t="s">
        <v>155</v>
      </c>
      <c r="D589" s="2">
        <v>-48</v>
      </c>
      <c r="E589" s="51"/>
      <c r="F589" s="105"/>
      <c r="H589" s="2"/>
      <c r="I589" s="2">
        <v>-1</v>
      </c>
      <c r="J589" s="2">
        <v>0</v>
      </c>
      <c r="K589" s="2">
        <v>0</v>
      </c>
      <c r="L589" s="2">
        <v>-6.2880000000000003</v>
      </c>
      <c r="M589" s="2">
        <v>-7.0359999999999996</v>
      </c>
      <c r="N589" s="244">
        <v>-2.6239999999999999E-2</v>
      </c>
      <c r="O589" s="2" t="s">
        <v>150</v>
      </c>
      <c r="P589" s="2">
        <v>150</v>
      </c>
      <c r="Q589" s="2" t="s">
        <v>151</v>
      </c>
      <c r="R589" s="2" t="s">
        <v>154</v>
      </c>
      <c r="S589" s="2"/>
      <c r="T589" s="2" t="s">
        <v>861</v>
      </c>
      <c r="U589" s="398" t="s">
        <v>861</v>
      </c>
      <c r="V589" s="7">
        <v>0</v>
      </c>
      <c r="W589" s="7" t="s">
        <v>1334</v>
      </c>
    </row>
    <row r="590" spans="1:23" x14ac:dyDescent="0.35">
      <c r="A590" s="2">
        <v>86</v>
      </c>
      <c r="B590" s="109" t="s">
        <v>156</v>
      </c>
      <c r="C590" s="110" t="s">
        <v>157</v>
      </c>
      <c r="D590" s="2">
        <v>-24</v>
      </c>
      <c r="E590" s="51"/>
      <c r="F590" s="105"/>
      <c r="H590" s="2"/>
      <c r="I590" s="2">
        <v>-1</v>
      </c>
      <c r="J590" s="2">
        <v>0</v>
      </c>
      <c r="K590" s="2">
        <v>0</v>
      </c>
      <c r="L590" s="2">
        <v>-3.1440000000000001</v>
      </c>
      <c r="M590" s="2">
        <v>-3.5179999999999998</v>
      </c>
      <c r="N590" s="244">
        <v>-1.312E-2</v>
      </c>
      <c r="O590" s="2" t="s">
        <v>150</v>
      </c>
      <c r="P590" s="2">
        <v>150</v>
      </c>
      <c r="Q590" s="2" t="s">
        <v>151</v>
      </c>
      <c r="R590" s="2" t="s">
        <v>156</v>
      </c>
      <c r="S590" s="2"/>
      <c r="T590" s="2" t="s">
        <v>861</v>
      </c>
      <c r="U590" s="398" t="s">
        <v>861</v>
      </c>
      <c r="V590" s="7">
        <v>0</v>
      </c>
      <c r="W590" s="7" t="s">
        <v>1334</v>
      </c>
    </row>
    <row r="591" spans="1:23" x14ac:dyDescent="0.35">
      <c r="A591" s="2">
        <v>86</v>
      </c>
      <c r="B591" s="109" t="s">
        <v>158</v>
      </c>
      <c r="C591" s="110" t="s">
        <v>159</v>
      </c>
      <c r="D591" s="2">
        <v>-24</v>
      </c>
      <c r="E591" s="51"/>
      <c r="F591" s="105"/>
      <c r="H591" s="2"/>
      <c r="I591" s="2">
        <v>-1</v>
      </c>
      <c r="J591" s="2">
        <v>0</v>
      </c>
      <c r="K591" s="2">
        <v>0</v>
      </c>
      <c r="L591" s="2">
        <v>-3.1440000000000001</v>
      </c>
      <c r="M591" s="2">
        <v>-3.5179999999999998</v>
      </c>
      <c r="N591" s="244">
        <v>-1.312E-2</v>
      </c>
      <c r="O591" s="2" t="s">
        <v>150</v>
      </c>
      <c r="P591" s="2">
        <v>150</v>
      </c>
      <c r="Q591" s="2" t="s">
        <v>151</v>
      </c>
      <c r="R591" s="2" t="s">
        <v>158</v>
      </c>
      <c r="S591" s="2"/>
      <c r="T591" s="2" t="s">
        <v>861</v>
      </c>
      <c r="U591" s="398" t="s">
        <v>861</v>
      </c>
      <c r="V591" s="7">
        <v>0</v>
      </c>
      <c r="W591" s="7" t="s">
        <v>1334</v>
      </c>
    </row>
    <row r="592" spans="1:23" x14ac:dyDescent="0.35">
      <c r="A592" s="2">
        <v>86</v>
      </c>
      <c r="B592" s="109" t="s">
        <v>727</v>
      </c>
      <c r="C592" s="110" t="s">
        <v>728</v>
      </c>
      <c r="D592" s="2">
        <v>-48</v>
      </c>
      <c r="E592" s="51"/>
      <c r="F592" s="105"/>
      <c r="H592" s="2"/>
      <c r="I592" s="2" t="s">
        <v>861</v>
      </c>
      <c r="J592" s="2" t="s">
        <v>861</v>
      </c>
      <c r="K592" s="2" t="s">
        <v>861</v>
      </c>
      <c r="L592" s="2" t="s">
        <v>861</v>
      </c>
      <c r="M592" s="2" t="s">
        <v>861</v>
      </c>
      <c r="N592" s="244" t="s">
        <v>861</v>
      </c>
      <c r="O592" s="2" t="s">
        <v>1055</v>
      </c>
      <c r="P592" s="2">
        <v>50</v>
      </c>
      <c r="Q592" s="2" t="s">
        <v>1154</v>
      </c>
      <c r="R592" s="2" t="s">
        <v>727</v>
      </c>
      <c r="S592" s="2"/>
      <c r="T592" s="2" t="s">
        <v>861</v>
      </c>
      <c r="U592" s="398" t="s">
        <v>861</v>
      </c>
      <c r="V592" s="7">
        <v>0</v>
      </c>
      <c r="W592" s="7" t="s">
        <v>1334</v>
      </c>
    </row>
    <row r="593" spans="1:23" x14ac:dyDescent="0.35">
      <c r="A593" s="2">
        <v>86</v>
      </c>
      <c r="B593" s="109" t="s">
        <v>729</v>
      </c>
      <c r="C593" s="110" t="s">
        <v>730</v>
      </c>
      <c r="D593" s="2">
        <v>-72</v>
      </c>
      <c r="E593" s="51"/>
      <c r="F593" s="105"/>
      <c r="H593" s="2"/>
      <c r="I593" s="2" t="s">
        <v>861</v>
      </c>
      <c r="J593" s="2" t="s">
        <v>861</v>
      </c>
      <c r="K593" s="2" t="s">
        <v>861</v>
      </c>
      <c r="L593" s="2" t="s">
        <v>861</v>
      </c>
      <c r="M593" s="2" t="s">
        <v>861</v>
      </c>
      <c r="N593" s="244" t="s">
        <v>861</v>
      </c>
      <c r="O593" s="2" t="s">
        <v>1055</v>
      </c>
      <c r="P593" s="2">
        <v>50</v>
      </c>
      <c r="Q593" s="2" t="s">
        <v>1154</v>
      </c>
      <c r="R593" s="2" t="s">
        <v>729</v>
      </c>
      <c r="S593" s="2"/>
      <c r="T593" s="2" t="s">
        <v>861</v>
      </c>
      <c r="U593" s="398" t="s">
        <v>861</v>
      </c>
      <c r="V593" s="7">
        <v>0</v>
      </c>
      <c r="W593" s="7" t="s">
        <v>1334</v>
      </c>
    </row>
    <row r="594" spans="1:23" x14ac:dyDescent="0.35">
      <c r="A594" s="2">
        <v>86</v>
      </c>
      <c r="B594" s="109" t="s">
        <v>731</v>
      </c>
      <c r="C594" s="110" t="s">
        <v>732</v>
      </c>
      <c r="D594" s="2">
        <v>-72</v>
      </c>
      <c r="E594" s="51"/>
      <c r="F594" s="105"/>
      <c r="H594" s="2"/>
      <c r="I594" s="2" t="s">
        <v>861</v>
      </c>
      <c r="J594" s="2" t="s">
        <v>861</v>
      </c>
      <c r="K594" s="2" t="s">
        <v>861</v>
      </c>
      <c r="L594" s="2" t="s">
        <v>861</v>
      </c>
      <c r="M594" s="2" t="s">
        <v>861</v>
      </c>
      <c r="N594" s="244" t="s">
        <v>861</v>
      </c>
      <c r="O594" s="2" t="s">
        <v>1055</v>
      </c>
      <c r="P594" s="2">
        <v>50</v>
      </c>
      <c r="Q594" s="2" t="s">
        <v>1154</v>
      </c>
      <c r="R594" s="2" t="s">
        <v>731</v>
      </c>
      <c r="S594" s="2"/>
      <c r="T594" s="2" t="s">
        <v>861</v>
      </c>
      <c r="U594" s="398" t="s">
        <v>861</v>
      </c>
      <c r="V594" s="7">
        <v>0</v>
      </c>
      <c r="W594" s="7" t="s">
        <v>1334</v>
      </c>
    </row>
    <row r="595" spans="1:23" x14ac:dyDescent="0.35">
      <c r="A595" s="2">
        <v>86</v>
      </c>
      <c r="B595" s="109" t="s">
        <v>733</v>
      </c>
      <c r="C595" s="110" t="s">
        <v>734</v>
      </c>
      <c r="D595" s="2">
        <v>-36</v>
      </c>
      <c r="E595" s="51"/>
      <c r="F595" s="105"/>
      <c r="H595" s="2"/>
      <c r="I595" s="2" t="s">
        <v>861</v>
      </c>
      <c r="J595" s="2" t="s">
        <v>861</v>
      </c>
      <c r="K595" s="2" t="s">
        <v>861</v>
      </c>
      <c r="L595" s="2" t="s">
        <v>861</v>
      </c>
      <c r="M595" s="2" t="s">
        <v>861</v>
      </c>
      <c r="N595" s="244" t="s">
        <v>861</v>
      </c>
      <c r="O595" s="2" t="s">
        <v>1055</v>
      </c>
      <c r="P595" s="2">
        <v>50</v>
      </c>
      <c r="Q595" s="2" t="s">
        <v>1154</v>
      </c>
      <c r="R595" s="2" t="s">
        <v>733</v>
      </c>
      <c r="S595" s="2"/>
      <c r="T595" s="2" t="s">
        <v>861</v>
      </c>
      <c r="U595" s="398" t="s">
        <v>861</v>
      </c>
      <c r="V595" s="7">
        <v>0</v>
      </c>
      <c r="W595" s="7" t="s">
        <v>1334</v>
      </c>
    </row>
    <row r="596" spans="1:23" x14ac:dyDescent="0.35">
      <c r="A596" s="2">
        <v>86</v>
      </c>
      <c r="B596" s="109" t="s">
        <v>735</v>
      </c>
      <c r="C596" s="110" t="s">
        <v>736</v>
      </c>
      <c r="D596" s="2">
        <v>-48</v>
      </c>
      <c r="E596" s="51"/>
      <c r="F596" s="105"/>
      <c r="H596" s="2"/>
      <c r="I596" s="2" t="s">
        <v>861</v>
      </c>
      <c r="J596" s="2" t="s">
        <v>861</v>
      </c>
      <c r="K596" s="2" t="s">
        <v>861</v>
      </c>
      <c r="L596" s="2" t="s">
        <v>861</v>
      </c>
      <c r="M596" s="2" t="s">
        <v>861</v>
      </c>
      <c r="N596" s="244" t="s">
        <v>861</v>
      </c>
      <c r="O596" s="2" t="s">
        <v>1055</v>
      </c>
      <c r="P596" s="2">
        <v>50</v>
      </c>
      <c r="Q596" s="2" t="s">
        <v>1154</v>
      </c>
      <c r="R596" s="2" t="s">
        <v>735</v>
      </c>
      <c r="S596" s="2"/>
      <c r="T596" s="2" t="s">
        <v>861</v>
      </c>
      <c r="U596" s="398" t="s">
        <v>861</v>
      </c>
      <c r="V596" s="7">
        <v>0</v>
      </c>
      <c r="W596" s="7" t="s">
        <v>1334</v>
      </c>
    </row>
    <row r="597" spans="1:23" x14ac:dyDescent="0.35">
      <c r="A597" s="2">
        <v>86</v>
      </c>
      <c r="B597" s="109" t="s">
        <v>737</v>
      </c>
      <c r="C597" s="110" t="s">
        <v>738</v>
      </c>
      <c r="D597" s="2">
        <v>-24</v>
      </c>
      <c r="E597" s="51"/>
      <c r="F597" s="105"/>
      <c r="H597" s="2"/>
      <c r="I597" s="2" t="s">
        <v>861</v>
      </c>
      <c r="J597" s="2" t="s">
        <v>861</v>
      </c>
      <c r="K597" s="2" t="s">
        <v>861</v>
      </c>
      <c r="L597" s="2" t="s">
        <v>861</v>
      </c>
      <c r="M597" s="2" t="s">
        <v>861</v>
      </c>
      <c r="N597" s="244" t="s">
        <v>861</v>
      </c>
      <c r="O597" s="2" t="s">
        <v>1055</v>
      </c>
      <c r="P597" s="2">
        <v>50</v>
      </c>
      <c r="Q597" s="2" t="s">
        <v>1154</v>
      </c>
      <c r="R597" s="2" t="s">
        <v>737</v>
      </c>
      <c r="S597" s="2"/>
      <c r="T597" s="2" t="s">
        <v>861</v>
      </c>
      <c r="U597" s="398" t="s">
        <v>861</v>
      </c>
      <c r="V597" s="7">
        <v>0</v>
      </c>
      <c r="W597" s="7" t="s">
        <v>1334</v>
      </c>
    </row>
    <row r="598" spans="1:23" x14ac:dyDescent="0.35">
      <c r="A598" s="2">
        <v>86</v>
      </c>
      <c r="B598" s="109" t="s">
        <v>739</v>
      </c>
      <c r="C598" s="110" t="s">
        <v>740</v>
      </c>
      <c r="D598" s="2">
        <v>-24</v>
      </c>
      <c r="E598" s="51"/>
      <c r="F598" s="105"/>
      <c r="H598" s="2"/>
      <c r="I598" s="2" t="s">
        <v>861</v>
      </c>
      <c r="J598" s="2" t="s">
        <v>861</v>
      </c>
      <c r="K598" s="2" t="s">
        <v>861</v>
      </c>
      <c r="L598" s="2" t="s">
        <v>861</v>
      </c>
      <c r="M598" s="2" t="s">
        <v>861</v>
      </c>
      <c r="N598" s="244" t="s">
        <v>861</v>
      </c>
      <c r="O598" s="2" t="s">
        <v>1055</v>
      </c>
      <c r="P598" s="2">
        <v>50</v>
      </c>
      <c r="Q598" s="2" t="s">
        <v>1154</v>
      </c>
      <c r="R598" s="2" t="s">
        <v>739</v>
      </c>
      <c r="S598" s="2"/>
      <c r="T598" s="2" t="s">
        <v>861</v>
      </c>
      <c r="U598" s="398" t="s">
        <v>861</v>
      </c>
      <c r="V598" s="7">
        <v>0</v>
      </c>
      <c r="W598" s="7" t="s">
        <v>1334</v>
      </c>
    </row>
    <row r="599" spans="1:23" x14ac:dyDescent="0.35">
      <c r="A599" s="2">
        <v>86</v>
      </c>
      <c r="B599" s="109" t="s">
        <v>751</v>
      </c>
      <c r="C599" s="110" t="s">
        <v>752</v>
      </c>
      <c r="D599" s="2">
        <v>-48</v>
      </c>
      <c r="E599" s="51"/>
      <c r="F599" s="105"/>
      <c r="H599" s="2"/>
      <c r="I599" s="2" t="s">
        <v>861</v>
      </c>
      <c r="J599" s="2" t="s">
        <v>861</v>
      </c>
      <c r="K599" s="2" t="s">
        <v>861</v>
      </c>
      <c r="L599" s="2" t="s">
        <v>861</v>
      </c>
      <c r="M599" s="2" t="s">
        <v>861</v>
      </c>
      <c r="N599" s="244" t="s">
        <v>861</v>
      </c>
      <c r="O599" s="2" t="s">
        <v>1055</v>
      </c>
      <c r="P599" s="2">
        <v>50</v>
      </c>
      <c r="Q599" s="2" t="s">
        <v>1155</v>
      </c>
      <c r="R599" s="2" t="s">
        <v>751</v>
      </c>
      <c r="S599" s="2"/>
      <c r="T599" s="2" t="s">
        <v>861</v>
      </c>
      <c r="U599" s="398" t="s">
        <v>861</v>
      </c>
      <c r="V599" s="7">
        <v>0</v>
      </c>
      <c r="W599" s="7" t="s">
        <v>1334</v>
      </c>
    </row>
    <row r="600" spans="1:23" x14ac:dyDescent="0.35">
      <c r="A600" s="2">
        <v>86</v>
      </c>
      <c r="B600" s="109" t="s">
        <v>751</v>
      </c>
      <c r="C600" s="110" t="s">
        <v>752</v>
      </c>
      <c r="D600" s="2">
        <v>-72</v>
      </c>
      <c r="E600" s="51"/>
      <c r="F600" s="105"/>
      <c r="H600" s="2"/>
      <c r="I600" s="2" t="s">
        <v>861</v>
      </c>
      <c r="J600" s="2" t="s">
        <v>861</v>
      </c>
      <c r="K600" s="2" t="s">
        <v>861</v>
      </c>
      <c r="L600" s="2" t="s">
        <v>861</v>
      </c>
      <c r="M600" s="2" t="s">
        <v>861</v>
      </c>
      <c r="N600" s="244" t="s">
        <v>861</v>
      </c>
      <c r="O600" s="2" t="s">
        <v>1055</v>
      </c>
      <c r="P600" s="2">
        <v>50</v>
      </c>
      <c r="Q600" s="2" t="s">
        <v>1155</v>
      </c>
      <c r="R600" s="2" t="s">
        <v>751</v>
      </c>
      <c r="S600" s="2"/>
      <c r="T600" s="2" t="s">
        <v>861</v>
      </c>
      <c r="U600" s="398" t="s">
        <v>861</v>
      </c>
      <c r="V600" s="7">
        <v>0</v>
      </c>
      <c r="W600" s="7" t="s">
        <v>1334</v>
      </c>
    </row>
    <row r="601" spans="1:23" x14ac:dyDescent="0.35">
      <c r="A601" s="2">
        <v>86</v>
      </c>
      <c r="B601" s="109" t="s">
        <v>751</v>
      </c>
      <c r="C601" s="110" t="s">
        <v>752</v>
      </c>
      <c r="D601" s="2">
        <v>-72</v>
      </c>
      <c r="E601" s="51"/>
      <c r="F601" s="105"/>
      <c r="H601" s="2"/>
      <c r="I601" s="2" t="s">
        <v>861</v>
      </c>
      <c r="J601" s="2" t="s">
        <v>861</v>
      </c>
      <c r="K601" s="2" t="s">
        <v>861</v>
      </c>
      <c r="L601" s="2" t="s">
        <v>861</v>
      </c>
      <c r="M601" s="2" t="s">
        <v>861</v>
      </c>
      <c r="N601" s="244" t="s">
        <v>861</v>
      </c>
      <c r="O601" s="2" t="s">
        <v>1055</v>
      </c>
      <c r="P601" s="2">
        <v>50</v>
      </c>
      <c r="Q601" s="2" t="s">
        <v>1155</v>
      </c>
      <c r="R601" s="2" t="s">
        <v>751</v>
      </c>
      <c r="S601" s="2"/>
      <c r="T601" s="2" t="s">
        <v>861</v>
      </c>
      <c r="U601" s="398" t="s">
        <v>861</v>
      </c>
      <c r="V601" s="7">
        <v>0</v>
      </c>
      <c r="W601" s="7" t="s">
        <v>1334</v>
      </c>
    </row>
    <row r="602" spans="1:23" x14ac:dyDescent="0.35">
      <c r="A602" s="2">
        <v>86</v>
      </c>
      <c r="B602" s="109" t="s">
        <v>753</v>
      </c>
      <c r="C602" s="110" t="s">
        <v>754</v>
      </c>
      <c r="D602" s="2">
        <v>-36</v>
      </c>
      <c r="E602" s="51"/>
      <c r="F602" s="105"/>
      <c r="H602" s="2"/>
      <c r="I602" s="2" t="s">
        <v>861</v>
      </c>
      <c r="J602" s="2" t="s">
        <v>861</v>
      </c>
      <c r="K602" s="2" t="s">
        <v>861</v>
      </c>
      <c r="L602" s="2" t="s">
        <v>861</v>
      </c>
      <c r="M602" s="2" t="s">
        <v>861</v>
      </c>
      <c r="N602" s="244" t="s">
        <v>861</v>
      </c>
      <c r="O602" s="2" t="s">
        <v>1055</v>
      </c>
      <c r="P602" s="2">
        <v>50</v>
      </c>
      <c r="Q602" s="2" t="s">
        <v>1155</v>
      </c>
      <c r="R602" s="2" t="s">
        <v>753</v>
      </c>
      <c r="S602" s="2"/>
      <c r="T602" s="2" t="s">
        <v>861</v>
      </c>
      <c r="U602" s="398" t="s">
        <v>861</v>
      </c>
      <c r="V602" s="7">
        <v>0</v>
      </c>
      <c r="W602" s="7" t="s">
        <v>1334</v>
      </c>
    </row>
    <row r="603" spans="1:23" x14ac:dyDescent="0.35">
      <c r="A603" s="2">
        <v>86</v>
      </c>
      <c r="B603" s="109" t="s">
        <v>753</v>
      </c>
      <c r="C603" s="110" t="s">
        <v>754</v>
      </c>
      <c r="D603" s="2">
        <v>-48</v>
      </c>
      <c r="E603" s="51"/>
      <c r="F603" s="105"/>
      <c r="H603" s="2"/>
      <c r="I603" s="2" t="s">
        <v>861</v>
      </c>
      <c r="J603" s="2" t="s">
        <v>861</v>
      </c>
      <c r="K603" s="2" t="s">
        <v>861</v>
      </c>
      <c r="L603" s="2" t="s">
        <v>861</v>
      </c>
      <c r="M603" s="2" t="s">
        <v>861</v>
      </c>
      <c r="N603" s="244" t="s">
        <v>861</v>
      </c>
      <c r="O603" s="2" t="s">
        <v>1055</v>
      </c>
      <c r="P603" s="2">
        <v>50</v>
      </c>
      <c r="Q603" s="2" t="s">
        <v>1155</v>
      </c>
      <c r="R603" s="2" t="s">
        <v>753</v>
      </c>
      <c r="S603" s="2"/>
      <c r="T603" s="2" t="s">
        <v>861</v>
      </c>
      <c r="U603" s="398" t="s">
        <v>861</v>
      </c>
      <c r="V603" s="7">
        <v>0</v>
      </c>
      <c r="W603" s="7" t="s">
        <v>1334</v>
      </c>
    </row>
    <row r="604" spans="1:23" x14ac:dyDescent="0.35">
      <c r="A604" s="2">
        <v>86</v>
      </c>
      <c r="B604" s="109" t="s">
        <v>753</v>
      </c>
      <c r="C604" s="110" t="s">
        <v>754</v>
      </c>
      <c r="D604" s="2">
        <v>-24</v>
      </c>
      <c r="E604" s="51"/>
      <c r="F604" s="105"/>
      <c r="H604" s="2"/>
      <c r="I604" s="2" t="s">
        <v>861</v>
      </c>
      <c r="J604" s="2" t="s">
        <v>861</v>
      </c>
      <c r="K604" s="2" t="s">
        <v>861</v>
      </c>
      <c r="L604" s="2" t="s">
        <v>861</v>
      </c>
      <c r="M604" s="2" t="s">
        <v>861</v>
      </c>
      <c r="N604" s="244" t="s">
        <v>861</v>
      </c>
      <c r="O604" s="2" t="s">
        <v>1055</v>
      </c>
      <c r="P604" s="2">
        <v>50</v>
      </c>
      <c r="Q604" s="2" t="s">
        <v>1155</v>
      </c>
      <c r="R604" s="2" t="s">
        <v>753</v>
      </c>
      <c r="S604" s="2"/>
      <c r="T604" s="2" t="s">
        <v>861</v>
      </c>
      <c r="U604" s="398" t="s">
        <v>861</v>
      </c>
      <c r="V604" s="7">
        <v>0</v>
      </c>
      <c r="W604" s="7" t="s">
        <v>1334</v>
      </c>
    </row>
    <row r="605" spans="1:23" x14ac:dyDescent="0.35">
      <c r="A605" s="2">
        <v>86</v>
      </c>
      <c r="B605" s="109" t="s">
        <v>753</v>
      </c>
      <c r="C605" s="110" t="s">
        <v>754</v>
      </c>
      <c r="D605" s="2">
        <v>-24</v>
      </c>
      <c r="E605" s="51"/>
      <c r="F605" s="105"/>
      <c r="H605" s="2"/>
      <c r="I605" s="2" t="s">
        <v>861</v>
      </c>
      <c r="J605" s="2" t="s">
        <v>861</v>
      </c>
      <c r="K605" s="2" t="s">
        <v>861</v>
      </c>
      <c r="L605" s="2" t="s">
        <v>861</v>
      </c>
      <c r="M605" s="2" t="s">
        <v>861</v>
      </c>
      <c r="N605" s="244" t="s">
        <v>861</v>
      </c>
      <c r="O605" s="2" t="s">
        <v>1055</v>
      </c>
      <c r="P605" s="2">
        <v>50</v>
      </c>
      <c r="Q605" s="2" t="s">
        <v>1155</v>
      </c>
      <c r="R605" s="2" t="s">
        <v>753</v>
      </c>
      <c r="S605" s="2"/>
      <c r="T605" s="2" t="s">
        <v>861</v>
      </c>
      <c r="U605" s="398" t="s">
        <v>861</v>
      </c>
      <c r="V605" s="7">
        <v>0</v>
      </c>
      <c r="W605" s="7" t="s">
        <v>1334</v>
      </c>
    </row>
    <row r="606" spans="1:23" x14ac:dyDescent="0.35">
      <c r="A606" s="2">
        <v>86</v>
      </c>
      <c r="B606" s="109" t="s">
        <v>1667</v>
      </c>
      <c r="C606" s="110" t="s">
        <v>1035</v>
      </c>
      <c r="D606" s="2">
        <v>-4</v>
      </c>
      <c r="E606" s="51"/>
      <c r="F606" s="105"/>
      <c r="H606" s="2"/>
      <c r="I606" s="2" t="s">
        <v>861</v>
      </c>
      <c r="J606" s="2" t="s">
        <v>861</v>
      </c>
      <c r="K606" s="2" t="s">
        <v>861</v>
      </c>
      <c r="L606" s="2" t="s">
        <v>861</v>
      </c>
      <c r="M606" s="2" t="s">
        <v>861</v>
      </c>
      <c r="N606" s="244" t="s">
        <v>861</v>
      </c>
      <c r="O606" s="2" t="s">
        <v>1055</v>
      </c>
      <c r="P606" s="2">
        <v>0</v>
      </c>
      <c r="Q606" s="2" t="s">
        <v>1154</v>
      </c>
      <c r="R606" s="2" t="s">
        <v>1037</v>
      </c>
      <c r="S606" s="2"/>
      <c r="T606" s="2" t="s">
        <v>861</v>
      </c>
      <c r="U606" s="398" t="s">
        <v>861</v>
      </c>
      <c r="V606" s="7">
        <v>0</v>
      </c>
      <c r="W606" s="7" t="s">
        <v>1334</v>
      </c>
    </row>
    <row r="607" spans="1:23" x14ac:dyDescent="0.35">
      <c r="A607" s="2">
        <v>86</v>
      </c>
      <c r="B607" s="109" t="s">
        <v>1667</v>
      </c>
      <c r="C607" s="110" t="s">
        <v>1035</v>
      </c>
      <c r="D607" s="2">
        <v>-6</v>
      </c>
      <c r="E607" s="51"/>
      <c r="F607" s="105"/>
      <c r="H607" s="2"/>
      <c r="I607" s="2" t="s">
        <v>861</v>
      </c>
      <c r="J607" s="2" t="s">
        <v>861</v>
      </c>
      <c r="K607" s="2" t="s">
        <v>861</v>
      </c>
      <c r="L607" s="2" t="s">
        <v>861</v>
      </c>
      <c r="M607" s="2" t="s">
        <v>861</v>
      </c>
      <c r="N607" s="244" t="s">
        <v>861</v>
      </c>
      <c r="O607" s="2" t="s">
        <v>1055</v>
      </c>
      <c r="P607" s="2">
        <v>0</v>
      </c>
      <c r="Q607" s="2" t="s">
        <v>1154</v>
      </c>
      <c r="R607" s="2" t="s">
        <v>1037</v>
      </c>
      <c r="S607" s="2"/>
      <c r="T607" s="2" t="s">
        <v>861</v>
      </c>
      <c r="U607" s="398" t="s">
        <v>861</v>
      </c>
      <c r="V607" s="7">
        <v>0</v>
      </c>
      <c r="W607" s="7" t="s">
        <v>1334</v>
      </c>
    </row>
    <row r="608" spans="1:23" x14ac:dyDescent="0.35">
      <c r="A608" s="2">
        <v>86</v>
      </c>
      <c r="B608" s="109" t="s">
        <v>1667</v>
      </c>
      <c r="C608" s="110" t="s">
        <v>1035</v>
      </c>
      <c r="D608" s="2">
        <v>-6</v>
      </c>
      <c r="E608" s="51"/>
      <c r="F608" s="105"/>
      <c r="H608" s="2"/>
      <c r="I608" s="2" t="s">
        <v>861</v>
      </c>
      <c r="J608" s="2" t="s">
        <v>861</v>
      </c>
      <c r="K608" s="2" t="s">
        <v>861</v>
      </c>
      <c r="L608" s="2" t="s">
        <v>861</v>
      </c>
      <c r="M608" s="2" t="s">
        <v>861</v>
      </c>
      <c r="N608" s="244" t="s">
        <v>861</v>
      </c>
      <c r="O608" s="2" t="s">
        <v>1055</v>
      </c>
      <c r="P608" s="2">
        <v>0</v>
      </c>
      <c r="Q608" s="2" t="s">
        <v>1154</v>
      </c>
      <c r="R608" s="2" t="s">
        <v>1037</v>
      </c>
      <c r="S608" s="2"/>
      <c r="T608" s="2" t="s">
        <v>861</v>
      </c>
      <c r="U608" s="398" t="s">
        <v>861</v>
      </c>
      <c r="V608" s="7">
        <v>0</v>
      </c>
      <c r="W608" s="7" t="s">
        <v>1334</v>
      </c>
    </row>
    <row r="609" spans="1:23" x14ac:dyDescent="0.35">
      <c r="A609" s="2">
        <v>86</v>
      </c>
      <c r="B609" s="109" t="s">
        <v>1667</v>
      </c>
      <c r="C609" s="110" t="s">
        <v>1035</v>
      </c>
      <c r="D609" s="2">
        <v>-3</v>
      </c>
      <c r="E609" s="51"/>
      <c r="F609" s="105"/>
      <c r="H609" s="2"/>
      <c r="I609" s="2" t="s">
        <v>861</v>
      </c>
      <c r="J609" s="2" t="s">
        <v>861</v>
      </c>
      <c r="K609" s="2" t="s">
        <v>861</v>
      </c>
      <c r="L609" s="2" t="s">
        <v>861</v>
      </c>
      <c r="M609" s="2" t="s">
        <v>861</v>
      </c>
      <c r="N609" s="244" t="s">
        <v>861</v>
      </c>
      <c r="O609" s="2" t="s">
        <v>1055</v>
      </c>
      <c r="P609" s="2">
        <v>0</v>
      </c>
      <c r="Q609" s="2" t="s">
        <v>1154</v>
      </c>
      <c r="R609" s="2" t="s">
        <v>1037</v>
      </c>
      <c r="S609" s="2"/>
      <c r="T609" s="2" t="s">
        <v>861</v>
      </c>
      <c r="U609" s="398" t="s">
        <v>861</v>
      </c>
      <c r="V609" s="7">
        <v>0</v>
      </c>
      <c r="W609" s="7" t="s">
        <v>1334</v>
      </c>
    </row>
    <row r="610" spans="1:23" x14ac:dyDescent="0.35">
      <c r="A610" s="2">
        <v>86</v>
      </c>
      <c r="B610" s="109" t="s">
        <v>1667</v>
      </c>
      <c r="C610" s="110" t="s">
        <v>1035</v>
      </c>
      <c r="D610" s="2">
        <v>-4</v>
      </c>
      <c r="E610" s="51"/>
      <c r="F610" s="105"/>
      <c r="H610" s="2"/>
      <c r="I610" s="2" t="s">
        <v>861</v>
      </c>
      <c r="J610" s="2" t="s">
        <v>861</v>
      </c>
      <c r="K610" s="2" t="s">
        <v>861</v>
      </c>
      <c r="L610" s="2" t="s">
        <v>861</v>
      </c>
      <c r="M610" s="2" t="s">
        <v>861</v>
      </c>
      <c r="N610" s="244" t="s">
        <v>861</v>
      </c>
      <c r="O610" s="2" t="s">
        <v>1055</v>
      </c>
      <c r="P610" s="2">
        <v>0</v>
      </c>
      <c r="Q610" s="2" t="s">
        <v>1154</v>
      </c>
      <c r="R610" s="2" t="s">
        <v>1037</v>
      </c>
      <c r="S610" s="2"/>
      <c r="T610" s="2" t="s">
        <v>861</v>
      </c>
      <c r="U610" s="398" t="s">
        <v>861</v>
      </c>
      <c r="V610" s="7">
        <v>0</v>
      </c>
      <c r="W610" s="7" t="s">
        <v>1334</v>
      </c>
    </row>
    <row r="611" spans="1:23" x14ac:dyDescent="0.35">
      <c r="A611" s="2">
        <v>86</v>
      </c>
      <c r="B611" s="109" t="s">
        <v>1667</v>
      </c>
      <c r="C611" s="110" t="s">
        <v>1035</v>
      </c>
      <c r="D611" s="2">
        <v>-2</v>
      </c>
      <c r="E611" s="51"/>
      <c r="F611" s="105"/>
      <c r="H611" s="2"/>
      <c r="I611" s="2" t="s">
        <v>861</v>
      </c>
      <c r="J611" s="2" t="s">
        <v>861</v>
      </c>
      <c r="K611" s="2" t="s">
        <v>861</v>
      </c>
      <c r="L611" s="2" t="s">
        <v>861</v>
      </c>
      <c r="M611" s="2" t="s">
        <v>861</v>
      </c>
      <c r="N611" s="244" t="s">
        <v>861</v>
      </c>
      <c r="O611" s="2" t="s">
        <v>1055</v>
      </c>
      <c r="P611" s="2">
        <v>0</v>
      </c>
      <c r="Q611" s="2" t="s">
        <v>1154</v>
      </c>
      <c r="R611" s="2" t="s">
        <v>1037</v>
      </c>
      <c r="S611" s="2"/>
      <c r="T611" s="2" t="s">
        <v>861</v>
      </c>
      <c r="U611" s="398" t="s">
        <v>861</v>
      </c>
      <c r="V611" s="7">
        <v>0</v>
      </c>
      <c r="W611" s="7" t="s">
        <v>1334</v>
      </c>
    </row>
    <row r="612" spans="1:23" x14ac:dyDescent="0.35">
      <c r="A612" s="2">
        <v>86</v>
      </c>
      <c r="B612" s="109" t="s">
        <v>1667</v>
      </c>
      <c r="C612" s="110" t="s">
        <v>1035</v>
      </c>
      <c r="D612" s="2">
        <v>-2</v>
      </c>
      <c r="E612" s="51"/>
      <c r="F612" s="105"/>
      <c r="H612" s="2"/>
      <c r="I612" s="2" t="s">
        <v>861</v>
      </c>
      <c r="J612" s="2" t="s">
        <v>861</v>
      </c>
      <c r="K612" s="2" t="s">
        <v>861</v>
      </c>
      <c r="L612" s="2" t="s">
        <v>861</v>
      </c>
      <c r="M612" s="2" t="s">
        <v>861</v>
      </c>
      <c r="N612" s="244" t="s">
        <v>861</v>
      </c>
      <c r="O612" s="2" t="s">
        <v>1055</v>
      </c>
      <c r="P612" s="2">
        <v>0</v>
      </c>
      <c r="Q612" s="2" t="s">
        <v>1154</v>
      </c>
      <c r="R612" s="2" t="s">
        <v>1037</v>
      </c>
      <c r="S612" s="2"/>
      <c r="T612" s="2" t="s">
        <v>861</v>
      </c>
      <c r="U612" s="398" t="s">
        <v>861</v>
      </c>
      <c r="V612" s="7">
        <v>0</v>
      </c>
      <c r="W612" s="7" t="s">
        <v>1334</v>
      </c>
    </row>
    <row r="613" spans="1:23" x14ac:dyDescent="0.35">
      <c r="A613" s="2">
        <v>86</v>
      </c>
      <c r="B613" s="109" t="s">
        <v>737</v>
      </c>
      <c r="C613" s="110" t="s">
        <v>738</v>
      </c>
      <c r="D613" s="2">
        <v>-10</v>
      </c>
      <c r="E613" s="51"/>
      <c r="F613" s="105"/>
      <c r="H613" s="2"/>
      <c r="I613" s="2" t="s">
        <v>861</v>
      </c>
      <c r="J613" s="2" t="s">
        <v>861</v>
      </c>
      <c r="K613" s="2" t="s">
        <v>861</v>
      </c>
      <c r="L613" s="2" t="s">
        <v>861</v>
      </c>
      <c r="M613" s="2" t="s">
        <v>861</v>
      </c>
      <c r="N613" s="244" t="s">
        <v>861</v>
      </c>
      <c r="O613" s="2" t="s">
        <v>1055</v>
      </c>
      <c r="P613" s="2">
        <v>50</v>
      </c>
      <c r="Q613" s="2" t="s">
        <v>1154</v>
      </c>
      <c r="R613" s="2" t="s">
        <v>737</v>
      </c>
      <c r="S613" s="2"/>
      <c r="T613" s="2" t="s">
        <v>861</v>
      </c>
      <c r="U613" s="398" t="s">
        <v>861</v>
      </c>
      <c r="V613" s="7">
        <v>0</v>
      </c>
      <c r="W613" s="7" t="s">
        <v>1334</v>
      </c>
    </row>
    <row r="614" spans="1:23" x14ac:dyDescent="0.35">
      <c r="A614" s="2">
        <v>87</v>
      </c>
      <c r="B614" s="109" t="s">
        <v>112</v>
      </c>
      <c r="C614" s="110" t="s">
        <v>113</v>
      </c>
      <c r="D614" s="2">
        <v>2640</v>
      </c>
      <c r="E614" s="51">
        <v>12.5</v>
      </c>
      <c r="F614" s="105">
        <v>476</v>
      </c>
      <c r="G614" s="51">
        <v>6.25</v>
      </c>
      <c r="H614" s="2">
        <v>168</v>
      </c>
      <c r="I614" s="2">
        <v>110</v>
      </c>
      <c r="J614" s="2">
        <v>20</v>
      </c>
      <c r="K614" s="2">
        <v>7</v>
      </c>
      <c r="L614" s="2">
        <v>1297.18</v>
      </c>
      <c r="M614" s="2">
        <v>1354.65</v>
      </c>
      <c r="N614" s="244">
        <v>2.3668745833333333</v>
      </c>
      <c r="O614" s="2" t="s">
        <v>108</v>
      </c>
      <c r="P614" s="2">
        <v>100</v>
      </c>
      <c r="Q614" s="2" t="s">
        <v>55</v>
      </c>
      <c r="R614" s="2" t="s">
        <v>112</v>
      </c>
      <c r="S614" s="2"/>
      <c r="T614" s="2">
        <v>11.68</v>
      </c>
      <c r="U614" s="398">
        <v>36394.879999999997</v>
      </c>
      <c r="V614" s="7">
        <v>35975</v>
      </c>
      <c r="W614" s="7" t="s">
        <v>660</v>
      </c>
    </row>
    <row r="615" spans="1:23" x14ac:dyDescent="0.35">
      <c r="A615" s="2">
        <v>87</v>
      </c>
      <c r="B615" s="109" t="s">
        <v>129</v>
      </c>
      <c r="C615" s="110" t="s">
        <v>647</v>
      </c>
      <c r="D615" s="2"/>
      <c r="E615" s="51"/>
      <c r="F615" s="105"/>
      <c r="H615" s="2">
        <v>272</v>
      </c>
      <c r="I615" s="2">
        <v>0</v>
      </c>
      <c r="J615" s="2">
        <v>0</v>
      </c>
      <c r="K615" s="2">
        <v>12</v>
      </c>
      <c r="L615" s="2">
        <v>103.36</v>
      </c>
      <c r="M615" s="2">
        <v>107.66666666666667</v>
      </c>
      <c r="N615" s="244">
        <v>0.19868749999999999</v>
      </c>
      <c r="O615" s="2" t="s">
        <v>125</v>
      </c>
      <c r="P615" s="2">
        <v>100</v>
      </c>
      <c r="Q615" s="2" t="s">
        <v>55</v>
      </c>
      <c r="R615" s="2" t="s">
        <v>129</v>
      </c>
      <c r="S615" s="2"/>
      <c r="T615" s="2">
        <v>0</v>
      </c>
      <c r="U615" s="398">
        <v>0</v>
      </c>
      <c r="V615" s="7">
        <v>0</v>
      </c>
      <c r="W615" s="7" t="s">
        <v>660</v>
      </c>
    </row>
    <row r="616" spans="1:23" x14ac:dyDescent="0.35">
      <c r="A616" s="2">
        <v>88</v>
      </c>
      <c r="B616" s="109" t="s">
        <v>107</v>
      </c>
      <c r="C616" s="110" t="s">
        <v>109</v>
      </c>
      <c r="D616" s="2">
        <v>600</v>
      </c>
      <c r="E616" s="51">
        <v>12.5</v>
      </c>
      <c r="F616" s="105"/>
      <c r="H616" s="2">
        <v>60</v>
      </c>
      <c r="I616" s="2">
        <v>25</v>
      </c>
      <c r="J616" s="2">
        <v>0</v>
      </c>
      <c r="K616" s="2">
        <v>3</v>
      </c>
      <c r="L616" s="2">
        <v>260.7</v>
      </c>
      <c r="M616" s="2">
        <v>272.25</v>
      </c>
      <c r="N616" s="244">
        <v>0.47568125</v>
      </c>
      <c r="O616" s="2" t="s">
        <v>108</v>
      </c>
      <c r="P616" s="2">
        <v>100</v>
      </c>
      <c r="Q616" s="2" t="s">
        <v>55</v>
      </c>
      <c r="R616" s="2" t="s">
        <v>107</v>
      </c>
      <c r="S616" s="2"/>
      <c r="T616" s="2">
        <v>11.68</v>
      </c>
      <c r="U616" s="398">
        <v>7008</v>
      </c>
      <c r="V616" s="7">
        <v>7500</v>
      </c>
      <c r="W616" s="7" t="s">
        <v>660</v>
      </c>
    </row>
    <row r="617" spans="1:23" x14ac:dyDescent="0.35">
      <c r="A617" s="2">
        <v>88</v>
      </c>
      <c r="B617" s="109" t="s">
        <v>110</v>
      </c>
      <c r="C617" s="110" t="s">
        <v>111</v>
      </c>
      <c r="D617" s="2">
        <v>300</v>
      </c>
      <c r="E617" s="51">
        <v>12.5</v>
      </c>
      <c r="F617" s="105"/>
      <c r="H617" s="2">
        <v>22</v>
      </c>
      <c r="I617" s="2">
        <v>13</v>
      </c>
      <c r="J617" s="2">
        <v>0</v>
      </c>
      <c r="K617" s="2">
        <v>1</v>
      </c>
      <c r="L617" s="2">
        <v>127.19</v>
      </c>
      <c r="M617" s="2">
        <v>132.82499999999999</v>
      </c>
      <c r="N617" s="244">
        <v>0.23207479166666667</v>
      </c>
      <c r="O617" s="2" t="s">
        <v>108</v>
      </c>
      <c r="P617" s="2">
        <v>100</v>
      </c>
      <c r="Q617" s="2" t="s">
        <v>55</v>
      </c>
      <c r="R617" s="2" t="s">
        <v>110</v>
      </c>
      <c r="S617" s="2"/>
      <c r="T617" s="2">
        <v>11.68</v>
      </c>
      <c r="U617" s="398">
        <v>3504</v>
      </c>
      <c r="V617" s="7">
        <v>3750</v>
      </c>
      <c r="W617" s="7" t="s">
        <v>660</v>
      </c>
    </row>
    <row r="618" spans="1:23" x14ac:dyDescent="0.35">
      <c r="A618" s="2">
        <v>88</v>
      </c>
      <c r="B618" s="109" t="s">
        <v>112</v>
      </c>
      <c r="C618" s="110" t="s">
        <v>113</v>
      </c>
      <c r="D618" s="2">
        <v>300</v>
      </c>
      <c r="E618" s="51">
        <v>12.5</v>
      </c>
      <c r="F618" s="105">
        <v>100</v>
      </c>
      <c r="G618" s="51">
        <v>6.25</v>
      </c>
      <c r="H618" s="2">
        <v>50</v>
      </c>
      <c r="I618" s="2">
        <v>13</v>
      </c>
      <c r="J618" s="2">
        <v>5</v>
      </c>
      <c r="K618" s="2">
        <v>3</v>
      </c>
      <c r="L618" s="2">
        <v>177.75</v>
      </c>
      <c r="M618" s="2">
        <v>185.625</v>
      </c>
      <c r="N618" s="244">
        <v>0.32432812500000002</v>
      </c>
      <c r="O618" s="2" t="s">
        <v>108</v>
      </c>
      <c r="P618" s="2">
        <v>100</v>
      </c>
      <c r="Q618" s="2" t="s">
        <v>55</v>
      </c>
      <c r="R618" s="2" t="s">
        <v>112</v>
      </c>
      <c r="S618" s="2"/>
      <c r="T618" s="2">
        <v>11.68</v>
      </c>
      <c r="U618" s="398">
        <v>4672</v>
      </c>
      <c r="V618" s="7">
        <v>4375</v>
      </c>
      <c r="W618" s="7" t="s">
        <v>660</v>
      </c>
    </row>
    <row r="619" spans="1:23" x14ac:dyDescent="0.35">
      <c r="A619" s="2">
        <v>88</v>
      </c>
      <c r="B619" s="109" t="s">
        <v>114</v>
      </c>
      <c r="C619" s="110" t="s">
        <v>115</v>
      </c>
      <c r="D619" s="2">
        <v>350</v>
      </c>
      <c r="E619" s="51">
        <v>12.5</v>
      </c>
      <c r="F619" s="105"/>
      <c r="H619" s="2"/>
      <c r="I619" s="2">
        <v>15</v>
      </c>
      <c r="J619" s="2">
        <v>0</v>
      </c>
      <c r="K619" s="2">
        <v>0</v>
      </c>
      <c r="L619" s="2">
        <v>138.25</v>
      </c>
      <c r="M619" s="2">
        <v>144.375</v>
      </c>
      <c r="N619" s="244">
        <v>0.25225520833333337</v>
      </c>
      <c r="O619" s="2" t="s">
        <v>108</v>
      </c>
      <c r="P619" s="2">
        <v>100</v>
      </c>
      <c r="Q619" s="2" t="s">
        <v>55</v>
      </c>
      <c r="R619" s="2" t="s">
        <v>114</v>
      </c>
      <c r="S619" s="2"/>
      <c r="T619" s="2">
        <v>11.68</v>
      </c>
      <c r="U619" s="398">
        <v>4088</v>
      </c>
      <c r="V619" s="7">
        <v>4375</v>
      </c>
      <c r="W619" s="7" t="s">
        <v>660</v>
      </c>
    </row>
    <row r="620" spans="1:23" x14ac:dyDescent="0.35">
      <c r="A620" s="2">
        <v>88</v>
      </c>
      <c r="B620" s="109" t="s">
        <v>116</v>
      </c>
      <c r="C620" s="110" t="s">
        <v>117</v>
      </c>
      <c r="D620" s="2">
        <v>100</v>
      </c>
      <c r="E620" s="51"/>
      <c r="F620" s="105">
        <v>100</v>
      </c>
      <c r="G620" s="51">
        <v>6.25</v>
      </c>
      <c r="H620" s="2"/>
      <c r="I620" s="2">
        <v>5</v>
      </c>
      <c r="J620" s="2">
        <v>5</v>
      </c>
      <c r="K620" s="2">
        <v>0</v>
      </c>
      <c r="L620" s="2">
        <v>76</v>
      </c>
      <c r="M620" s="2">
        <v>79.166666666666671</v>
      </c>
      <c r="N620" s="244">
        <v>0.14609374999999999</v>
      </c>
      <c r="O620" s="2" t="s">
        <v>108</v>
      </c>
      <c r="P620" s="2">
        <v>100</v>
      </c>
      <c r="Q620" s="2" t="s">
        <v>55</v>
      </c>
      <c r="R620" s="2" t="s">
        <v>116</v>
      </c>
      <c r="S620" s="2"/>
      <c r="T620" s="2">
        <v>11.68</v>
      </c>
      <c r="U620" s="398">
        <v>2336</v>
      </c>
      <c r="V620" s="7">
        <v>625</v>
      </c>
      <c r="W620" s="7" t="s">
        <v>660</v>
      </c>
    </row>
    <row r="621" spans="1:23" x14ac:dyDescent="0.35">
      <c r="A621" s="2">
        <v>88</v>
      </c>
      <c r="B621" s="109" t="s">
        <v>120</v>
      </c>
      <c r="C621" s="110" t="s">
        <v>121</v>
      </c>
      <c r="D621" s="2">
        <v>100</v>
      </c>
      <c r="E621" s="51"/>
      <c r="F621" s="105">
        <v>100</v>
      </c>
      <c r="G621" s="51">
        <v>6.25</v>
      </c>
      <c r="H621" s="2"/>
      <c r="I621" s="2">
        <v>5</v>
      </c>
      <c r="J621" s="2">
        <v>5</v>
      </c>
      <c r="K621" s="2">
        <v>0</v>
      </c>
      <c r="L621" s="2">
        <v>76</v>
      </c>
      <c r="M621" s="2">
        <v>79.166666666666671</v>
      </c>
      <c r="N621" s="244">
        <v>0.14609374999999999</v>
      </c>
      <c r="O621" s="2" t="s">
        <v>108</v>
      </c>
      <c r="P621" s="2">
        <v>100</v>
      </c>
      <c r="Q621" s="2" t="s">
        <v>55</v>
      </c>
      <c r="R621" s="2" t="s">
        <v>120</v>
      </c>
      <c r="S621" s="2"/>
      <c r="T621" s="2">
        <v>11.68</v>
      </c>
      <c r="U621" s="398">
        <v>2336</v>
      </c>
      <c r="V621" s="7">
        <v>625</v>
      </c>
      <c r="W621" s="7" t="s">
        <v>660</v>
      </c>
    </row>
    <row r="622" spans="1:23" x14ac:dyDescent="0.35">
      <c r="A622" s="2">
        <v>88</v>
      </c>
      <c r="B622" s="109" t="s">
        <v>122</v>
      </c>
      <c r="C622" s="110" t="s">
        <v>123</v>
      </c>
      <c r="D622" s="2">
        <v>80</v>
      </c>
      <c r="E622" s="51"/>
      <c r="F622" s="105">
        <v>80</v>
      </c>
      <c r="G622" s="51">
        <v>6.25</v>
      </c>
      <c r="H622" s="2"/>
      <c r="I622" s="2">
        <v>4</v>
      </c>
      <c r="J622" s="2">
        <v>4</v>
      </c>
      <c r="K622" s="2">
        <v>0</v>
      </c>
      <c r="L622" s="2">
        <v>60.8</v>
      </c>
      <c r="M622" s="2">
        <v>63.333333333333336</v>
      </c>
      <c r="N622" s="244">
        <v>0.11687500000000001</v>
      </c>
      <c r="O622" s="2" t="s">
        <v>108</v>
      </c>
      <c r="P622" s="2">
        <v>100</v>
      </c>
      <c r="Q622" s="2" t="s">
        <v>55</v>
      </c>
      <c r="R622" s="2" t="s">
        <v>122</v>
      </c>
      <c r="S622" s="2"/>
      <c r="T622" s="2">
        <v>11.68</v>
      </c>
      <c r="U622" s="398">
        <v>1868.8</v>
      </c>
      <c r="V622" s="7">
        <v>500</v>
      </c>
      <c r="W622" s="7" t="s">
        <v>660</v>
      </c>
    </row>
    <row r="623" spans="1:23" x14ac:dyDescent="0.35">
      <c r="A623" s="2">
        <v>88</v>
      </c>
      <c r="B623" s="109" t="s">
        <v>124</v>
      </c>
      <c r="C623" s="110" t="s">
        <v>126</v>
      </c>
      <c r="D623" s="2"/>
      <c r="E623" s="51"/>
      <c r="F623" s="105">
        <v>50</v>
      </c>
      <c r="G623" s="51">
        <v>6.25</v>
      </c>
      <c r="H623" s="2">
        <v>100</v>
      </c>
      <c r="I623" s="2">
        <v>0</v>
      </c>
      <c r="J623" s="2">
        <v>3</v>
      </c>
      <c r="K623" s="2">
        <v>5</v>
      </c>
      <c r="L623" s="2">
        <v>56.999999999999993</v>
      </c>
      <c r="M623" s="2">
        <v>59.375</v>
      </c>
      <c r="N623" s="244">
        <v>0.1095703125</v>
      </c>
      <c r="O623" s="2" t="s">
        <v>125</v>
      </c>
      <c r="P623" s="2">
        <v>100</v>
      </c>
      <c r="Q623" s="2" t="s">
        <v>55</v>
      </c>
      <c r="R623" s="2" t="s">
        <v>124</v>
      </c>
      <c r="S623" s="2"/>
      <c r="T623" s="2">
        <v>0</v>
      </c>
      <c r="U623" s="398">
        <v>0</v>
      </c>
      <c r="V623" s="7">
        <v>312.5</v>
      </c>
      <c r="W623" s="7" t="s">
        <v>660</v>
      </c>
    </row>
    <row r="624" spans="1:23" x14ac:dyDescent="0.35">
      <c r="A624" s="2">
        <v>88</v>
      </c>
      <c r="B624" s="109" t="s">
        <v>127</v>
      </c>
      <c r="C624" s="110" t="s">
        <v>128</v>
      </c>
      <c r="D624" s="2"/>
      <c r="E624" s="51"/>
      <c r="F624" s="105">
        <v>100</v>
      </c>
      <c r="G624" s="51">
        <v>6.25</v>
      </c>
      <c r="H624" s="2">
        <v>50</v>
      </c>
      <c r="I624" s="2">
        <v>0</v>
      </c>
      <c r="J624" s="2">
        <v>5</v>
      </c>
      <c r="K624" s="2">
        <v>3</v>
      </c>
      <c r="L624" s="2">
        <v>56.999999999999993</v>
      </c>
      <c r="M624" s="2">
        <v>59.375</v>
      </c>
      <c r="N624" s="244">
        <v>0.1095703125</v>
      </c>
      <c r="O624" s="2" t="s">
        <v>125</v>
      </c>
      <c r="P624" s="2">
        <v>100</v>
      </c>
      <c r="Q624" s="2" t="s">
        <v>55</v>
      </c>
      <c r="R624" s="2" t="s">
        <v>127</v>
      </c>
      <c r="S624" s="2"/>
      <c r="T624" s="2">
        <v>0</v>
      </c>
      <c r="U624" s="398">
        <v>0</v>
      </c>
      <c r="V624" s="7">
        <v>625</v>
      </c>
      <c r="W624" s="7" t="s">
        <v>660</v>
      </c>
    </row>
    <row r="625" spans="1:23" x14ac:dyDescent="0.35">
      <c r="A625" s="2">
        <v>88</v>
      </c>
      <c r="B625" s="109" t="s">
        <v>131</v>
      </c>
      <c r="C625" s="110" t="s">
        <v>132</v>
      </c>
      <c r="D625" s="2"/>
      <c r="E625" s="51"/>
      <c r="F625" s="105">
        <v>92</v>
      </c>
      <c r="G625" s="51">
        <v>6.25</v>
      </c>
      <c r="H625" s="2">
        <v>83</v>
      </c>
      <c r="I625" s="2">
        <v>0</v>
      </c>
      <c r="J625" s="2">
        <v>4</v>
      </c>
      <c r="K625" s="2">
        <v>4</v>
      </c>
      <c r="L625" s="2">
        <v>66.5</v>
      </c>
      <c r="M625" s="2">
        <v>69.270833333333343</v>
      </c>
      <c r="N625" s="244">
        <v>0.12783203125000001</v>
      </c>
      <c r="O625" s="2" t="s">
        <v>125</v>
      </c>
      <c r="P625" s="2">
        <v>100</v>
      </c>
      <c r="Q625" s="2" t="s">
        <v>55</v>
      </c>
      <c r="R625" s="2" t="s">
        <v>131</v>
      </c>
      <c r="S625" s="2"/>
      <c r="T625" s="2">
        <v>0</v>
      </c>
      <c r="U625" s="398">
        <v>0</v>
      </c>
      <c r="V625" s="7">
        <v>575</v>
      </c>
      <c r="W625" s="7" t="s">
        <v>660</v>
      </c>
    </row>
    <row r="626" spans="1:23" x14ac:dyDescent="0.35">
      <c r="A626" s="2">
        <v>89</v>
      </c>
      <c r="B626" s="109" t="s">
        <v>91</v>
      </c>
      <c r="C626" s="110" t="s">
        <v>92</v>
      </c>
      <c r="D626" s="2">
        <v>1536</v>
      </c>
      <c r="E626" s="51">
        <v>4.25</v>
      </c>
      <c r="F626" s="105"/>
      <c r="H626" s="2">
        <v>312</v>
      </c>
      <c r="I626" s="2">
        <v>64</v>
      </c>
      <c r="J626" s="2">
        <v>0</v>
      </c>
      <c r="K626" s="2">
        <v>13</v>
      </c>
      <c r="L626" s="2">
        <v>579.04</v>
      </c>
      <c r="M626" s="2">
        <v>633.71</v>
      </c>
      <c r="N626" s="244">
        <v>1.728342</v>
      </c>
      <c r="O626" s="2" t="s">
        <v>934</v>
      </c>
      <c r="P626" s="2">
        <v>100</v>
      </c>
      <c r="Q626" s="2" t="s">
        <v>55</v>
      </c>
      <c r="R626" s="2" t="s">
        <v>91</v>
      </c>
      <c r="S626" s="2"/>
      <c r="T626" s="2">
        <v>5</v>
      </c>
      <c r="U626" s="398">
        <v>7680</v>
      </c>
      <c r="V626" s="7">
        <v>6528</v>
      </c>
      <c r="W626" s="7" t="s">
        <v>660</v>
      </c>
    </row>
    <row r="627" spans="1:23" x14ac:dyDescent="0.35">
      <c r="A627" s="2">
        <v>89</v>
      </c>
      <c r="B627" s="109" t="s">
        <v>93</v>
      </c>
      <c r="C627" s="110" t="s">
        <v>94</v>
      </c>
      <c r="D627" s="2">
        <v>1536</v>
      </c>
      <c r="E627" s="51">
        <v>4.25</v>
      </c>
      <c r="F627" s="105"/>
      <c r="H627" s="2">
        <v>312</v>
      </c>
      <c r="I627" s="2">
        <v>64</v>
      </c>
      <c r="J627" s="2">
        <v>0</v>
      </c>
      <c r="K627" s="2">
        <v>13</v>
      </c>
      <c r="L627" s="2">
        <v>579.04</v>
      </c>
      <c r="M627" s="2">
        <v>633.71</v>
      </c>
      <c r="N627" s="244">
        <v>1.728342</v>
      </c>
      <c r="O627" s="2" t="s">
        <v>934</v>
      </c>
      <c r="P627" s="2">
        <v>100</v>
      </c>
      <c r="Q627" s="2" t="s">
        <v>55</v>
      </c>
      <c r="R627" s="2" t="s">
        <v>93</v>
      </c>
      <c r="S627" s="2"/>
      <c r="T627" s="2">
        <v>5</v>
      </c>
      <c r="U627" s="398">
        <v>7680</v>
      </c>
      <c r="V627" s="7">
        <v>6528</v>
      </c>
      <c r="W627" s="7" t="s">
        <v>660</v>
      </c>
    </row>
    <row r="628" spans="1:23" x14ac:dyDescent="0.35">
      <c r="A628" s="2">
        <v>89</v>
      </c>
      <c r="B628" s="109" t="s">
        <v>95</v>
      </c>
      <c r="C628" s="110" t="s">
        <v>96</v>
      </c>
      <c r="D628" s="2">
        <v>1536</v>
      </c>
      <c r="E628" s="51">
        <v>4.25</v>
      </c>
      <c r="F628" s="105"/>
      <c r="H628" s="2">
        <v>312</v>
      </c>
      <c r="I628" s="2">
        <v>64</v>
      </c>
      <c r="J628" s="2">
        <v>0</v>
      </c>
      <c r="K628" s="2">
        <v>13</v>
      </c>
      <c r="L628" s="2">
        <v>579.04</v>
      </c>
      <c r="M628" s="2">
        <v>633.71</v>
      </c>
      <c r="N628" s="244">
        <v>1.728342</v>
      </c>
      <c r="O628" s="2" t="s">
        <v>934</v>
      </c>
      <c r="P628" s="2">
        <v>100</v>
      </c>
      <c r="Q628" s="2" t="s">
        <v>55</v>
      </c>
      <c r="R628" s="2" t="s">
        <v>95</v>
      </c>
      <c r="S628" s="2"/>
      <c r="T628" s="2">
        <v>5</v>
      </c>
      <c r="U628" s="398">
        <v>7680</v>
      </c>
      <c r="V628" s="7">
        <v>6528</v>
      </c>
      <c r="W628" s="7" t="s">
        <v>660</v>
      </c>
    </row>
    <row r="629" spans="1:23" x14ac:dyDescent="0.35">
      <c r="A629" s="2">
        <v>89</v>
      </c>
      <c r="B629" s="109" t="s">
        <v>97</v>
      </c>
      <c r="C629" s="110" t="s">
        <v>98</v>
      </c>
      <c r="D629" s="2">
        <v>1536</v>
      </c>
      <c r="E629" s="51">
        <v>4.25</v>
      </c>
      <c r="F629" s="105"/>
      <c r="H629" s="2">
        <v>312</v>
      </c>
      <c r="I629" s="2">
        <v>64</v>
      </c>
      <c r="J629" s="2">
        <v>0</v>
      </c>
      <c r="K629" s="2">
        <v>13</v>
      </c>
      <c r="L629" s="2">
        <v>579.04</v>
      </c>
      <c r="M629" s="2">
        <v>633.71</v>
      </c>
      <c r="N629" s="244">
        <v>1.728342</v>
      </c>
      <c r="O629" s="2" t="s">
        <v>934</v>
      </c>
      <c r="P629" s="2">
        <v>100</v>
      </c>
      <c r="Q629" s="2" t="s">
        <v>55</v>
      </c>
      <c r="R629" s="2" t="s">
        <v>97</v>
      </c>
      <c r="S629" s="2"/>
      <c r="T629" s="2">
        <v>5</v>
      </c>
      <c r="U629" s="398">
        <v>7680</v>
      </c>
      <c r="V629" s="7">
        <v>6528</v>
      </c>
      <c r="W629" s="7" t="s">
        <v>660</v>
      </c>
    </row>
    <row r="630" spans="1:23" x14ac:dyDescent="0.35">
      <c r="A630" s="2">
        <v>89</v>
      </c>
      <c r="B630" s="109" t="s">
        <v>64</v>
      </c>
      <c r="C630" s="110" t="s">
        <v>65</v>
      </c>
      <c r="D630" s="2">
        <v>1320</v>
      </c>
      <c r="E630" s="51">
        <v>3.5</v>
      </c>
      <c r="F630" s="105"/>
      <c r="H630" s="2">
        <v>312</v>
      </c>
      <c r="I630" s="2">
        <v>55</v>
      </c>
      <c r="J630" s="2">
        <v>0</v>
      </c>
      <c r="K630" s="2">
        <v>13</v>
      </c>
      <c r="L630" s="2">
        <v>318.24</v>
      </c>
      <c r="M630" s="2">
        <v>345.44</v>
      </c>
      <c r="N630" s="244">
        <v>1.2536004000000001</v>
      </c>
      <c r="O630" s="2" t="s">
        <v>934</v>
      </c>
      <c r="P630" s="2">
        <v>50</v>
      </c>
      <c r="Q630" s="2" t="s">
        <v>55</v>
      </c>
      <c r="R630" s="2" t="s">
        <v>64</v>
      </c>
      <c r="S630" s="2"/>
      <c r="T630" s="2">
        <v>4.4139999999999997</v>
      </c>
      <c r="U630" s="398">
        <v>5826.48</v>
      </c>
      <c r="V630" s="7">
        <v>4620</v>
      </c>
      <c r="W630" s="7" t="s">
        <v>660</v>
      </c>
    </row>
    <row r="631" spans="1:23" x14ac:dyDescent="0.35">
      <c r="A631" s="2">
        <v>89</v>
      </c>
      <c r="B631" s="109" t="s">
        <v>66</v>
      </c>
      <c r="C631" s="110" t="s">
        <v>67</v>
      </c>
      <c r="D631" s="2">
        <v>1320</v>
      </c>
      <c r="E631" s="51">
        <v>3.5</v>
      </c>
      <c r="F631" s="105"/>
      <c r="H631" s="2">
        <v>312</v>
      </c>
      <c r="I631" s="2">
        <v>55</v>
      </c>
      <c r="J631" s="2">
        <v>0</v>
      </c>
      <c r="K631" s="2">
        <v>13</v>
      </c>
      <c r="L631" s="2">
        <v>318.24</v>
      </c>
      <c r="M631" s="2">
        <v>345.44</v>
      </c>
      <c r="N631" s="244">
        <v>1.2536004000000001</v>
      </c>
      <c r="O631" s="2" t="s">
        <v>934</v>
      </c>
      <c r="P631" s="2">
        <v>50</v>
      </c>
      <c r="Q631" s="2" t="s">
        <v>55</v>
      </c>
      <c r="R631" s="2" t="s">
        <v>66</v>
      </c>
      <c r="S631" s="2"/>
      <c r="T631" s="2">
        <v>4.4139999999999997</v>
      </c>
      <c r="U631" s="398">
        <v>5826.48</v>
      </c>
      <c r="V631" s="7">
        <v>4620</v>
      </c>
      <c r="W631" s="7" t="s">
        <v>660</v>
      </c>
    </row>
    <row r="632" spans="1:23" x14ac:dyDescent="0.35">
      <c r="A632" s="2">
        <v>89</v>
      </c>
      <c r="B632" s="109" t="s">
        <v>68</v>
      </c>
      <c r="C632" s="110" t="s">
        <v>69</v>
      </c>
      <c r="D632" s="2">
        <v>1320</v>
      </c>
      <c r="E632" s="51">
        <v>3.5</v>
      </c>
      <c r="F632" s="105"/>
      <c r="H632" s="2">
        <v>312</v>
      </c>
      <c r="I632" s="2">
        <v>55</v>
      </c>
      <c r="J632" s="2">
        <v>0</v>
      </c>
      <c r="K632" s="2">
        <v>13</v>
      </c>
      <c r="L632" s="2">
        <v>318.24</v>
      </c>
      <c r="M632" s="2">
        <v>345.44</v>
      </c>
      <c r="N632" s="244">
        <v>1.2536004000000001</v>
      </c>
      <c r="O632" s="2" t="s">
        <v>934</v>
      </c>
      <c r="P632" s="2">
        <v>50</v>
      </c>
      <c r="Q632" s="2" t="s">
        <v>55</v>
      </c>
      <c r="R632" s="2" t="s">
        <v>68</v>
      </c>
      <c r="S632" s="2"/>
      <c r="T632" s="2">
        <v>4.4139999999999997</v>
      </c>
      <c r="U632" s="398">
        <v>5826.48</v>
      </c>
      <c r="V632" s="7">
        <v>4620</v>
      </c>
      <c r="W632" s="7" t="s">
        <v>660</v>
      </c>
    </row>
    <row r="633" spans="1:23" x14ac:dyDescent="0.35">
      <c r="A633" s="2">
        <v>89</v>
      </c>
      <c r="B633" s="109" t="s">
        <v>70</v>
      </c>
      <c r="C633" s="110" t="s">
        <v>71</v>
      </c>
      <c r="D633" s="2">
        <v>1320</v>
      </c>
      <c r="E633" s="51">
        <v>3.5</v>
      </c>
      <c r="F633" s="105"/>
      <c r="H633" s="2">
        <v>312</v>
      </c>
      <c r="I633" s="2">
        <v>55</v>
      </c>
      <c r="J633" s="2">
        <v>0</v>
      </c>
      <c r="K633" s="2">
        <v>13</v>
      </c>
      <c r="L633" s="2">
        <v>318.24</v>
      </c>
      <c r="M633" s="2">
        <v>345.44</v>
      </c>
      <c r="N633" s="244">
        <v>1.2536004000000001</v>
      </c>
      <c r="O633" s="2" t="s">
        <v>934</v>
      </c>
      <c r="P633" s="2">
        <v>50</v>
      </c>
      <c r="Q633" s="2" t="s">
        <v>55</v>
      </c>
      <c r="R633" s="2" t="s">
        <v>70</v>
      </c>
      <c r="S633" s="2"/>
      <c r="T633" s="2">
        <v>4.4139999999999997</v>
      </c>
      <c r="U633" s="398">
        <v>5826.48</v>
      </c>
      <c r="V633" s="7">
        <v>4620</v>
      </c>
      <c r="W633" s="7" t="s">
        <v>660</v>
      </c>
    </row>
    <row r="634" spans="1:23" x14ac:dyDescent="0.35">
      <c r="A634" s="2">
        <v>89</v>
      </c>
      <c r="B634" s="109" t="s">
        <v>179</v>
      </c>
      <c r="C634" s="110" t="s">
        <v>181</v>
      </c>
      <c r="D634" s="2"/>
      <c r="E634" s="51"/>
      <c r="F634" s="105"/>
      <c r="H634" s="2">
        <v>3912</v>
      </c>
      <c r="I634" s="2">
        <v>0</v>
      </c>
      <c r="J634" s="2">
        <v>0</v>
      </c>
      <c r="K634" s="2">
        <v>326</v>
      </c>
      <c r="L634" s="2">
        <v>410.76</v>
      </c>
      <c r="M634" s="2">
        <v>410.76</v>
      </c>
      <c r="N634" s="244">
        <v>1.0012274999999999</v>
      </c>
      <c r="O634" s="2" t="s">
        <v>180</v>
      </c>
      <c r="P634" s="2">
        <v>0</v>
      </c>
      <c r="Q634" s="2" t="s">
        <v>151</v>
      </c>
      <c r="R634" s="2" t="s">
        <v>179</v>
      </c>
      <c r="S634" s="2"/>
      <c r="T634" s="2">
        <v>0.93</v>
      </c>
      <c r="U634" s="398">
        <v>0</v>
      </c>
      <c r="V634" s="7">
        <v>0</v>
      </c>
      <c r="W634" s="7" t="s">
        <v>660</v>
      </c>
    </row>
    <row r="635" spans="1:23" x14ac:dyDescent="0.35">
      <c r="A635" s="2">
        <v>89</v>
      </c>
      <c r="B635" s="109" t="s">
        <v>186</v>
      </c>
      <c r="C635" s="110" t="s">
        <v>187</v>
      </c>
      <c r="D635" s="2"/>
      <c r="E635" s="51"/>
      <c r="F635" s="105"/>
      <c r="H635" s="2">
        <v>3192</v>
      </c>
      <c r="I635" s="2">
        <v>0</v>
      </c>
      <c r="J635" s="2">
        <v>0</v>
      </c>
      <c r="K635" s="2">
        <v>266</v>
      </c>
      <c r="L635" s="2">
        <v>335.16</v>
      </c>
      <c r="M635" s="2">
        <v>335.16</v>
      </c>
      <c r="N635" s="244">
        <v>0.81695249999999997</v>
      </c>
      <c r="O635" s="2" t="s">
        <v>180</v>
      </c>
      <c r="P635" s="2">
        <v>0</v>
      </c>
      <c r="Q635" s="2" t="s">
        <v>151</v>
      </c>
      <c r="R635" s="2" t="s">
        <v>186</v>
      </c>
      <c r="S635" s="2"/>
      <c r="T635" s="2">
        <v>0.93</v>
      </c>
      <c r="U635" s="398">
        <v>0</v>
      </c>
      <c r="V635" s="7">
        <v>0</v>
      </c>
      <c r="W635" s="7" t="s">
        <v>660</v>
      </c>
    </row>
    <row r="636" spans="1:23" x14ac:dyDescent="0.35">
      <c r="A636" s="2">
        <v>90</v>
      </c>
      <c r="B636" s="109" t="s">
        <v>107</v>
      </c>
      <c r="C636" s="110" t="s">
        <v>109</v>
      </c>
      <c r="D636" s="2">
        <v>900</v>
      </c>
      <c r="E636" s="51">
        <v>12.5</v>
      </c>
      <c r="F636" s="105"/>
      <c r="H636" s="2"/>
      <c r="I636" s="2">
        <v>38</v>
      </c>
      <c r="J636" s="2">
        <v>0</v>
      </c>
      <c r="K636" s="2">
        <v>0</v>
      </c>
      <c r="L636" s="2">
        <v>355.5</v>
      </c>
      <c r="M636" s="2">
        <v>371.25</v>
      </c>
      <c r="N636" s="244">
        <v>0.64865625000000005</v>
      </c>
      <c r="O636" s="2" t="s">
        <v>108</v>
      </c>
      <c r="P636" s="2">
        <v>100</v>
      </c>
      <c r="Q636" s="2" t="s">
        <v>55</v>
      </c>
      <c r="R636" s="2" t="s">
        <v>107</v>
      </c>
      <c r="S636" s="2"/>
      <c r="T636" s="2">
        <v>11.68</v>
      </c>
      <c r="U636" s="398">
        <v>10512</v>
      </c>
      <c r="V636" s="7">
        <v>11250</v>
      </c>
      <c r="W636" s="7" t="s">
        <v>660</v>
      </c>
    </row>
    <row r="637" spans="1:23" x14ac:dyDescent="0.35">
      <c r="A637" s="2">
        <v>90</v>
      </c>
      <c r="B637" s="109" t="s">
        <v>110</v>
      </c>
      <c r="C637" s="110" t="s">
        <v>111</v>
      </c>
      <c r="D637" s="2">
        <v>600</v>
      </c>
      <c r="E637" s="51">
        <v>12.5</v>
      </c>
      <c r="F637" s="105"/>
      <c r="H637" s="2"/>
      <c r="I637" s="2">
        <v>25</v>
      </c>
      <c r="J637" s="2">
        <v>0</v>
      </c>
      <c r="K637" s="2">
        <v>0</v>
      </c>
      <c r="L637" s="2">
        <v>237</v>
      </c>
      <c r="M637" s="2">
        <v>247.5</v>
      </c>
      <c r="N637" s="244">
        <v>0.43243749999999997</v>
      </c>
      <c r="O637" s="2" t="s">
        <v>108</v>
      </c>
      <c r="P637" s="2">
        <v>100</v>
      </c>
      <c r="Q637" s="2" t="s">
        <v>55</v>
      </c>
      <c r="R637" s="2" t="s">
        <v>110</v>
      </c>
      <c r="S637" s="2"/>
      <c r="T637" s="2">
        <v>11.68</v>
      </c>
      <c r="U637" s="398">
        <v>7008</v>
      </c>
      <c r="V637" s="7">
        <v>7500</v>
      </c>
      <c r="W637" s="7" t="s">
        <v>660</v>
      </c>
    </row>
    <row r="638" spans="1:23" x14ac:dyDescent="0.35">
      <c r="A638" s="2">
        <v>90</v>
      </c>
      <c r="B638" s="109" t="s">
        <v>114</v>
      </c>
      <c r="C638" s="110" t="s">
        <v>115</v>
      </c>
      <c r="D638" s="2">
        <v>100</v>
      </c>
      <c r="E638" s="51">
        <v>12.5</v>
      </c>
      <c r="F638" s="105"/>
      <c r="H638" s="2"/>
      <c r="I638" s="2">
        <v>5</v>
      </c>
      <c r="J638" s="2">
        <v>0</v>
      </c>
      <c r="K638" s="2">
        <v>0</v>
      </c>
      <c r="L638" s="2">
        <v>39.500000000000007</v>
      </c>
      <c r="M638" s="2">
        <v>41.250000000000007</v>
      </c>
      <c r="N638" s="244">
        <v>7.2072916666666667E-2</v>
      </c>
      <c r="O638" s="2" t="s">
        <v>108</v>
      </c>
      <c r="P638" s="2">
        <v>100</v>
      </c>
      <c r="Q638" s="2" t="s">
        <v>55</v>
      </c>
      <c r="R638" s="2" t="s">
        <v>114</v>
      </c>
      <c r="S638" s="2"/>
      <c r="T638" s="2">
        <v>11.68</v>
      </c>
      <c r="U638" s="398">
        <v>1168</v>
      </c>
      <c r="V638" s="7">
        <v>1250</v>
      </c>
      <c r="W638" s="7" t="s">
        <v>660</v>
      </c>
    </row>
    <row r="639" spans="1:23" x14ac:dyDescent="0.35">
      <c r="A639" s="2">
        <v>90</v>
      </c>
      <c r="B639" s="109" t="s">
        <v>116</v>
      </c>
      <c r="C639" s="110" t="s">
        <v>117</v>
      </c>
      <c r="D639" s="2"/>
      <c r="E639" s="51"/>
      <c r="F639" s="105">
        <v>70</v>
      </c>
      <c r="G639" s="51">
        <v>6.25</v>
      </c>
      <c r="H639" s="2"/>
      <c r="I639" s="2">
        <v>0</v>
      </c>
      <c r="J639" s="2">
        <v>3</v>
      </c>
      <c r="K639" s="2">
        <v>0</v>
      </c>
      <c r="L639" s="2">
        <v>26.599999999999998</v>
      </c>
      <c r="M639" s="2">
        <v>27.708333333333332</v>
      </c>
      <c r="N639" s="244">
        <v>5.1132812499999999E-2</v>
      </c>
      <c r="O639" s="2" t="s">
        <v>108</v>
      </c>
      <c r="P639" s="2">
        <v>100</v>
      </c>
      <c r="Q639" s="2" t="s">
        <v>55</v>
      </c>
      <c r="R639" s="2" t="s">
        <v>116</v>
      </c>
      <c r="S639" s="2"/>
      <c r="T639" s="2">
        <v>11.68</v>
      </c>
      <c r="U639" s="398">
        <v>817.6</v>
      </c>
      <c r="V639" s="7">
        <v>437.5</v>
      </c>
      <c r="W639" s="7" t="s">
        <v>660</v>
      </c>
    </row>
    <row r="640" spans="1:23" x14ac:dyDescent="0.35">
      <c r="A640" s="2">
        <v>90</v>
      </c>
      <c r="B640" s="109" t="s">
        <v>118</v>
      </c>
      <c r="C640" s="110" t="s">
        <v>119</v>
      </c>
      <c r="D640" s="2">
        <v>100</v>
      </c>
      <c r="E640" s="51">
        <v>12.5</v>
      </c>
      <c r="F640" s="105"/>
      <c r="H640" s="2"/>
      <c r="I640" s="2">
        <v>5</v>
      </c>
      <c r="J640" s="2">
        <v>0</v>
      </c>
      <c r="K640" s="2">
        <v>0</v>
      </c>
      <c r="L640" s="2">
        <v>38</v>
      </c>
      <c r="M640" s="2">
        <v>39.583333333333336</v>
      </c>
      <c r="N640" s="244">
        <v>7.3046874999999997E-2</v>
      </c>
      <c r="O640" s="2" t="s">
        <v>108</v>
      </c>
      <c r="P640" s="2">
        <v>100</v>
      </c>
      <c r="Q640" s="2" t="s">
        <v>55</v>
      </c>
      <c r="R640" s="2" t="s">
        <v>118</v>
      </c>
      <c r="S640" s="2"/>
      <c r="T640" s="2">
        <v>11.68</v>
      </c>
      <c r="U640" s="398">
        <v>1168</v>
      </c>
      <c r="V640" s="7">
        <v>1250</v>
      </c>
      <c r="W640" s="7" t="s">
        <v>660</v>
      </c>
    </row>
    <row r="641" spans="1:23" x14ac:dyDescent="0.35">
      <c r="A641" s="2">
        <v>90</v>
      </c>
      <c r="B641" s="109" t="s">
        <v>120</v>
      </c>
      <c r="C641" s="110" t="s">
        <v>121</v>
      </c>
      <c r="D641" s="2"/>
      <c r="E641" s="51"/>
      <c r="F641" s="105">
        <v>30</v>
      </c>
      <c r="G641" s="51">
        <v>6.25</v>
      </c>
      <c r="H641" s="2"/>
      <c r="I641" s="2">
        <v>0</v>
      </c>
      <c r="J641" s="2">
        <v>2</v>
      </c>
      <c r="K641" s="2">
        <v>0</v>
      </c>
      <c r="L641" s="2">
        <v>11.399999999999999</v>
      </c>
      <c r="M641" s="2">
        <v>11.875</v>
      </c>
      <c r="N641" s="244">
        <v>2.1914062500000001E-2</v>
      </c>
      <c r="O641" s="2" t="s">
        <v>108</v>
      </c>
      <c r="P641" s="2">
        <v>100</v>
      </c>
      <c r="Q641" s="2" t="s">
        <v>55</v>
      </c>
      <c r="R641" s="2" t="s">
        <v>120</v>
      </c>
      <c r="S641" s="2"/>
      <c r="T641" s="2">
        <v>11.68</v>
      </c>
      <c r="U641" s="398">
        <v>350.4</v>
      </c>
      <c r="V641" s="7">
        <v>187.5</v>
      </c>
      <c r="W641" s="7" t="s">
        <v>660</v>
      </c>
    </row>
    <row r="642" spans="1:23" x14ac:dyDescent="0.35">
      <c r="A642" s="2">
        <v>90</v>
      </c>
      <c r="B642" s="109" t="s">
        <v>122</v>
      </c>
      <c r="C642" s="110" t="s">
        <v>123</v>
      </c>
      <c r="D642" s="2"/>
      <c r="E642" s="51"/>
      <c r="F642" s="105">
        <v>70</v>
      </c>
      <c r="G642" s="51">
        <v>6.25</v>
      </c>
      <c r="H642" s="2"/>
      <c r="I642" s="2">
        <v>0</v>
      </c>
      <c r="J642" s="2">
        <v>3</v>
      </c>
      <c r="K642" s="2">
        <v>0</v>
      </c>
      <c r="L642" s="2">
        <v>26.599999999999998</v>
      </c>
      <c r="M642" s="2">
        <v>27.708333333333332</v>
      </c>
      <c r="N642" s="244">
        <v>5.1132812499999999E-2</v>
      </c>
      <c r="O642" s="2" t="s">
        <v>108</v>
      </c>
      <c r="P642" s="2">
        <v>100</v>
      </c>
      <c r="Q642" s="2" t="s">
        <v>55</v>
      </c>
      <c r="R642" s="2" t="s">
        <v>122</v>
      </c>
      <c r="S642" s="2"/>
      <c r="T642" s="2">
        <v>11.68</v>
      </c>
      <c r="U642" s="398">
        <v>817.6</v>
      </c>
      <c r="V642" s="7">
        <v>437.5</v>
      </c>
      <c r="W642" s="7" t="s">
        <v>660</v>
      </c>
    </row>
    <row r="643" spans="1:23" x14ac:dyDescent="0.35">
      <c r="A643" s="2">
        <v>90</v>
      </c>
      <c r="B643" s="109" t="s">
        <v>124</v>
      </c>
      <c r="C643" s="110" t="s">
        <v>126</v>
      </c>
      <c r="D643" s="2"/>
      <c r="E643" s="51"/>
      <c r="F643" s="105"/>
      <c r="H643" s="2">
        <v>150</v>
      </c>
      <c r="I643" s="2">
        <v>0</v>
      </c>
      <c r="J643" s="2">
        <v>0</v>
      </c>
      <c r="K643" s="2">
        <v>7</v>
      </c>
      <c r="L643" s="2">
        <v>56.999999999999993</v>
      </c>
      <c r="M643" s="2">
        <v>59.375</v>
      </c>
      <c r="N643" s="244">
        <v>0.1095703125</v>
      </c>
      <c r="O643" s="2" t="s">
        <v>125</v>
      </c>
      <c r="P643" s="2">
        <v>100</v>
      </c>
      <c r="Q643" s="2" t="s">
        <v>55</v>
      </c>
      <c r="R643" s="2" t="s">
        <v>124</v>
      </c>
      <c r="S643" s="2"/>
      <c r="T643" s="2">
        <v>0</v>
      </c>
      <c r="U643" s="398">
        <v>0</v>
      </c>
      <c r="V643" s="7">
        <v>0</v>
      </c>
      <c r="W643" s="7" t="s">
        <v>660</v>
      </c>
    </row>
    <row r="644" spans="1:23" x14ac:dyDescent="0.35">
      <c r="A644" s="2">
        <v>90</v>
      </c>
      <c r="B644" s="109" t="s">
        <v>127</v>
      </c>
      <c r="C644" s="110" t="s">
        <v>128</v>
      </c>
      <c r="D644" s="2"/>
      <c r="E644" s="51"/>
      <c r="F644" s="105"/>
      <c r="H644" s="2">
        <v>100</v>
      </c>
      <c r="I644" s="2">
        <v>0</v>
      </c>
      <c r="J644" s="2">
        <v>0</v>
      </c>
      <c r="K644" s="2">
        <v>5</v>
      </c>
      <c r="L644" s="2">
        <v>38</v>
      </c>
      <c r="M644" s="2">
        <v>39.583333333333336</v>
      </c>
      <c r="N644" s="244">
        <v>7.3046874999999997E-2</v>
      </c>
      <c r="O644" s="2" t="s">
        <v>125</v>
      </c>
      <c r="P644" s="2">
        <v>100</v>
      </c>
      <c r="Q644" s="2" t="s">
        <v>55</v>
      </c>
      <c r="R644" s="2" t="s">
        <v>127</v>
      </c>
      <c r="S644" s="2"/>
      <c r="T644" s="2">
        <v>0</v>
      </c>
      <c r="U644" s="398">
        <v>0</v>
      </c>
      <c r="V644" s="7">
        <v>0</v>
      </c>
      <c r="W644" s="7" t="s">
        <v>660</v>
      </c>
    </row>
    <row r="645" spans="1:23" x14ac:dyDescent="0.35">
      <c r="A645" s="2">
        <v>90</v>
      </c>
      <c r="B645" s="109" t="s">
        <v>131</v>
      </c>
      <c r="C645" s="110" t="s">
        <v>132</v>
      </c>
      <c r="D645" s="2"/>
      <c r="E645" s="51"/>
      <c r="F645" s="105"/>
      <c r="H645" s="2">
        <v>16</v>
      </c>
      <c r="I645" s="2">
        <v>0</v>
      </c>
      <c r="J645" s="2">
        <v>0</v>
      </c>
      <c r="K645" s="2">
        <v>1</v>
      </c>
      <c r="L645" s="2">
        <v>6.0799999999999992</v>
      </c>
      <c r="M645" s="2">
        <v>6.333333333333333</v>
      </c>
      <c r="N645" s="244">
        <v>1.16875E-2</v>
      </c>
      <c r="O645" s="2" t="s">
        <v>125</v>
      </c>
      <c r="P645" s="2">
        <v>100</v>
      </c>
      <c r="Q645" s="2" t="s">
        <v>55</v>
      </c>
      <c r="R645" s="2" t="s">
        <v>131</v>
      </c>
      <c r="S645" s="2"/>
      <c r="T645" s="2">
        <v>0</v>
      </c>
      <c r="U645" s="398">
        <v>0</v>
      </c>
      <c r="V645" s="7">
        <v>0</v>
      </c>
      <c r="W645" s="7" t="s">
        <v>660</v>
      </c>
    </row>
    <row r="646" spans="1:23" x14ac:dyDescent="0.35">
      <c r="A646" s="2">
        <v>90</v>
      </c>
      <c r="B646" s="109" t="s">
        <v>135</v>
      </c>
      <c r="C646" s="110" t="s">
        <v>136</v>
      </c>
      <c r="D646" s="2"/>
      <c r="E646" s="51"/>
      <c r="F646" s="105"/>
      <c r="H646" s="2">
        <v>16</v>
      </c>
      <c r="I646" s="2">
        <v>0</v>
      </c>
      <c r="J646" s="2">
        <v>0</v>
      </c>
      <c r="K646" s="2">
        <v>1</v>
      </c>
      <c r="L646" s="2">
        <v>6.0799999999999992</v>
      </c>
      <c r="M646" s="2">
        <v>6.333333333333333</v>
      </c>
      <c r="N646" s="244">
        <v>1.16875E-2</v>
      </c>
      <c r="O646" s="2" t="s">
        <v>125</v>
      </c>
      <c r="P646" s="2">
        <v>100</v>
      </c>
      <c r="Q646" s="2" t="s">
        <v>55</v>
      </c>
      <c r="R646" s="2" t="s">
        <v>135</v>
      </c>
      <c r="S646" s="2"/>
      <c r="T646" s="2">
        <v>0</v>
      </c>
      <c r="U646" s="398">
        <v>0</v>
      </c>
      <c r="V646" s="7">
        <v>0</v>
      </c>
      <c r="W646" s="7" t="s">
        <v>660</v>
      </c>
    </row>
    <row r="647" spans="1:23" x14ac:dyDescent="0.35">
      <c r="A647" s="2">
        <v>90</v>
      </c>
      <c r="B647" s="109" t="s">
        <v>135</v>
      </c>
      <c r="C647" s="110" t="s">
        <v>136</v>
      </c>
      <c r="D647" s="2"/>
      <c r="E647" s="51"/>
      <c r="F647" s="105">
        <v>70</v>
      </c>
      <c r="G647" s="51">
        <v>6.25</v>
      </c>
      <c r="H647" s="2"/>
      <c r="I647" s="2">
        <v>0</v>
      </c>
      <c r="J647" s="2">
        <v>3</v>
      </c>
      <c r="K647" s="2">
        <v>0</v>
      </c>
      <c r="L647" s="2">
        <v>26.599999999999998</v>
      </c>
      <c r="M647" s="2">
        <v>27.708333333333332</v>
      </c>
      <c r="N647" s="244">
        <v>5.1132812499999999E-2</v>
      </c>
      <c r="O647" s="2" t="s">
        <v>125</v>
      </c>
      <c r="P647" s="2">
        <v>100</v>
      </c>
      <c r="Q647" s="2" t="s">
        <v>55</v>
      </c>
      <c r="R647" s="2" t="s">
        <v>135</v>
      </c>
      <c r="S647" s="2"/>
      <c r="T647" s="2">
        <v>0</v>
      </c>
      <c r="U647" s="398">
        <v>0</v>
      </c>
      <c r="V647" s="7">
        <v>437.5</v>
      </c>
      <c r="W647" s="7" t="s">
        <v>660</v>
      </c>
    </row>
    <row r="648" spans="1:23" x14ac:dyDescent="0.35">
      <c r="A648" s="2">
        <v>91</v>
      </c>
      <c r="B648" s="109" t="s">
        <v>17</v>
      </c>
      <c r="C648" s="110" t="s">
        <v>20</v>
      </c>
      <c r="D648" s="2">
        <v>30</v>
      </c>
      <c r="E648" s="51">
        <v>6.57</v>
      </c>
      <c r="F648" s="105"/>
      <c r="H648" s="2"/>
      <c r="I648" s="2">
        <v>3</v>
      </c>
      <c r="J648" s="2">
        <v>0</v>
      </c>
      <c r="K648" s="2">
        <v>0</v>
      </c>
      <c r="L648" s="2">
        <v>12.6</v>
      </c>
      <c r="M648" s="2">
        <v>14.475</v>
      </c>
      <c r="N648" s="244">
        <v>7.0207500000000006E-2</v>
      </c>
      <c r="O648" s="2" t="s">
        <v>18</v>
      </c>
      <c r="P648" s="2">
        <v>50</v>
      </c>
      <c r="Q648" s="2">
        <v>0</v>
      </c>
      <c r="R648" s="2" t="s">
        <v>17</v>
      </c>
      <c r="S648" s="2"/>
      <c r="T648" s="2">
        <v>5.23</v>
      </c>
      <c r="U648" s="398">
        <v>156.9</v>
      </c>
      <c r="V648" s="7">
        <v>197.10000000000002</v>
      </c>
      <c r="W648" s="7" t="s">
        <v>660</v>
      </c>
    </row>
    <row r="649" spans="1:23" x14ac:dyDescent="0.35">
      <c r="A649" s="2">
        <v>91</v>
      </c>
      <c r="B649" s="109" t="s">
        <v>23</v>
      </c>
      <c r="C649" s="110" t="s">
        <v>24</v>
      </c>
      <c r="D649" s="2">
        <v>30</v>
      </c>
      <c r="E649" s="51">
        <v>6.57</v>
      </c>
      <c r="F649" s="105"/>
      <c r="H649" s="2"/>
      <c r="I649" s="2">
        <v>3</v>
      </c>
      <c r="J649" s="2">
        <v>0</v>
      </c>
      <c r="K649" s="2">
        <v>0</v>
      </c>
      <c r="L649" s="2">
        <v>12.6</v>
      </c>
      <c r="M649" s="2">
        <v>14.475</v>
      </c>
      <c r="N649" s="244">
        <v>7.0207500000000006E-2</v>
      </c>
      <c r="O649" s="2" t="s">
        <v>18</v>
      </c>
      <c r="P649" s="2">
        <v>50</v>
      </c>
      <c r="Q649" s="2">
        <v>0</v>
      </c>
      <c r="R649" s="2" t="s">
        <v>23</v>
      </c>
      <c r="S649" s="2"/>
      <c r="T649" s="2">
        <v>5.23</v>
      </c>
      <c r="U649" s="398">
        <v>156.9</v>
      </c>
      <c r="V649" s="7">
        <v>197.10000000000002</v>
      </c>
      <c r="W649" s="7" t="s">
        <v>660</v>
      </c>
    </row>
    <row r="650" spans="1:23" x14ac:dyDescent="0.35">
      <c r="A650" s="2">
        <v>91</v>
      </c>
      <c r="B650" s="109" t="s">
        <v>25</v>
      </c>
      <c r="C650" s="110" t="s">
        <v>26</v>
      </c>
      <c r="D650" s="2">
        <v>28</v>
      </c>
      <c r="E650" s="51">
        <v>6.57</v>
      </c>
      <c r="F650" s="105"/>
      <c r="H650" s="2"/>
      <c r="I650" s="2">
        <v>3</v>
      </c>
      <c r="J650" s="2">
        <v>0</v>
      </c>
      <c r="K650" s="2">
        <v>0</v>
      </c>
      <c r="L650" s="2">
        <v>11.760000000000002</v>
      </c>
      <c r="M650" s="2">
        <v>13.510000000000002</v>
      </c>
      <c r="N650" s="244">
        <v>6.5527000000000002E-2</v>
      </c>
      <c r="O650" s="2" t="s">
        <v>18</v>
      </c>
      <c r="P650" s="2">
        <v>50</v>
      </c>
      <c r="Q650" s="2">
        <v>0</v>
      </c>
      <c r="R650" s="2" t="s">
        <v>25</v>
      </c>
      <c r="S650" s="2"/>
      <c r="T650" s="2">
        <v>5.23</v>
      </c>
      <c r="U650" s="398">
        <v>146.44</v>
      </c>
      <c r="V650" s="7">
        <v>183.96</v>
      </c>
      <c r="W650" s="7" t="s">
        <v>660</v>
      </c>
    </row>
    <row r="651" spans="1:23" x14ac:dyDescent="0.35">
      <c r="A651" s="2">
        <v>91</v>
      </c>
      <c r="B651" s="109" t="s">
        <v>27</v>
      </c>
      <c r="C651" s="110" t="s">
        <v>28</v>
      </c>
      <c r="D651" s="2">
        <v>30</v>
      </c>
      <c r="E651" s="51">
        <v>6.57</v>
      </c>
      <c r="F651" s="105"/>
      <c r="H651" s="2"/>
      <c r="I651" s="2">
        <v>3</v>
      </c>
      <c r="J651" s="2">
        <v>0</v>
      </c>
      <c r="K651" s="2">
        <v>0</v>
      </c>
      <c r="L651" s="2">
        <v>12.6</v>
      </c>
      <c r="M651" s="2">
        <v>14.475</v>
      </c>
      <c r="N651" s="244">
        <v>7.0207500000000006E-2</v>
      </c>
      <c r="O651" s="2" t="s">
        <v>18</v>
      </c>
      <c r="P651" s="2">
        <v>50</v>
      </c>
      <c r="Q651" s="2">
        <v>0</v>
      </c>
      <c r="R651" s="2" t="s">
        <v>27</v>
      </c>
      <c r="S651" s="2"/>
      <c r="T651" s="2">
        <v>5.23</v>
      </c>
      <c r="U651" s="398">
        <v>156.9</v>
      </c>
      <c r="V651" s="7">
        <v>197.10000000000002</v>
      </c>
      <c r="W651" s="7" t="s">
        <v>660</v>
      </c>
    </row>
    <row r="652" spans="1:23" x14ac:dyDescent="0.35">
      <c r="A652" s="2">
        <v>91</v>
      </c>
      <c r="B652" s="109" t="s">
        <v>29</v>
      </c>
      <c r="C652" s="110" t="s">
        <v>31</v>
      </c>
      <c r="D652" s="2">
        <v>30</v>
      </c>
      <c r="E652" s="51">
        <v>6.57</v>
      </c>
      <c r="F652" s="105"/>
      <c r="H652" s="2"/>
      <c r="I652" s="2">
        <v>3</v>
      </c>
      <c r="J652" s="2">
        <v>0</v>
      </c>
      <c r="K652" s="2">
        <v>0</v>
      </c>
      <c r="L652" s="2">
        <v>11.950000000000001</v>
      </c>
      <c r="M652" s="2">
        <v>13.125</v>
      </c>
      <c r="N652" s="244">
        <v>7.0207500000000006E-2</v>
      </c>
      <c r="O652" s="2" t="s">
        <v>18</v>
      </c>
      <c r="P652" s="2">
        <v>50</v>
      </c>
      <c r="Q652" s="2">
        <v>0</v>
      </c>
      <c r="R652" s="2" t="s">
        <v>29</v>
      </c>
      <c r="S652" s="2"/>
      <c r="T652" s="2">
        <v>5.23</v>
      </c>
      <c r="U652" s="398">
        <v>156.9</v>
      </c>
      <c r="V652" s="7">
        <v>197.10000000000002</v>
      </c>
      <c r="W652" s="7" t="s">
        <v>660</v>
      </c>
    </row>
    <row r="653" spans="1:23" x14ac:dyDescent="0.35">
      <c r="A653" s="2">
        <v>91</v>
      </c>
      <c r="B653" s="109" t="s">
        <v>32</v>
      </c>
      <c r="C653" s="110" t="s">
        <v>33</v>
      </c>
      <c r="D653" s="2">
        <v>30</v>
      </c>
      <c r="E653" s="51">
        <v>6.57</v>
      </c>
      <c r="F653" s="105"/>
      <c r="H653" s="2"/>
      <c r="I653" s="2">
        <v>3</v>
      </c>
      <c r="J653" s="2">
        <v>0</v>
      </c>
      <c r="K653" s="2">
        <v>0</v>
      </c>
      <c r="L653" s="2">
        <v>11.950000000000001</v>
      </c>
      <c r="M653" s="2">
        <v>13.125</v>
      </c>
      <c r="N653" s="244">
        <v>7.0207500000000006E-2</v>
      </c>
      <c r="O653" s="2" t="s">
        <v>18</v>
      </c>
      <c r="P653" s="2">
        <v>50</v>
      </c>
      <c r="Q653" s="2">
        <v>0</v>
      </c>
      <c r="R653" s="2" t="s">
        <v>32</v>
      </c>
      <c r="S653" s="2"/>
      <c r="T653" s="2">
        <v>5.23</v>
      </c>
      <c r="U653" s="398">
        <v>156.9</v>
      </c>
      <c r="V653" s="7">
        <v>197.10000000000002</v>
      </c>
      <c r="W653" s="7" t="s">
        <v>660</v>
      </c>
    </row>
    <row r="654" spans="1:23" x14ac:dyDescent="0.35">
      <c r="A654" s="2">
        <v>91</v>
      </c>
      <c r="B654" s="109" t="s">
        <v>34</v>
      </c>
      <c r="C654" s="110" t="s">
        <v>35</v>
      </c>
      <c r="D654" s="2">
        <v>30</v>
      </c>
      <c r="E654" s="51">
        <v>6.57</v>
      </c>
      <c r="F654" s="105"/>
      <c r="H654" s="2"/>
      <c r="I654" s="2">
        <v>3</v>
      </c>
      <c r="J654" s="2">
        <v>0</v>
      </c>
      <c r="K654" s="2">
        <v>0</v>
      </c>
      <c r="L654" s="2">
        <v>11.950000000000001</v>
      </c>
      <c r="M654" s="2">
        <v>13.125</v>
      </c>
      <c r="N654" s="244">
        <v>7.0207500000000006E-2</v>
      </c>
      <c r="O654" s="2" t="s">
        <v>18</v>
      </c>
      <c r="P654" s="2">
        <v>50</v>
      </c>
      <c r="Q654" s="2">
        <v>0</v>
      </c>
      <c r="R654" s="2" t="s">
        <v>34</v>
      </c>
      <c r="S654" s="2"/>
      <c r="T654" s="2">
        <v>5.23</v>
      </c>
      <c r="U654" s="398">
        <v>156.9</v>
      </c>
      <c r="V654" s="7">
        <v>197.10000000000002</v>
      </c>
      <c r="W654" s="7" t="s">
        <v>660</v>
      </c>
    </row>
    <row r="655" spans="1:23" x14ac:dyDescent="0.35">
      <c r="A655" s="2">
        <v>91</v>
      </c>
      <c r="B655" s="109" t="s">
        <v>36</v>
      </c>
      <c r="C655" s="110" t="s">
        <v>37</v>
      </c>
      <c r="D655" s="2">
        <v>10</v>
      </c>
      <c r="E655" s="51">
        <v>6.57</v>
      </c>
      <c r="F655" s="105"/>
      <c r="H655" s="2"/>
      <c r="I655" s="2">
        <v>1</v>
      </c>
      <c r="J655" s="2">
        <v>0</v>
      </c>
      <c r="K655" s="2">
        <v>0</v>
      </c>
      <c r="L655" s="2">
        <v>3.9833333333333338</v>
      </c>
      <c r="M655" s="2">
        <v>4.375</v>
      </c>
      <c r="N655" s="244">
        <v>2.3402500000000003E-2</v>
      </c>
      <c r="O655" s="2" t="s">
        <v>18</v>
      </c>
      <c r="P655" s="2">
        <v>50</v>
      </c>
      <c r="Q655" s="2">
        <v>0</v>
      </c>
      <c r="R655" s="2" t="s">
        <v>36</v>
      </c>
      <c r="S655" s="2"/>
      <c r="T655" s="2">
        <v>5.23</v>
      </c>
      <c r="U655" s="398">
        <v>52.300000000000004</v>
      </c>
      <c r="V655" s="7">
        <v>65.7</v>
      </c>
      <c r="W655" s="7" t="s">
        <v>660</v>
      </c>
    </row>
    <row r="656" spans="1:23" x14ac:dyDescent="0.35">
      <c r="A656" s="2">
        <v>91</v>
      </c>
      <c r="B656" s="109" t="s">
        <v>160</v>
      </c>
      <c r="C656" s="110" t="s">
        <v>161</v>
      </c>
      <c r="D656" s="2">
        <v>24</v>
      </c>
      <c r="E656" s="51">
        <v>1.29</v>
      </c>
      <c r="F656" s="105"/>
      <c r="H656" s="2"/>
      <c r="I656" s="2">
        <v>1</v>
      </c>
      <c r="J656" s="2">
        <v>0</v>
      </c>
      <c r="K656" s="2">
        <v>0</v>
      </c>
      <c r="L656" s="2">
        <v>3.74</v>
      </c>
      <c r="M656" s="2">
        <v>3.85</v>
      </c>
      <c r="N656" s="244">
        <v>1.70235E-2</v>
      </c>
      <c r="O656" s="2" t="s">
        <v>150</v>
      </c>
      <c r="P656" s="2">
        <v>175</v>
      </c>
      <c r="Q656" s="2" t="s">
        <v>151</v>
      </c>
      <c r="R656" s="2" t="s">
        <v>160</v>
      </c>
      <c r="S656" s="2"/>
      <c r="T656" s="2">
        <v>0.81599999999999995</v>
      </c>
      <c r="U656" s="398">
        <v>19.584</v>
      </c>
      <c r="V656" s="7">
        <v>30.96</v>
      </c>
      <c r="W656" s="7" t="s">
        <v>660</v>
      </c>
    </row>
    <row r="657" spans="1:23" x14ac:dyDescent="0.35">
      <c r="A657" s="2">
        <v>91</v>
      </c>
      <c r="B657" s="109" t="s">
        <v>162</v>
      </c>
      <c r="C657" s="110" t="s">
        <v>163</v>
      </c>
      <c r="D657" s="2">
        <v>24</v>
      </c>
      <c r="E657" s="51">
        <v>1.29</v>
      </c>
      <c r="F657" s="105"/>
      <c r="H657" s="2"/>
      <c r="I657" s="2">
        <v>1</v>
      </c>
      <c r="J657" s="2">
        <v>0</v>
      </c>
      <c r="K657" s="2">
        <v>0</v>
      </c>
      <c r="L657" s="2">
        <v>3.74</v>
      </c>
      <c r="M657" s="2">
        <v>3.85</v>
      </c>
      <c r="N657" s="244">
        <v>1.70235E-2</v>
      </c>
      <c r="O657" s="2" t="s">
        <v>150</v>
      </c>
      <c r="P657" s="2">
        <v>175</v>
      </c>
      <c r="Q657" s="2" t="s">
        <v>151</v>
      </c>
      <c r="R657" s="2" t="s">
        <v>162</v>
      </c>
      <c r="S657" s="2"/>
      <c r="T657" s="2">
        <v>0.81599999999999995</v>
      </c>
      <c r="U657" s="398">
        <v>19.584</v>
      </c>
      <c r="V657" s="7">
        <v>30.96</v>
      </c>
      <c r="W657" s="7" t="s">
        <v>660</v>
      </c>
    </row>
    <row r="658" spans="1:23" x14ac:dyDescent="0.35">
      <c r="A658" s="2">
        <v>91</v>
      </c>
      <c r="B658" s="109" t="s">
        <v>164</v>
      </c>
      <c r="C658" s="110" t="s">
        <v>165</v>
      </c>
      <c r="D658" s="2">
        <v>24</v>
      </c>
      <c r="E658" s="51">
        <v>1.29</v>
      </c>
      <c r="F658" s="105"/>
      <c r="H658" s="2"/>
      <c r="I658" s="2">
        <v>1</v>
      </c>
      <c r="J658" s="2">
        <v>0</v>
      </c>
      <c r="K658" s="2">
        <v>0</v>
      </c>
      <c r="L658" s="2">
        <v>3.74</v>
      </c>
      <c r="M658" s="2">
        <v>3.85</v>
      </c>
      <c r="N658" s="244">
        <v>1.70235E-2</v>
      </c>
      <c r="O658" s="2" t="s">
        <v>150</v>
      </c>
      <c r="P658" s="2">
        <v>175</v>
      </c>
      <c r="Q658" s="2" t="s">
        <v>151</v>
      </c>
      <c r="R658" s="2" t="s">
        <v>164</v>
      </c>
      <c r="S658" s="2"/>
      <c r="T658" s="2">
        <v>0.81599999999999995</v>
      </c>
      <c r="U658" s="398">
        <v>19.584</v>
      </c>
      <c r="V658" s="7">
        <v>30.96</v>
      </c>
      <c r="W658" s="7" t="s">
        <v>660</v>
      </c>
    </row>
    <row r="659" spans="1:23" x14ac:dyDescent="0.35">
      <c r="A659" s="2">
        <v>91</v>
      </c>
      <c r="B659" s="109" t="s">
        <v>166</v>
      </c>
      <c r="C659" s="110" t="s">
        <v>167</v>
      </c>
      <c r="D659" s="2">
        <v>24</v>
      </c>
      <c r="E659" s="51">
        <v>1.29</v>
      </c>
      <c r="F659" s="105"/>
      <c r="H659" s="2"/>
      <c r="I659" s="2">
        <v>1</v>
      </c>
      <c r="J659" s="2">
        <v>0</v>
      </c>
      <c r="K659" s="2">
        <v>0</v>
      </c>
      <c r="L659" s="2">
        <v>3.74</v>
      </c>
      <c r="M659" s="2">
        <v>3.85</v>
      </c>
      <c r="N659" s="244">
        <v>1.70235E-2</v>
      </c>
      <c r="O659" s="2" t="s">
        <v>150</v>
      </c>
      <c r="P659" s="2">
        <v>175</v>
      </c>
      <c r="Q659" s="2" t="s">
        <v>151</v>
      </c>
      <c r="R659" s="2" t="s">
        <v>166</v>
      </c>
      <c r="S659" s="2"/>
      <c r="T659" s="2">
        <v>0.81599999999999995</v>
      </c>
      <c r="U659" s="398">
        <v>19.584</v>
      </c>
      <c r="V659" s="7">
        <v>30.96</v>
      </c>
      <c r="W659" s="7" t="s">
        <v>660</v>
      </c>
    </row>
    <row r="660" spans="1:23" x14ac:dyDescent="0.35">
      <c r="A660" s="2">
        <v>91</v>
      </c>
      <c r="B660" s="109" t="s">
        <v>149</v>
      </c>
      <c r="C660" s="110" t="s">
        <v>152</v>
      </c>
      <c r="D660" s="2">
        <v>12</v>
      </c>
      <c r="E660" s="51">
        <v>1.29</v>
      </c>
      <c r="F660" s="105"/>
      <c r="H660" s="2"/>
      <c r="I660" s="2">
        <v>1</v>
      </c>
      <c r="J660" s="2">
        <v>0</v>
      </c>
      <c r="K660" s="2">
        <v>0</v>
      </c>
      <c r="L660" s="2">
        <v>1.5720000000000001</v>
      </c>
      <c r="M660" s="2">
        <v>1.7589999999999999</v>
      </c>
      <c r="N660" s="244">
        <v>6.5599999999999999E-3</v>
      </c>
      <c r="O660" s="2" t="s">
        <v>150</v>
      </c>
      <c r="P660" s="2">
        <v>150</v>
      </c>
      <c r="Q660" s="2" t="s">
        <v>151</v>
      </c>
      <c r="R660" s="2" t="s">
        <v>149</v>
      </c>
      <c r="S660" s="2"/>
      <c r="T660" s="2">
        <v>0.81599999999999995</v>
      </c>
      <c r="U660" s="398">
        <v>9.7919999999999998</v>
      </c>
      <c r="V660" s="7">
        <v>15.48</v>
      </c>
      <c r="W660" s="7" t="s">
        <v>660</v>
      </c>
    </row>
    <row r="661" spans="1:23" x14ac:dyDescent="0.35">
      <c r="A661" s="2">
        <v>91</v>
      </c>
      <c r="B661" s="109" t="s">
        <v>154</v>
      </c>
      <c r="C661" s="110" t="s">
        <v>155</v>
      </c>
      <c r="D661" s="2">
        <v>12</v>
      </c>
      <c r="E661" s="51">
        <v>1.29</v>
      </c>
      <c r="F661" s="105"/>
      <c r="H661" s="2"/>
      <c r="I661" s="2">
        <v>1</v>
      </c>
      <c r="J661" s="2">
        <v>0</v>
      </c>
      <c r="K661" s="2">
        <v>0</v>
      </c>
      <c r="L661" s="2">
        <v>1.5720000000000001</v>
      </c>
      <c r="M661" s="2">
        <v>1.7589999999999999</v>
      </c>
      <c r="N661" s="244">
        <v>6.5599999999999999E-3</v>
      </c>
      <c r="O661" s="2" t="s">
        <v>150</v>
      </c>
      <c r="P661" s="2">
        <v>150</v>
      </c>
      <c r="Q661" s="2" t="s">
        <v>151</v>
      </c>
      <c r="R661" s="2" t="s">
        <v>154</v>
      </c>
      <c r="S661" s="2"/>
      <c r="T661" s="2">
        <v>0.81599999999999995</v>
      </c>
      <c r="U661" s="398">
        <v>9.7919999999999998</v>
      </c>
      <c r="V661" s="7">
        <v>15.48</v>
      </c>
      <c r="W661" s="7" t="s">
        <v>660</v>
      </c>
    </row>
    <row r="662" spans="1:23" x14ac:dyDescent="0.35">
      <c r="A662" s="2">
        <v>91</v>
      </c>
      <c r="B662" s="109" t="s">
        <v>156</v>
      </c>
      <c r="C662" s="110" t="s">
        <v>157</v>
      </c>
      <c r="D662" s="2">
        <v>12</v>
      </c>
      <c r="E662" s="51">
        <v>1.29</v>
      </c>
      <c r="F662" s="105"/>
      <c r="H662" s="2"/>
      <c r="I662" s="2">
        <v>1</v>
      </c>
      <c r="J662" s="2">
        <v>0</v>
      </c>
      <c r="K662" s="2">
        <v>0</v>
      </c>
      <c r="L662" s="2">
        <v>1.5720000000000001</v>
      </c>
      <c r="M662" s="2">
        <v>1.7589999999999999</v>
      </c>
      <c r="N662" s="244">
        <v>6.5599999999999999E-3</v>
      </c>
      <c r="O662" s="2" t="s">
        <v>150</v>
      </c>
      <c r="P662" s="2">
        <v>150</v>
      </c>
      <c r="Q662" s="2" t="s">
        <v>151</v>
      </c>
      <c r="R662" s="2" t="s">
        <v>156</v>
      </c>
      <c r="S662" s="2"/>
      <c r="T662" s="2">
        <v>0.81599999999999995</v>
      </c>
      <c r="U662" s="398">
        <v>9.7919999999999998</v>
      </c>
      <c r="V662" s="7">
        <v>15.48</v>
      </c>
      <c r="W662" s="7" t="s">
        <v>660</v>
      </c>
    </row>
    <row r="663" spans="1:23" x14ac:dyDescent="0.35">
      <c r="A663" s="2">
        <v>92</v>
      </c>
      <c r="B663" s="109" t="s">
        <v>17</v>
      </c>
      <c r="C663" s="110" t="s">
        <v>20</v>
      </c>
      <c r="D663" s="2">
        <v>24</v>
      </c>
      <c r="E663" s="51">
        <v>7.02</v>
      </c>
      <c r="F663" s="105"/>
      <c r="H663" s="2"/>
      <c r="I663" s="2">
        <v>2</v>
      </c>
      <c r="J663" s="2">
        <v>0</v>
      </c>
      <c r="K663" s="2">
        <v>0</v>
      </c>
      <c r="L663" s="2">
        <v>10.08</v>
      </c>
      <c r="M663" s="2">
        <v>11.58</v>
      </c>
      <c r="N663" s="244">
        <v>5.6166000000000001E-2</v>
      </c>
      <c r="O663" s="2" t="s">
        <v>18</v>
      </c>
      <c r="P663" s="2">
        <v>50</v>
      </c>
      <c r="Q663" s="2">
        <v>0</v>
      </c>
      <c r="R663" s="2" t="s">
        <v>17</v>
      </c>
      <c r="S663" s="2"/>
      <c r="T663" s="2">
        <v>5.23</v>
      </c>
      <c r="U663" s="398">
        <v>125.52000000000001</v>
      </c>
      <c r="V663" s="7">
        <v>168.48</v>
      </c>
      <c r="W663" s="7" t="s">
        <v>660</v>
      </c>
    </row>
    <row r="664" spans="1:23" x14ac:dyDescent="0.35">
      <c r="A664" s="2">
        <v>92</v>
      </c>
      <c r="B664" s="109" t="s">
        <v>23</v>
      </c>
      <c r="C664" s="110" t="s">
        <v>24</v>
      </c>
      <c r="D664" s="2">
        <v>36</v>
      </c>
      <c r="E664" s="51">
        <v>7.02</v>
      </c>
      <c r="F664" s="105"/>
      <c r="H664" s="2"/>
      <c r="I664" s="2">
        <v>3</v>
      </c>
      <c r="J664" s="2">
        <v>0</v>
      </c>
      <c r="K664" s="2">
        <v>0</v>
      </c>
      <c r="L664" s="2">
        <v>15.120000000000001</v>
      </c>
      <c r="M664" s="2">
        <v>17.37</v>
      </c>
      <c r="N664" s="244">
        <v>8.4249000000000004E-2</v>
      </c>
      <c r="O664" s="2" t="s">
        <v>18</v>
      </c>
      <c r="P664" s="2">
        <v>50</v>
      </c>
      <c r="Q664" s="2">
        <v>0</v>
      </c>
      <c r="R664" s="2" t="s">
        <v>23</v>
      </c>
      <c r="S664" s="2"/>
      <c r="T664" s="2">
        <v>5.23</v>
      </c>
      <c r="U664" s="398">
        <v>188.28000000000003</v>
      </c>
      <c r="V664" s="7">
        <v>252.71999999999997</v>
      </c>
      <c r="W664" s="7" t="s">
        <v>660</v>
      </c>
    </row>
    <row r="665" spans="1:23" x14ac:dyDescent="0.35">
      <c r="A665" s="2">
        <v>92</v>
      </c>
      <c r="B665" s="109" t="s">
        <v>25</v>
      </c>
      <c r="C665" s="110" t="s">
        <v>26</v>
      </c>
      <c r="D665" s="2">
        <v>36</v>
      </c>
      <c r="E665" s="51">
        <v>7.02</v>
      </c>
      <c r="F665" s="105"/>
      <c r="H665" s="2"/>
      <c r="I665" s="2">
        <v>3</v>
      </c>
      <c r="J665" s="2">
        <v>0</v>
      </c>
      <c r="K665" s="2">
        <v>0</v>
      </c>
      <c r="L665" s="2">
        <v>15.120000000000001</v>
      </c>
      <c r="M665" s="2">
        <v>17.37</v>
      </c>
      <c r="N665" s="244">
        <v>8.4249000000000004E-2</v>
      </c>
      <c r="O665" s="2" t="s">
        <v>18</v>
      </c>
      <c r="P665" s="2">
        <v>50</v>
      </c>
      <c r="Q665" s="2">
        <v>0</v>
      </c>
      <c r="R665" s="2" t="s">
        <v>25</v>
      </c>
      <c r="S665" s="2"/>
      <c r="T665" s="2">
        <v>5.23</v>
      </c>
      <c r="U665" s="398">
        <v>188.28000000000003</v>
      </c>
      <c r="V665" s="7">
        <v>252.71999999999997</v>
      </c>
      <c r="W665" s="7" t="s">
        <v>660</v>
      </c>
    </row>
    <row r="666" spans="1:23" x14ac:dyDescent="0.35">
      <c r="A666" s="2">
        <v>92</v>
      </c>
      <c r="B666" s="109" t="s">
        <v>27</v>
      </c>
      <c r="C666" s="110" t="s">
        <v>28</v>
      </c>
      <c r="D666" s="2">
        <v>24</v>
      </c>
      <c r="E666" s="51">
        <v>7.02</v>
      </c>
      <c r="F666" s="105"/>
      <c r="H666" s="2"/>
      <c r="I666" s="2">
        <v>2</v>
      </c>
      <c r="J666" s="2">
        <v>0</v>
      </c>
      <c r="K666" s="2">
        <v>0</v>
      </c>
      <c r="L666" s="2">
        <v>10.08</v>
      </c>
      <c r="M666" s="2">
        <v>11.58</v>
      </c>
      <c r="N666" s="244">
        <v>5.6166000000000001E-2</v>
      </c>
      <c r="O666" s="2" t="s">
        <v>18</v>
      </c>
      <c r="P666" s="2">
        <v>50</v>
      </c>
      <c r="Q666" s="2">
        <v>0</v>
      </c>
      <c r="R666" s="2" t="s">
        <v>27</v>
      </c>
      <c r="S666" s="2"/>
      <c r="T666" s="2">
        <v>5.23</v>
      </c>
      <c r="U666" s="398">
        <v>125.52000000000001</v>
      </c>
      <c r="V666" s="7">
        <v>168.48</v>
      </c>
      <c r="W666" s="7" t="s">
        <v>660</v>
      </c>
    </row>
    <row r="667" spans="1:23" x14ac:dyDescent="0.35">
      <c r="A667" s="2">
        <v>92</v>
      </c>
      <c r="B667" s="109" t="s">
        <v>29</v>
      </c>
      <c r="C667" s="110" t="s">
        <v>31</v>
      </c>
      <c r="D667" s="2">
        <v>24</v>
      </c>
      <c r="E667" s="51">
        <v>7.02</v>
      </c>
      <c r="F667" s="105"/>
      <c r="H667" s="2"/>
      <c r="I667" s="2">
        <v>2</v>
      </c>
      <c r="J667" s="2">
        <v>0</v>
      </c>
      <c r="K667" s="2">
        <v>0</v>
      </c>
      <c r="L667" s="2">
        <v>9.56</v>
      </c>
      <c r="M667" s="2">
        <v>10.5</v>
      </c>
      <c r="N667" s="244">
        <v>5.6166000000000001E-2</v>
      </c>
      <c r="O667" s="2" t="s">
        <v>18</v>
      </c>
      <c r="P667" s="2">
        <v>50</v>
      </c>
      <c r="Q667" s="2">
        <v>0</v>
      </c>
      <c r="R667" s="2" t="s">
        <v>29</v>
      </c>
      <c r="S667" s="2"/>
      <c r="T667" s="2">
        <v>5.23</v>
      </c>
      <c r="U667" s="398">
        <v>125.52000000000001</v>
      </c>
      <c r="V667" s="7">
        <v>168.48</v>
      </c>
      <c r="W667" s="7" t="s">
        <v>660</v>
      </c>
    </row>
    <row r="668" spans="1:23" x14ac:dyDescent="0.35">
      <c r="A668" s="2">
        <v>92</v>
      </c>
      <c r="B668" s="109" t="s">
        <v>32</v>
      </c>
      <c r="C668" s="110" t="s">
        <v>33</v>
      </c>
      <c r="D668" s="2">
        <v>24</v>
      </c>
      <c r="E668" s="51">
        <v>7.02</v>
      </c>
      <c r="F668" s="105"/>
      <c r="H668" s="2"/>
      <c r="I668" s="2">
        <v>2</v>
      </c>
      <c r="J668" s="2">
        <v>0</v>
      </c>
      <c r="K668" s="2">
        <v>0</v>
      </c>
      <c r="L668" s="2">
        <v>9.56</v>
      </c>
      <c r="M668" s="2">
        <v>10.5</v>
      </c>
      <c r="N668" s="244">
        <v>5.6166000000000001E-2</v>
      </c>
      <c r="O668" s="2" t="s">
        <v>18</v>
      </c>
      <c r="P668" s="2">
        <v>50</v>
      </c>
      <c r="Q668" s="2">
        <v>0</v>
      </c>
      <c r="R668" s="2" t="s">
        <v>32</v>
      </c>
      <c r="S668" s="2"/>
      <c r="T668" s="2">
        <v>5.23</v>
      </c>
      <c r="U668" s="398">
        <v>125.52000000000001</v>
      </c>
      <c r="V668" s="7">
        <v>168.48</v>
      </c>
      <c r="W668" s="7" t="s">
        <v>660</v>
      </c>
    </row>
    <row r="669" spans="1:23" x14ac:dyDescent="0.35">
      <c r="A669" s="2">
        <v>92</v>
      </c>
      <c r="B669" s="109" t="s">
        <v>34</v>
      </c>
      <c r="C669" s="110" t="s">
        <v>35</v>
      </c>
      <c r="D669" s="2">
        <v>18</v>
      </c>
      <c r="E669" s="51">
        <v>7.02</v>
      </c>
      <c r="F669" s="105"/>
      <c r="H669" s="2"/>
      <c r="I669" s="2">
        <v>2</v>
      </c>
      <c r="J669" s="2">
        <v>0</v>
      </c>
      <c r="K669" s="2">
        <v>0</v>
      </c>
      <c r="L669" s="2">
        <v>7.17</v>
      </c>
      <c r="M669" s="2">
        <v>7.875</v>
      </c>
      <c r="N669" s="244">
        <v>4.2124500000000002E-2</v>
      </c>
      <c r="O669" s="2" t="s">
        <v>18</v>
      </c>
      <c r="P669" s="2">
        <v>50</v>
      </c>
      <c r="Q669" s="2">
        <v>0</v>
      </c>
      <c r="R669" s="2" t="s">
        <v>34</v>
      </c>
      <c r="S669" s="2"/>
      <c r="T669" s="2">
        <v>5.23</v>
      </c>
      <c r="U669" s="398">
        <v>94.140000000000015</v>
      </c>
      <c r="V669" s="7">
        <v>126.35999999999999</v>
      </c>
      <c r="W669" s="7" t="s">
        <v>660</v>
      </c>
    </row>
    <row r="670" spans="1:23" x14ac:dyDescent="0.35">
      <c r="A670" s="2">
        <v>93</v>
      </c>
      <c r="B670" s="109" t="s">
        <v>118</v>
      </c>
      <c r="C670" s="110" t="s">
        <v>119</v>
      </c>
      <c r="D670" s="2">
        <v>2263</v>
      </c>
      <c r="E670" s="51">
        <v>12.5</v>
      </c>
      <c r="F670" s="105">
        <v>54</v>
      </c>
      <c r="G670" s="51">
        <v>6.25</v>
      </c>
      <c r="H670" s="2">
        <v>377</v>
      </c>
      <c r="I670" s="2">
        <v>95</v>
      </c>
      <c r="J670" s="2">
        <v>3</v>
      </c>
      <c r="K670" s="2">
        <v>16</v>
      </c>
      <c r="L670" s="2">
        <v>1023.7199999999999</v>
      </c>
      <c r="M670" s="2">
        <v>1066.375</v>
      </c>
      <c r="N670" s="244">
        <v>1.9678828125000001</v>
      </c>
      <c r="O670" s="2" t="s">
        <v>108</v>
      </c>
      <c r="P670" s="2">
        <v>100</v>
      </c>
      <c r="Q670" s="2" t="s">
        <v>55</v>
      </c>
      <c r="R670" s="2" t="s">
        <v>118</v>
      </c>
      <c r="S670" s="2"/>
      <c r="T670" s="2">
        <v>11.68</v>
      </c>
      <c r="U670" s="398">
        <v>27062.559999999998</v>
      </c>
      <c r="V670" s="7">
        <v>28625</v>
      </c>
      <c r="W670" s="7" t="s">
        <v>660</v>
      </c>
    </row>
    <row r="671" spans="1:23" x14ac:dyDescent="0.35">
      <c r="A671" s="2">
        <v>93</v>
      </c>
      <c r="B671" s="109" t="s">
        <v>135</v>
      </c>
      <c r="C671" s="110" t="s">
        <v>136</v>
      </c>
      <c r="D671" s="2"/>
      <c r="E671" s="51"/>
      <c r="F671" s="105">
        <v>906</v>
      </c>
      <c r="G671" s="51">
        <v>6.25</v>
      </c>
      <c r="H671" s="2"/>
      <c r="I671" s="2">
        <v>0</v>
      </c>
      <c r="J671" s="2">
        <v>38</v>
      </c>
      <c r="K671" s="2">
        <v>0</v>
      </c>
      <c r="L671" s="2">
        <v>344.28</v>
      </c>
      <c r="M671" s="2">
        <v>358.625</v>
      </c>
      <c r="N671" s="244">
        <v>0.66180468749999999</v>
      </c>
      <c r="O671" s="2" t="s">
        <v>125</v>
      </c>
      <c r="P671" s="2">
        <v>100</v>
      </c>
      <c r="Q671" s="2" t="s">
        <v>55</v>
      </c>
      <c r="R671" s="2" t="s">
        <v>135</v>
      </c>
      <c r="S671" s="2"/>
      <c r="T671" s="2">
        <v>0</v>
      </c>
      <c r="U671" s="398">
        <v>0</v>
      </c>
      <c r="V671" s="7">
        <v>5662.5</v>
      </c>
      <c r="W671" s="7" t="s">
        <v>660</v>
      </c>
    </row>
    <row r="672" spans="1:23" x14ac:dyDescent="0.35">
      <c r="A672" s="2">
        <v>94</v>
      </c>
      <c r="B672" s="109" t="s">
        <v>91</v>
      </c>
      <c r="C672" s="110" t="s">
        <v>92</v>
      </c>
      <c r="D672" s="2">
        <v>1000</v>
      </c>
      <c r="E672" s="51">
        <v>7.43</v>
      </c>
      <c r="F672" s="105"/>
      <c r="H672" s="2">
        <v>100</v>
      </c>
      <c r="I672" s="2">
        <v>42</v>
      </c>
      <c r="J672" s="2">
        <v>0</v>
      </c>
      <c r="K672" s="2">
        <v>5</v>
      </c>
      <c r="L672" s="2">
        <v>344.66666666666669</v>
      </c>
      <c r="M672" s="2">
        <v>377.20833333333337</v>
      </c>
      <c r="N672" s="244">
        <v>1.0287750000000002</v>
      </c>
      <c r="O672" s="2" t="s">
        <v>934</v>
      </c>
      <c r="P672" s="2">
        <v>100</v>
      </c>
      <c r="Q672" s="2" t="s">
        <v>55</v>
      </c>
      <c r="R672" s="2" t="s">
        <v>91</v>
      </c>
      <c r="S672" s="2"/>
      <c r="T672" s="2">
        <v>5</v>
      </c>
      <c r="U672" s="398">
        <v>5000</v>
      </c>
      <c r="V672" s="7">
        <v>7430</v>
      </c>
      <c r="W672" s="7" t="s">
        <v>660</v>
      </c>
    </row>
    <row r="673" spans="1:23" x14ac:dyDescent="0.35">
      <c r="A673" s="2">
        <v>94</v>
      </c>
      <c r="B673" s="109" t="s">
        <v>93</v>
      </c>
      <c r="C673" s="110" t="s">
        <v>94</v>
      </c>
      <c r="D673" s="2">
        <v>1000</v>
      </c>
      <c r="E673" s="51">
        <v>7.43</v>
      </c>
      <c r="F673" s="105"/>
      <c r="H673" s="2">
        <v>100</v>
      </c>
      <c r="I673" s="2">
        <v>42</v>
      </c>
      <c r="J673" s="2">
        <v>0</v>
      </c>
      <c r="K673" s="2">
        <v>5</v>
      </c>
      <c r="L673" s="2">
        <v>344.66666666666669</v>
      </c>
      <c r="M673" s="2">
        <v>377.20833333333337</v>
      </c>
      <c r="N673" s="244">
        <v>1.0287750000000002</v>
      </c>
      <c r="O673" s="2" t="s">
        <v>934</v>
      </c>
      <c r="P673" s="2">
        <v>100</v>
      </c>
      <c r="Q673" s="2" t="s">
        <v>55</v>
      </c>
      <c r="R673" s="2" t="s">
        <v>93</v>
      </c>
      <c r="S673" s="2"/>
      <c r="T673" s="2">
        <v>5</v>
      </c>
      <c r="U673" s="398">
        <v>5000</v>
      </c>
      <c r="V673" s="7">
        <v>7430</v>
      </c>
      <c r="W673" s="7" t="s">
        <v>660</v>
      </c>
    </row>
    <row r="674" spans="1:23" x14ac:dyDescent="0.35">
      <c r="A674" s="2">
        <v>94</v>
      </c>
      <c r="B674" s="109" t="s">
        <v>95</v>
      </c>
      <c r="C674" s="110" t="s">
        <v>96</v>
      </c>
      <c r="D674" s="2">
        <v>1000</v>
      </c>
      <c r="E674" s="51">
        <v>7.43</v>
      </c>
      <c r="F674" s="105"/>
      <c r="H674" s="2">
        <v>100</v>
      </c>
      <c r="I674" s="2">
        <v>42</v>
      </c>
      <c r="J674" s="2">
        <v>0</v>
      </c>
      <c r="K674" s="2">
        <v>5</v>
      </c>
      <c r="L674" s="2">
        <v>344.66666666666669</v>
      </c>
      <c r="M674" s="2">
        <v>377.20833333333337</v>
      </c>
      <c r="N674" s="244">
        <v>1.0287750000000002</v>
      </c>
      <c r="O674" s="2" t="s">
        <v>934</v>
      </c>
      <c r="P674" s="2">
        <v>100</v>
      </c>
      <c r="Q674" s="2" t="s">
        <v>55</v>
      </c>
      <c r="R674" s="2" t="s">
        <v>95</v>
      </c>
      <c r="S674" s="2"/>
      <c r="T674" s="2">
        <v>5</v>
      </c>
      <c r="U674" s="398">
        <v>5000</v>
      </c>
      <c r="V674" s="7">
        <v>7430</v>
      </c>
      <c r="W674" s="7" t="s">
        <v>660</v>
      </c>
    </row>
    <row r="675" spans="1:23" x14ac:dyDescent="0.35">
      <c r="A675" s="2">
        <v>94</v>
      </c>
      <c r="B675" s="109" t="s">
        <v>97</v>
      </c>
      <c r="C675" s="110" t="s">
        <v>98</v>
      </c>
      <c r="D675" s="2">
        <v>1000</v>
      </c>
      <c r="E675" s="51">
        <v>7.43</v>
      </c>
      <c r="F675" s="105"/>
      <c r="H675" s="2">
        <v>100</v>
      </c>
      <c r="I675" s="2">
        <v>42</v>
      </c>
      <c r="J675" s="2">
        <v>0</v>
      </c>
      <c r="K675" s="2">
        <v>5</v>
      </c>
      <c r="L675" s="2">
        <v>344.66666666666669</v>
      </c>
      <c r="M675" s="2">
        <v>377.20833333333337</v>
      </c>
      <c r="N675" s="244">
        <v>1.0287750000000002</v>
      </c>
      <c r="O675" s="2" t="s">
        <v>934</v>
      </c>
      <c r="P675" s="2">
        <v>100</v>
      </c>
      <c r="Q675" s="2" t="s">
        <v>55</v>
      </c>
      <c r="R675" s="2" t="s">
        <v>97</v>
      </c>
      <c r="S675" s="2"/>
      <c r="T675" s="2">
        <v>5</v>
      </c>
      <c r="U675" s="398">
        <v>5000</v>
      </c>
      <c r="V675" s="7">
        <v>7430</v>
      </c>
      <c r="W675" s="7" t="s">
        <v>660</v>
      </c>
    </row>
    <row r="676" spans="1:23" x14ac:dyDescent="0.35">
      <c r="A676" s="2">
        <v>94</v>
      </c>
      <c r="B676" s="109" t="s">
        <v>99</v>
      </c>
      <c r="C676" s="110" t="s">
        <v>100</v>
      </c>
      <c r="D676" s="2">
        <v>1000</v>
      </c>
      <c r="E676" s="51">
        <v>7.43</v>
      </c>
      <c r="F676" s="105"/>
      <c r="H676" s="2">
        <v>100</v>
      </c>
      <c r="I676" s="2">
        <v>42</v>
      </c>
      <c r="J676" s="2">
        <v>0</v>
      </c>
      <c r="K676" s="2">
        <v>5</v>
      </c>
      <c r="L676" s="2">
        <v>314.875</v>
      </c>
      <c r="M676" s="2">
        <v>346.5</v>
      </c>
      <c r="N676" s="244">
        <v>1.1529375000000002</v>
      </c>
      <c r="O676" s="2" t="s">
        <v>934</v>
      </c>
      <c r="P676" s="2">
        <v>100</v>
      </c>
      <c r="Q676" s="2" t="s">
        <v>55</v>
      </c>
      <c r="R676" s="2" t="s">
        <v>99</v>
      </c>
      <c r="S676" s="2"/>
      <c r="T676" s="2">
        <v>5</v>
      </c>
      <c r="U676" s="398">
        <v>5000</v>
      </c>
      <c r="V676" s="7">
        <v>7430</v>
      </c>
      <c r="W676" s="7" t="s">
        <v>660</v>
      </c>
    </row>
    <row r="677" spans="1:23" x14ac:dyDescent="0.35">
      <c r="A677" s="2">
        <v>94</v>
      </c>
      <c r="B677" s="109" t="s">
        <v>101</v>
      </c>
      <c r="C677" s="110" t="s">
        <v>102</v>
      </c>
      <c r="D677" s="2">
        <v>1000</v>
      </c>
      <c r="E677" s="51">
        <v>7.43</v>
      </c>
      <c r="F677" s="105"/>
      <c r="H677" s="2">
        <v>79</v>
      </c>
      <c r="I677" s="2">
        <v>42</v>
      </c>
      <c r="J677" s="2">
        <v>0</v>
      </c>
      <c r="K677" s="2">
        <v>4</v>
      </c>
      <c r="L677" s="2">
        <v>308.86375000000004</v>
      </c>
      <c r="M677" s="2">
        <v>339.88499999999999</v>
      </c>
      <c r="N677" s="244">
        <v>1.1309268750000003</v>
      </c>
      <c r="O677" s="2" t="s">
        <v>934</v>
      </c>
      <c r="P677" s="2">
        <v>100</v>
      </c>
      <c r="Q677" s="2" t="s">
        <v>55</v>
      </c>
      <c r="R677" s="2" t="s">
        <v>101</v>
      </c>
      <c r="S677" s="2"/>
      <c r="T677" s="2">
        <v>5</v>
      </c>
      <c r="U677" s="398">
        <v>5000</v>
      </c>
      <c r="V677" s="7">
        <v>7430</v>
      </c>
      <c r="W677" s="7" t="s">
        <v>660</v>
      </c>
    </row>
    <row r="678" spans="1:23" x14ac:dyDescent="0.35">
      <c r="A678" s="2">
        <v>94</v>
      </c>
      <c r="B678" s="109" t="s">
        <v>103</v>
      </c>
      <c r="C678" s="110" t="s">
        <v>104</v>
      </c>
      <c r="D678" s="2">
        <v>1000</v>
      </c>
      <c r="E678" s="51">
        <v>7.43</v>
      </c>
      <c r="F678" s="105"/>
      <c r="H678" s="2">
        <v>100</v>
      </c>
      <c r="I678" s="2">
        <v>42</v>
      </c>
      <c r="J678" s="2">
        <v>0</v>
      </c>
      <c r="K678" s="2">
        <v>5</v>
      </c>
      <c r="L678" s="2">
        <v>314.875</v>
      </c>
      <c r="M678" s="2">
        <v>346.5</v>
      </c>
      <c r="N678" s="244">
        <v>1.1529375000000002</v>
      </c>
      <c r="O678" s="2" t="s">
        <v>934</v>
      </c>
      <c r="P678" s="2">
        <v>100</v>
      </c>
      <c r="Q678" s="2" t="s">
        <v>55</v>
      </c>
      <c r="R678" s="2" t="s">
        <v>103</v>
      </c>
      <c r="S678" s="2"/>
      <c r="T678" s="2">
        <v>5</v>
      </c>
      <c r="U678" s="398">
        <v>5000</v>
      </c>
      <c r="V678" s="7">
        <v>7430</v>
      </c>
      <c r="W678" s="7" t="s">
        <v>660</v>
      </c>
    </row>
    <row r="679" spans="1:23" x14ac:dyDescent="0.35">
      <c r="A679" s="2">
        <v>94</v>
      </c>
      <c r="B679" s="109" t="s">
        <v>105</v>
      </c>
      <c r="C679" s="110" t="s">
        <v>106</v>
      </c>
      <c r="D679" s="2">
        <v>1000</v>
      </c>
      <c r="E679" s="51">
        <v>7.43</v>
      </c>
      <c r="F679" s="105"/>
      <c r="H679" s="2">
        <v>100</v>
      </c>
      <c r="I679" s="2">
        <v>42</v>
      </c>
      <c r="J679" s="2">
        <v>0</v>
      </c>
      <c r="K679" s="2">
        <v>5</v>
      </c>
      <c r="L679" s="2">
        <v>314.875</v>
      </c>
      <c r="M679" s="2">
        <v>346.5</v>
      </c>
      <c r="N679" s="244">
        <v>1.1529375000000002</v>
      </c>
      <c r="O679" s="2" t="s">
        <v>934</v>
      </c>
      <c r="P679" s="2">
        <v>100</v>
      </c>
      <c r="Q679" s="2" t="s">
        <v>55</v>
      </c>
      <c r="R679" s="2" t="s">
        <v>105</v>
      </c>
      <c r="S679" s="2"/>
      <c r="T679" s="2">
        <v>5</v>
      </c>
      <c r="U679" s="398">
        <v>5000</v>
      </c>
      <c r="V679" s="7">
        <v>7430</v>
      </c>
      <c r="W679" s="7" t="s">
        <v>660</v>
      </c>
    </row>
    <row r="680" spans="1:23" x14ac:dyDescent="0.35">
      <c r="A680" s="2">
        <v>95</v>
      </c>
      <c r="B680" s="109" t="s">
        <v>72</v>
      </c>
      <c r="C680" s="110" t="s">
        <v>73</v>
      </c>
      <c r="D680" s="2">
        <v>60</v>
      </c>
      <c r="E680" s="51">
        <v>5.6</v>
      </c>
      <c r="F680" s="105"/>
      <c r="H680" s="2"/>
      <c r="I680" s="2">
        <v>5</v>
      </c>
      <c r="J680" s="2">
        <v>0</v>
      </c>
      <c r="K680" s="2">
        <v>0</v>
      </c>
      <c r="L680" s="2">
        <v>29.25</v>
      </c>
      <c r="M680" s="2">
        <v>33</v>
      </c>
      <c r="N680" s="244">
        <v>0.16317983999999999</v>
      </c>
      <c r="O680" s="2" t="s">
        <v>18</v>
      </c>
      <c r="P680" s="2">
        <v>100</v>
      </c>
      <c r="Q680" s="2">
        <v>0</v>
      </c>
      <c r="R680" s="2" t="s">
        <v>72</v>
      </c>
      <c r="S680" s="2"/>
      <c r="T680" s="2">
        <v>6.16</v>
      </c>
      <c r="U680" s="398">
        <v>369.6</v>
      </c>
      <c r="V680" s="7">
        <v>336</v>
      </c>
      <c r="W680" s="7" t="s">
        <v>660</v>
      </c>
    </row>
    <row r="681" spans="1:23" x14ac:dyDescent="0.35">
      <c r="A681" s="2">
        <v>95</v>
      </c>
      <c r="B681" s="109" t="s">
        <v>74</v>
      </c>
      <c r="C681" s="110" t="s">
        <v>75</v>
      </c>
      <c r="D681" s="2">
        <v>60</v>
      </c>
      <c r="E681" s="51">
        <v>5.6</v>
      </c>
      <c r="F681" s="105"/>
      <c r="H681" s="2"/>
      <c r="I681" s="2">
        <v>5</v>
      </c>
      <c r="J681" s="2">
        <v>0</v>
      </c>
      <c r="K681" s="2">
        <v>0</v>
      </c>
      <c r="L681" s="2">
        <v>29.25</v>
      </c>
      <c r="M681" s="2">
        <v>33</v>
      </c>
      <c r="N681" s="244">
        <v>0.16317983999999999</v>
      </c>
      <c r="O681" s="2" t="s">
        <v>18</v>
      </c>
      <c r="P681" s="2">
        <v>100</v>
      </c>
      <c r="Q681" s="2">
        <v>0</v>
      </c>
      <c r="R681" s="2" t="s">
        <v>74</v>
      </c>
      <c r="S681" s="2"/>
      <c r="T681" s="2">
        <v>6.16</v>
      </c>
      <c r="U681" s="398">
        <v>369.6</v>
      </c>
      <c r="V681" s="7">
        <v>336</v>
      </c>
      <c r="W681" s="7" t="s">
        <v>660</v>
      </c>
    </row>
    <row r="682" spans="1:23" x14ac:dyDescent="0.35">
      <c r="A682" s="2">
        <v>95</v>
      </c>
      <c r="B682" s="109" t="s">
        <v>76</v>
      </c>
      <c r="C682" s="110" t="s">
        <v>77</v>
      </c>
      <c r="D682" s="2">
        <v>60</v>
      </c>
      <c r="E682" s="51">
        <v>5.6</v>
      </c>
      <c r="F682" s="105"/>
      <c r="H682" s="2"/>
      <c r="I682" s="2">
        <v>5</v>
      </c>
      <c r="J682" s="2">
        <v>0</v>
      </c>
      <c r="K682" s="2">
        <v>0</v>
      </c>
      <c r="L682" s="2">
        <v>29.25</v>
      </c>
      <c r="M682" s="2">
        <v>33</v>
      </c>
      <c r="N682" s="244">
        <v>0.16317983999999999</v>
      </c>
      <c r="O682" s="2" t="s">
        <v>18</v>
      </c>
      <c r="P682" s="2">
        <v>100</v>
      </c>
      <c r="Q682" s="2">
        <v>0</v>
      </c>
      <c r="R682" s="2" t="s">
        <v>76</v>
      </c>
      <c r="S682" s="2"/>
      <c r="T682" s="2">
        <v>6.16</v>
      </c>
      <c r="U682" s="398">
        <v>369.6</v>
      </c>
      <c r="V682" s="7">
        <v>336</v>
      </c>
      <c r="W682" s="7" t="s">
        <v>660</v>
      </c>
    </row>
    <row r="683" spans="1:23" x14ac:dyDescent="0.35">
      <c r="A683" s="2">
        <v>95</v>
      </c>
      <c r="B683" s="109" t="s">
        <v>78</v>
      </c>
      <c r="C683" s="110" t="s">
        <v>79</v>
      </c>
      <c r="D683" s="2">
        <v>60</v>
      </c>
      <c r="E683" s="51">
        <v>5.6</v>
      </c>
      <c r="F683" s="105"/>
      <c r="H683" s="2"/>
      <c r="I683" s="2">
        <v>5</v>
      </c>
      <c r="J683" s="2">
        <v>0</v>
      </c>
      <c r="K683" s="2">
        <v>0</v>
      </c>
      <c r="L683" s="2">
        <v>29.25</v>
      </c>
      <c r="M683" s="2">
        <v>33</v>
      </c>
      <c r="N683" s="244">
        <v>0.16317983999999999</v>
      </c>
      <c r="O683" s="2" t="s">
        <v>18</v>
      </c>
      <c r="P683" s="2">
        <v>100</v>
      </c>
      <c r="Q683" s="2">
        <v>0</v>
      </c>
      <c r="R683" s="2" t="s">
        <v>78</v>
      </c>
      <c r="S683" s="2"/>
      <c r="T683" s="2">
        <v>6.16</v>
      </c>
      <c r="U683" s="398">
        <v>369.6</v>
      </c>
      <c r="V683" s="7">
        <v>336</v>
      </c>
      <c r="W683" s="7" t="s">
        <v>660</v>
      </c>
    </row>
    <row r="684" spans="1:23" x14ac:dyDescent="0.35">
      <c r="A684" s="2">
        <v>95</v>
      </c>
      <c r="B684" s="109" t="s">
        <v>17</v>
      </c>
      <c r="C684" s="110" t="s">
        <v>20</v>
      </c>
      <c r="D684" s="2">
        <v>60</v>
      </c>
      <c r="E684" s="51">
        <v>5.2</v>
      </c>
      <c r="F684" s="105"/>
      <c r="H684" s="2"/>
      <c r="I684" s="2">
        <v>5</v>
      </c>
      <c r="J684" s="2">
        <v>0</v>
      </c>
      <c r="K684" s="2">
        <v>0</v>
      </c>
      <c r="L684" s="2">
        <v>25.2</v>
      </c>
      <c r="M684" s="2">
        <v>28.95</v>
      </c>
      <c r="N684" s="244">
        <v>0.14041500000000001</v>
      </c>
      <c r="O684" s="2" t="s">
        <v>18</v>
      </c>
      <c r="P684" s="2">
        <v>50</v>
      </c>
      <c r="Q684" s="2">
        <v>0</v>
      </c>
      <c r="R684" s="2" t="s">
        <v>17</v>
      </c>
      <c r="S684" s="2"/>
      <c r="T684" s="2">
        <v>5.23</v>
      </c>
      <c r="U684" s="398">
        <v>313.8</v>
      </c>
      <c r="V684" s="7">
        <v>312</v>
      </c>
      <c r="W684" s="7" t="s">
        <v>660</v>
      </c>
    </row>
    <row r="685" spans="1:23" x14ac:dyDescent="0.35">
      <c r="A685" s="2">
        <v>95</v>
      </c>
      <c r="B685" s="109" t="s">
        <v>23</v>
      </c>
      <c r="C685" s="110" t="s">
        <v>24</v>
      </c>
      <c r="D685" s="2">
        <v>60</v>
      </c>
      <c r="E685" s="51">
        <v>5.2</v>
      </c>
      <c r="F685" s="105"/>
      <c r="H685" s="2"/>
      <c r="I685" s="2">
        <v>5</v>
      </c>
      <c r="J685" s="2">
        <v>0</v>
      </c>
      <c r="K685" s="2">
        <v>0</v>
      </c>
      <c r="L685" s="2">
        <v>25.2</v>
      </c>
      <c r="M685" s="2">
        <v>28.95</v>
      </c>
      <c r="N685" s="244">
        <v>0.14041500000000001</v>
      </c>
      <c r="O685" s="2" t="s">
        <v>18</v>
      </c>
      <c r="P685" s="2">
        <v>50</v>
      </c>
      <c r="Q685" s="2">
        <v>0</v>
      </c>
      <c r="R685" s="2" t="s">
        <v>23</v>
      </c>
      <c r="S685" s="2"/>
      <c r="T685" s="2">
        <v>5.23</v>
      </c>
      <c r="U685" s="398">
        <v>313.8</v>
      </c>
      <c r="V685" s="7">
        <v>312</v>
      </c>
      <c r="W685" s="7" t="s">
        <v>660</v>
      </c>
    </row>
    <row r="686" spans="1:23" x14ac:dyDescent="0.35">
      <c r="A686" s="2">
        <v>95</v>
      </c>
      <c r="B686" s="109" t="s">
        <v>25</v>
      </c>
      <c r="C686" s="110" t="s">
        <v>26</v>
      </c>
      <c r="D686" s="2">
        <v>60</v>
      </c>
      <c r="E686" s="51">
        <v>5.2</v>
      </c>
      <c r="F686" s="105"/>
      <c r="H686" s="2"/>
      <c r="I686" s="2">
        <v>5</v>
      </c>
      <c r="J686" s="2">
        <v>0</v>
      </c>
      <c r="K686" s="2">
        <v>0</v>
      </c>
      <c r="L686" s="2">
        <v>25.2</v>
      </c>
      <c r="M686" s="2">
        <v>28.95</v>
      </c>
      <c r="N686" s="244">
        <v>0.14041500000000001</v>
      </c>
      <c r="O686" s="2" t="s">
        <v>18</v>
      </c>
      <c r="P686" s="2">
        <v>50</v>
      </c>
      <c r="Q686" s="2">
        <v>0</v>
      </c>
      <c r="R686" s="2" t="s">
        <v>25</v>
      </c>
      <c r="S686" s="2"/>
      <c r="T686" s="2">
        <v>5.23</v>
      </c>
      <c r="U686" s="398">
        <v>313.8</v>
      </c>
      <c r="V686" s="7">
        <v>312</v>
      </c>
      <c r="W686" s="7" t="s">
        <v>660</v>
      </c>
    </row>
    <row r="687" spans="1:23" x14ac:dyDescent="0.35">
      <c r="A687" s="2">
        <v>95</v>
      </c>
      <c r="B687" s="109" t="s">
        <v>27</v>
      </c>
      <c r="C687" s="110" t="s">
        <v>28</v>
      </c>
      <c r="D687" s="2">
        <v>60</v>
      </c>
      <c r="E687" s="51">
        <v>5.2</v>
      </c>
      <c r="F687" s="105"/>
      <c r="H687" s="2"/>
      <c r="I687" s="2">
        <v>5</v>
      </c>
      <c r="J687" s="2">
        <v>0</v>
      </c>
      <c r="K687" s="2">
        <v>0</v>
      </c>
      <c r="L687" s="2">
        <v>25.2</v>
      </c>
      <c r="M687" s="2">
        <v>28.95</v>
      </c>
      <c r="N687" s="244">
        <v>0.14041500000000001</v>
      </c>
      <c r="O687" s="2" t="s">
        <v>18</v>
      </c>
      <c r="P687" s="2">
        <v>50</v>
      </c>
      <c r="Q687" s="2">
        <v>0</v>
      </c>
      <c r="R687" s="2" t="s">
        <v>27</v>
      </c>
      <c r="S687" s="2"/>
      <c r="T687" s="2">
        <v>5.23</v>
      </c>
      <c r="U687" s="398">
        <v>313.8</v>
      </c>
      <c r="V687" s="7">
        <v>312</v>
      </c>
      <c r="W687" s="7" t="s">
        <v>660</v>
      </c>
    </row>
    <row r="688" spans="1:23" x14ac:dyDescent="0.35">
      <c r="A688" s="2">
        <v>95</v>
      </c>
      <c r="B688" s="109" t="s">
        <v>29</v>
      </c>
      <c r="C688" s="110" t="s">
        <v>31</v>
      </c>
      <c r="D688" s="2">
        <v>72</v>
      </c>
      <c r="E688" s="51">
        <v>5.2</v>
      </c>
      <c r="F688" s="105"/>
      <c r="H688" s="2"/>
      <c r="I688" s="2">
        <v>6</v>
      </c>
      <c r="J688" s="2">
        <v>0</v>
      </c>
      <c r="K688" s="2">
        <v>0</v>
      </c>
      <c r="L688" s="2">
        <v>28.68</v>
      </c>
      <c r="M688" s="2">
        <v>31.5</v>
      </c>
      <c r="N688" s="244">
        <v>0.16849800000000001</v>
      </c>
      <c r="O688" s="2" t="s">
        <v>18</v>
      </c>
      <c r="P688" s="2">
        <v>50</v>
      </c>
      <c r="Q688" s="2">
        <v>0</v>
      </c>
      <c r="R688" s="2" t="s">
        <v>29</v>
      </c>
      <c r="S688" s="2"/>
      <c r="T688" s="2">
        <v>5.23</v>
      </c>
      <c r="U688" s="398">
        <v>376.56000000000006</v>
      </c>
      <c r="V688" s="7">
        <v>374.40000000000003</v>
      </c>
      <c r="W688" s="7" t="s">
        <v>660</v>
      </c>
    </row>
    <row r="689" spans="1:23" x14ac:dyDescent="0.35">
      <c r="A689" s="2">
        <v>95</v>
      </c>
      <c r="B689" s="109" t="s">
        <v>32</v>
      </c>
      <c r="C689" s="110" t="s">
        <v>33</v>
      </c>
      <c r="D689" s="2">
        <v>72</v>
      </c>
      <c r="E689" s="51">
        <v>5.2</v>
      </c>
      <c r="F689" s="105"/>
      <c r="H689" s="2"/>
      <c r="I689" s="2">
        <v>6</v>
      </c>
      <c r="J689" s="2">
        <v>0</v>
      </c>
      <c r="K689" s="2">
        <v>0</v>
      </c>
      <c r="L689" s="2">
        <v>28.68</v>
      </c>
      <c r="M689" s="2">
        <v>31.5</v>
      </c>
      <c r="N689" s="244">
        <v>0.16849800000000001</v>
      </c>
      <c r="O689" s="2" t="s">
        <v>18</v>
      </c>
      <c r="P689" s="2">
        <v>50</v>
      </c>
      <c r="Q689" s="2">
        <v>0</v>
      </c>
      <c r="R689" s="2" t="s">
        <v>32</v>
      </c>
      <c r="S689" s="2"/>
      <c r="T689" s="2">
        <v>5.23</v>
      </c>
      <c r="U689" s="398">
        <v>376.56000000000006</v>
      </c>
      <c r="V689" s="7">
        <v>374.40000000000003</v>
      </c>
      <c r="W689" s="7" t="s">
        <v>660</v>
      </c>
    </row>
    <row r="690" spans="1:23" x14ac:dyDescent="0.35">
      <c r="A690" s="2">
        <v>95</v>
      </c>
      <c r="B690" s="109" t="s">
        <v>34</v>
      </c>
      <c r="C690" s="110" t="s">
        <v>35</v>
      </c>
      <c r="D690" s="2">
        <v>72</v>
      </c>
      <c r="E690" s="51">
        <v>5.2</v>
      </c>
      <c r="F690" s="105"/>
      <c r="H690" s="2"/>
      <c r="I690" s="2">
        <v>6</v>
      </c>
      <c r="J690" s="2">
        <v>0</v>
      </c>
      <c r="K690" s="2">
        <v>0</v>
      </c>
      <c r="L690" s="2">
        <v>28.68</v>
      </c>
      <c r="M690" s="2">
        <v>31.5</v>
      </c>
      <c r="N690" s="244">
        <v>0.16849800000000001</v>
      </c>
      <c r="O690" s="2" t="s">
        <v>18</v>
      </c>
      <c r="P690" s="2">
        <v>50</v>
      </c>
      <c r="Q690" s="2">
        <v>0</v>
      </c>
      <c r="R690" s="2" t="s">
        <v>34</v>
      </c>
      <c r="S690" s="2"/>
      <c r="T690" s="2">
        <v>5.23</v>
      </c>
      <c r="U690" s="398">
        <v>376.56000000000006</v>
      </c>
      <c r="V690" s="7">
        <v>374.40000000000003</v>
      </c>
      <c r="W690" s="7" t="s">
        <v>660</v>
      </c>
    </row>
    <row r="691" spans="1:23" x14ac:dyDescent="0.35">
      <c r="A691" s="2">
        <v>95</v>
      </c>
      <c r="B691" s="109" t="s">
        <v>36</v>
      </c>
      <c r="C691" s="110" t="s">
        <v>37</v>
      </c>
      <c r="D691" s="2">
        <v>72</v>
      </c>
      <c r="E691" s="51">
        <v>5.2</v>
      </c>
      <c r="F691" s="105"/>
      <c r="H691" s="2"/>
      <c r="I691" s="2">
        <v>6</v>
      </c>
      <c r="J691" s="2">
        <v>0</v>
      </c>
      <c r="K691" s="2">
        <v>0</v>
      </c>
      <c r="L691" s="2">
        <v>28.68</v>
      </c>
      <c r="M691" s="2">
        <v>31.5</v>
      </c>
      <c r="N691" s="244">
        <v>0.16849800000000001</v>
      </c>
      <c r="O691" s="2" t="s">
        <v>18</v>
      </c>
      <c r="P691" s="2">
        <v>50</v>
      </c>
      <c r="Q691" s="2">
        <v>0</v>
      </c>
      <c r="R691" s="2" t="s">
        <v>36</v>
      </c>
      <c r="S691" s="2"/>
      <c r="T691" s="2">
        <v>5.23</v>
      </c>
      <c r="U691" s="398">
        <v>376.56000000000006</v>
      </c>
      <c r="V691" s="7">
        <v>374.40000000000003</v>
      </c>
      <c r="W691" s="7" t="s">
        <v>660</v>
      </c>
    </row>
    <row r="692" spans="1:23" x14ac:dyDescent="0.35">
      <c r="A692" s="2">
        <v>95</v>
      </c>
      <c r="B692" s="109" t="s">
        <v>80</v>
      </c>
      <c r="C692" s="110" t="s">
        <v>81</v>
      </c>
      <c r="D692" s="2">
        <v>72</v>
      </c>
      <c r="E692" s="51">
        <v>5.6</v>
      </c>
      <c r="F692" s="105"/>
      <c r="H692" s="2"/>
      <c r="I692" s="2">
        <v>6</v>
      </c>
      <c r="J692" s="2">
        <v>0</v>
      </c>
      <c r="K692" s="2">
        <v>0</v>
      </c>
      <c r="L692" s="2">
        <v>31.5</v>
      </c>
      <c r="M692" s="2">
        <v>36</v>
      </c>
      <c r="N692" s="244">
        <v>0.19237199999999999</v>
      </c>
      <c r="O692" s="2" t="s">
        <v>18</v>
      </c>
      <c r="P692" s="2">
        <v>100</v>
      </c>
      <c r="Q692" s="2">
        <v>0</v>
      </c>
      <c r="R692" s="2" t="s">
        <v>80</v>
      </c>
      <c r="S692" s="2"/>
      <c r="T692" s="2">
        <v>6.16</v>
      </c>
      <c r="U692" s="398">
        <v>443.52</v>
      </c>
      <c r="V692" s="7">
        <v>403.2</v>
      </c>
      <c r="W692" s="7" t="s">
        <v>660</v>
      </c>
    </row>
    <row r="693" spans="1:23" x14ac:dyDescent="0.35">
      <c r="A693" s="2">
        <v>95</v>
      </c>
      <c r="B693" s="109" t="s">
        <v>82</v>
      </c>
      <c r="C693" s="110" t="s">
        <v>83</v>
      </c>
      <c r="D693" s="2">
        <v>72</v>
      </c>
      <c r="E693" s="51">
        <v>5.6</v>
      </c>
      <c r="F693" s="105"/>
      <c r="H693" s="2"/>
      <c r="I693" s="2">
        <v>6</v>
      </c>
      <c r="J693" s="2">
        <v>0</v>
      </c>
      <c r="K693" s="2">
        <v>0</v>
      </c>
      <c r="L693" s="2">
        <v>31.5</v>
      </c>
      <c r="M693" s="2">
        <v>36</v>
      </c>
      <c r="N693" s="244">
        <v>0.19237199999999999</v>
      </c>
      <c r="O693" s="2" t="s">
        <v>18</v>
      </c>
      <c r="P693" s="2">
        <v>100</v>
      </c>
      <c r="Q693" s="2">
        <v>0</v>
      </c>
      <c r="R693" s="2" t="s">
        <v>82</v>
      </c>
      <c r="S693" s="2"/>
      <c r="T693" s="2">
        <v>6.16</v>
      </c>
      <c r="U693" s="398">
        <v>443.52</v>
      </c>
      <c r="V693" s="7">
        <v>403.2</v>
      </c>
      <c r="W693" s="7" t="s">
        <v>660</v>
      </c>
    </row>
    <row r="694" spans="1:23" x14ac:dyDescent="0.35">
      <c r="A694" s="2">
        <v>95</v>
      </c>
      <c r="B694" s="109" t="s">
        <v>84</v>
      </c>
      <c r="C694" s="110" t="s">
        <v>85</v>
      </c>
      <c r="D694" s="2">
        <v>72</v>
      </c>
      <c r="E694" s="51">
        <v>5.6</v>
      </c>
      <c r="F694" s="105"/>
      <c r="H694" s="2"/>
      <c r="I694" s="2">
        <v>6</v>
      </c>
      <c r="J694" s="2">
        <v>0</v>
      </c>
      <c r="K694" s="2">
        <v>0</v>
      </c>
      <c r="L694" s="2">
        <v>31.5</v>
      </c>
      <c r="M694" s="2">
        <v>36</v>
      </c>
      <c r="N694" s="244">
        <v>0.19237199999999999</v>
      </c>
      <c r="O694" s="2" t="s">
        <v>18</v>
      </c>
      <c r="P694" s="2">
        <v>100</v>
      </c>
      <c r="Q694" s="2">
        <v>0</v>
      </c>
      <c r="R694" s="2" t="s">
        <v>84</v>
      </c>
      <c r="S694" s="2"/>
      <c r="T694" s="2">
        <v>6.16</v>
      </c>
      <c r="U694" s="398">
        <v>443.52</v>
      </c>
      <c r="V694" s="7">
        <v>403.2</v>
      </c>
      <c r="W694" s="7" t="s">
        <v>660</v>
      </c>
    </row>
    <row r="695" spans="1:23" x14ac:dyDescent="0.35">
      <c r="A695" s="2">
        <v>95</v>
      </c>
      <c r="B695" s="109" t="s">
        <v>38</v>
      </c>
      <c r="C695" s="110" t="s">
        <v>39</v>
      </c>
      <c r="D695" s="2">
        <v>60</v>
      </c>
      <c r="E695" s="51">
        <v>6</v>
      </c>
      <c r="F695" s="105"/>
      <c r="H695" s="2"/>
      <c r="I695" s="2">
        <v>5</v>
      </c>
      <c r="J695" s="2">
        <v>0</v>
      </c>
      <c r="K695" s="2">
        <v>0</v>
      </c>
      <c r="L695" s="2">
        <v>30.85</v>
      </c>
      <c r="M695" s="2">
        <v>33.849999999999994</v>
      </c>
      <c r="N695" s="244">
        <v>0.19491</v>
      </c>
      <c r="O695" s="2" t="s">
        <v>18</v>
      </c>
      <c r="P695" s="2">
        <v>50</v>
      </c>
      <c r="Q695" s="2">
        <v>0</v>
      </c>
      <c r="R695" s="2" t="s">
        <v>38</v>
      </c>
      <c r="S695" s="2"/>
      <c r="T695" s="2">
        <v>6.16</v>
      </c>
      <c r="U695" s="398">
        <v>369.6</v>
      </c>
      <c r="V695" s="7">
        <v>360</v>
      </c>
      <c r="W695" s="7" t="s">
        <v>660</v>
      </c>
    </row>
    <row r="696" spans="1:23" x14ac:dyDescent="0.35">
      <c r="A696" s="2">
        <v>95</v>
      </c>
      <c r="B696" s="109" t="s">
        <v>40</v>
      </c>
      <c r="C696" s="110" t="s">
        <v>41</v>
      </c>
      <c r="D696" s="2">
        <v>60</v>
      </c>
      <c r="E696" s="51">
        <v>6</v>
      </c>
      <c r="F696" s="105"/>
      <c r="H696" s="2"/>
      <c r="I696" s="2">
        <v>5</v>
      </c>
      <c r="J696" s="2">
        <v>0</v>
      </c>
      <c r="K696" s="2">
        <v>0</v>
      </c>
      <c r="L696" s="2">
        <v>30.85</v>
      </c>
      <c r="M696" s="2">
        <v>33.849999999999994</v>
      </c>
      <c r="N696" s="244">
        <v>0.19491</v>
      </c>
      <c r="O696" s="2" t="s">
        <v>18</v>
      </c>
      <c r="P696" s="2">
        <v>50</v>
      </c>
      <c r="Q696" s="2">
        <v>0</v>
      </c>
      <c r="R696" s="2" t="s">
        <v>40</v>
      </c>
      <c r="S696" s="2"/>
      <c r="T696" s="2">
        <v>6.16</v>
      </c>
      <c r="U696" s="398">
        <v>369.6</v>
      </c>
      <c r="V696" s="7">
        <v>360</v>
      </c>
      <c r="W696" s="7" t="s">
        <v>660</v>
      </c>
    </row>
    <row r="697" spans="1:23" x14ac:dyDescent="0.35">
      <c r="A697" s="2">
        <v>95</v>
      </c>
      <c r="B697" s="109" t="s">
        <v>42</v>
      </c>
      <c r="C697" s="110" t="s">
        <v>43</v>
      </c>
      <c r="D697" s="2">
        <v>60</v>
      </c>
      <c r="E697" s="51">
        <v>6</v>
      </c>
      <c r="F697" s="105"/>
      <c r="H697" s="2"/>
      <c r="I697" s="2">
        <v>5</v>
      </c>
      <c r="J697" s="2">
        <v>0</v>
      </c>
      <c r="K697" s="2">
        <v>0</v>
      </c>
      <c r="L697" s="2">
        <v>30.85</v>
      </c>
      <c r="M697" s="2">
        <v>33.849999999999994</v>
      </c>
      <c r="N697" s="244">
        <v>0.19491</v>
      </c>
      <c r="O697" s="2" t="s">
        <v>18</v>
      </c>
      <c r="P697" s="2">
        <v>50</v>
      </c>
      <c r="Q697" s="2">
        <v>0</v>
      </c>
      <c r="R697" s="2" t="s">
        <v>42</v>
      </c>
      <c r="S697" s="2"/>
      <c r="T697" s="2">
        <v>6.16</v>
      </c>
      <c r="U697" s="398">
        <v>369.6</v>
      </c>
      <c r="V697" s="7">
        <v>360</v>
      </c>
      <c r="W697" s="7" t="s">
        <v>660</v>
      </c>
    </row>
    <row r="698" spans="1:23" x14ac:dyDescent="0.35">
      <c r="A698" s="2">
        <v>95</v>
      </c>
      <c r="B698" s="109" t="s">
        <v>44</v>
      </c>
      <c r="C698" s="110" t="s">
        <v>45</v>
      </c>
      <c r="D698" s="2">
        <v>60</v>
      </c>
      <c r="E698" s="51">
        <v>6</v>
      </c>
      <c r="F698" s="105"/>
      <c r="H698" s="2"/>
      <c r="I698" s="2">
        <v>5</v>
      </c>
      <c r="J698" s="2">
        <v>0</v>
      </c>
      <c r="K698" s="2">
        <v>0</v>
      </c>
      <c r="L698" s="2">
        <v>30.85</v>
      </c>
      <c r="M698" s="2">
        <v>33.849999999999994</v>
      </c>
      <c r="N698" s="244">
        <v>0.19491</v>
      </c>
      <c r="O698" s="2" t="s">
        <v>18</v>
      </c>
      <c r="P698" s="2">
        <v>50</v>
      </c>
      <c r="Q698" s="2">
        <v>0</v>
      </c>
      <c r="R698" s="2" t="s">
        <v>44</v>
      </c>
      <c r="S698" s="2"/>
      <c r="T698" s="2">
        <v>6.16</v>
      </c>
      <c r="U698" s="398">
        <v>369.6</v>
      </c>
      <c r="V698" s="7">
        <v>360</v>
      </c>
      <c r="W698" s="7" t="s">
        <v>660</v>
      </c>
    </row>
    <row r="699" spans="1:23" x14ac:dyDescent="0.35">
      <c r="A699" s="2">
        <v>95</v>
      </c>
      <c r="B699" s="109" t="s">
        <v>46</v>
      </c>
      <c r="C699" s="110" t="s">
        <v>47</v>
      </c>
      <c r="D699" s="2">
        <v>72</v>
      </c>
      <c r="E699" s="51">
        <v>6</v>
      </c>
      <c r="F699" s="105"/>
      <c r="H699" s="2"/>
      <c r="I699" s="2">
        <v>6</v>
      </c>
      <c r="J699" s="2">
        <v>0</v>
      </c>
      <c r="K699" s="2">
        <v>0</v>
      </c>
      <c r="L699" s="2">
        <v>34.200000000000003</v>
      </c>
      <c r="M699" s="2">
        <v>37.799999999999997</v>
      </c>
      <c r="N699" s="244">
        <v>0.23389199999999999</v>
      </c>
      <c r="O699" s="2" t="s">
        <v>18</v>
      </c>
      <c r="P699" s="2">
        <v>50</v>
      </c>
      <c r="Q699" s="2">
        <v>0</v>
      </c>
      <c r="R699" s="2" t="s">
        <v>46</v>
      </c>
      <c r="S699" s="2"/>
      <c r="T699" s="2">
        <v>6.16</v>
      </c>
      <c r="U699" s="398">
        <v>443.52</v>
      </c>
      <c r="V699" s="7">
        <v>432</v>
      </c>
      <c r="W699" s="7" t="s">
        <v>660</v>
      </c>
    </row>
    <row r="700" spans="1:23" x14ac:dyDescent="0.35">
      <c r="A700" s="2">
        <v>95</v>
      </c>
      <c r="B700" s="109" t="s">
        <v>48</v>
      </c>
      <c r="C700" s="110" t="s">
        <v>49</v>
      </c>
      <c r="D700" s="2">
        <v>72</v>
      </c>
      <c r="E700" s="51">
        <v>6</v>
      </c>
      <c r="F700" s="105"/>
      <c r="H700" s="2"/>
      <c r="I700" s="2">
        <v>6</v>
      </c>
      <c r="J700" s="2">
        <v>0</v>
      </c>
      <c r="K700" s="2">
        <v>0</v>
      </c>
      <c r="L700" s="2">
        <v>34.200000000000003</v>
      </c>
      <c r="M700" s="2">
        <v>37.799999999999997</v>
      </c>
      <c r="N700" s="244">
        <v>0.23389199999999999</v>
      </c>
      <c r="O700" s="2" t="s">
        <v>18</v>
      </c>
      <c r="P700" s="2">
        <v>50</v>
      </c>
      <c r="Q700" s="2">
        <v>0</v>
      </c>
      <c r="R700" s="2" t="s">
        <v>48</v>
      </c>
      <c r="S700" s="2"/>
      <c r="T700" s="2">
        <v>6.16</v>
      </c>
      <c r="U700" s="398">
        <v>443.52</v>
      </c>
      <c r="V700" s="7">
        <v>432</v>
      </c>
      <c r="W700" s="7" t="s">
        <v>660</v>
      </c>
    </row>
    <row r="701" spans="1:23" x14ac:dyDescent="0.35">
      <c r="A701" s="2">
        <v>95</v>
      </c>
      <c r="B701" s="109" t="s">
        <v>50</v>
      </c>
      <c r="C701" s="110" t="s">
        <v>51</v>
      </c>
      <c r="D701" s="2">
        <v>72</v>
      </c>
      <c r="E701" s="51">
        <v>6</v>
      </c>
      <c r="F701" s="105"/>
      <c r="H701" s="2"/>
      <c r="I701" s="2">
        <v>6</v>
      </c>
      <c r="J701" s="2">
        <v>0</v>
      </c>
      <c r="K701" s="2">
        <v>0</v>
      </c>
      <c r="L701" s="2">
        <v>34.200000000000003</v>
      </c>
      <c r="M701" s="2">
        <v>37.799999999999997</v>
      </c>
      <c r="N701" s="244">
        <v>0.23389199999999999</v>
      </c>
      <c r="O701" s="2" t="s">
        <v>18</v>
      </c>
      <c r="P701" s="2">
        <v>50</v>
      </c>
      <c r="Q701" s="2">
        <v>0</v>
      </c>
      <c r="R701" s="2" t="s">
        <v>50</v>
      </c>
      <c r="S701" s="2"/>
      <c r="T701" s="2">
        <v>6.16</v>
      </c>
      <c r="U701" s="398">
        <v>443.52</v>
      </c>
      <c r="V701" s="7">
        <v>432</v>
      </c>
      <c r="W701" s="7" t="s">
        <v>660</v>
      </c>
    </row>
    <row r="702" spans="1:23" x14ac:dyDescent="0.35">
      <c r="A702" s="2">
        <v>95</v>
      </c>
      <c r="B702" s="109" t="s">
        <v>52</v>
      </c>
      <c r="C702" s="110" t="s">
        <v>53</v>
      </c>
      <c r="D702" s="2">
        <v>72</v>
      </c>
      <c r="E702" s="51">
        <v>6</v>
      </c>
      <c r="F702" s="105"/>
      <c r="H702" s="2"/>
      <c r="I702" s="2">
        <v>6</v>
      </c>
      <c r="J702" s="2">
        <v>0</v>
      </c>
      <c r="K702" s="2">
        <v>0</v>
      </c>
      <c r="L702" s="2">
        <v>34.200000000000003</v>
      </c>
      <c r="M702" s="2">
        <v>37.799999999999997</v>
      </c>
      <c r="N702" s="244">
        <v>0.23389199999999999</v>
      </c>
      <c r="O702" s="2" t="s">
        <v>18</v>
      </c>
      <c r="P702" s="2">
        <v>50</v>
      </c>
      <c r="Q702" s="2">
        <v>0</v>
      </c>
      <c r="R702" s="2" t="s">
        <v>52</v>
      </c>
      <c r="S702" s="2"/>
      <c r="T702" s="2">
        <v>6.16</v>
      </c>
      <c r="U702" s="398">
        <v>443.52</v>
      </c>
      <c r="V702" s="7">
        <v>432</v>
      </c>
      <c r="W702" s="7" t="s">
        <v>660</v>
      </c>
    </row>
    <row r="703" spans="1:23" x14ac:dyDescent="0.35">
      <c r="A703" s="2">
        <v>95</v>
      </c>
      <c r="B703" s="109" t="s">
        <v>188</v>
      </c>
      <c r="C703" s="110" t="s">
        <v>189</v>
      </c>
      <c r="D703" s="2">
        <v>8</v>
      </c>
      <c r="E703" s="51">
        <v>3</v>
      </c>
      <c r="F703" s="105"/>
      <c r="H703" s="2"/>
      <c r="I703" s="2" t="s">
        <v>861</v>
      </c>
      <c r="J703" s="2" t="s">
        <v>861</v>
      </c>
      <c r="K703" s="2" t="s">
        <v>861</v>
      </c>
      <c r="L703" s="2" t="s">
        <v>861</v>
      </c>
      <c r="M703" s="2" t="s">
        <v>861</v>
      </c>
      <c r="N703" s="244" t="s">
        <v>861</v>
      </c>
      <c r="O703" s="2" t="s">
        <v>18</v>
      </c>
      <c r="P703" s="2">
        <v>0</v>
      </c>
      <c r="Q703" s="2" t="s">
        <v>151</v>
      </c>
      <c r="R703" s="2" t="s">
        <v>188</v>
      </c>
      <c r="S703" s="2"/>
      <c r="T703" s="2">
        <v>0</v>
      </c>
      <c r="U703" s="398">
        <v>0</v>
      </c>
      <c r="V703" s="7">
        <v>24</v>
      </c>
      <c r="W703" s="7" t="s">
        <v>660</v>
      </c>
    </row>
    <row r="704" spans="1:23" x14ac:dyDescent="0.35">
      <c r="A704" s="2">
        <v>95</v>
      </c>
      <c r="B704" s="109" t="s">
        <v>190</v>
      </c>
      <c r="C704" s="110" t="s">
        <v>191</v>
      </c>
      <c r="D704" s="2">
        <v>8</v>
      </c>
      <c r="E704" s="51">
        <v>3</v>
      </c>
      <c r="F704" s="105"/>
      <c r="H704" s="2"/>
      <c r="I704" s="2" t="s">
        <v>861</v>
      </c>
      <c r="J704" s="2" t="s">
        <v>861</v>
      </c>
      <c r="K704" s="2" t="s">
        <v>861</v>
      </c>
      <c r="L704" s="2" t="s">
        <v>861</v>
      </c>
      <c r="M704" s="2" t="s">
        <v>861</v>
      </c>
      <c r="N704" s="244" t="s">
        <v>861</v>
      </c>
      <c r="O704" s="2" t="s">
        <v>18</v>
      </c>
      <c r="P704" s="2">
        <v>0</v>
      </c>
      <c r="Q704" s="2" t="s">
        <v>151</v>
      </c>
      <c r="R704" s="2" t="s">
        <v>190</v>
      </c>
      <c r="S704" s="2"/>
      <c r="T704" s="2">
        <v>0</v>
      </c>
      <c r="U704" s="398">
        <v>0</v>
      </c>
      <c r="V704" s="7">
        <v>24</v>
      </c>
      <c r="W704" s="7" t="s">
        <v>660</v>
      </c>
    </row>
    <row r="705" spans="1:23" x14ac:dyDescent="0.35">
      <c r="A705" s="2">
        <v>95</v>
      </c>
      <c r="B705" s="109" t="s">
        <v>192</v>
      </c>
      <c r="C705" s="110" t="s">
        <v>193</v>
      </c>
      <c r="D705" s="2">
        <v>8</v>
      </c>
      <c r="E705" s="51">
        <v>3</v>
      </c>
      <c r="F705" s="105"/>
      <c r="H705" s="2"/>
      <c r="I705" s="2" t="s">
        <v>861</v>
      </c>
      <c r="J705" s="2" t="s">
        <v>861</v>
      </c>
      <c r="K705" s="2" t="s">
        <v>861</v>
      </c>
      <c r="L705" s="2" t="s">
        <v>861</v>
      </c>
      <c r="M705" s="2" t="s">
        <v>861</v>
      </c>
      <c r="N705" s="244" t="s">
        <v>861</v>
      </c>
      <c r="O705" s="2" t="s">
        <v>18</v>
      </c>
      <c r="P705" s="2">
        <v>0</v>
      </c>
      <c r="Q705" s="2" t="s">
        <v>151</v>
      </c>
      <c r="R705" s="2" t="s">
        <v>192</v>
      </c>
      <c r="S705" s="2"/>
      <c r="T705" s="2">
        <v>0</v>
      </c>
      <c r="U705" s="398">
        <v>0</v>
      </c>
      <c r="V705" s="7">
        <v>24</v>
      </c>
      <c r="W705" s="7" t="s">
        <v>660</v>
      </c>
    </row>
    <row r="706" spans="1:23" x14ac:dyDescent="0.35">
      <c r="A706" s="2">
        <v>95</v>
      </c>
      <c r="B706" s="109" t="s">
        <v>194</v>
      </c>
      <c r="C706" s="110" t="s">
        <v>195</v>
      </c>
      <c r="D706" s="2">
        <v>8</v>
      </c>
      <c r="E706" s="51">
        <v>3</v>
      </c>
      <c r="F706" s="105"/>
      <c r="H706" s="2"/>
      <c r="I706" s="2" t="s">
        <v>861</v>
      </c>
      <c r="J706" s="2" t="s">
        <v>861</v>
      </c>
      <c r="K706" s="2" t="s">
        <v>861</v>
      </c>
      <c r="L706" s="2" t="s">
        <v>861</v>
      </c>
      <c r="M706" s="2" t="s">
        <v>861</v>
      </c>
      <c r="N706" s="244" t="s">
        <v>861</v>
      </c>
      <c r="O706" s="2" t="s">
        <v>18</v>
      </c>
      <c r="P706" s="2">
        <v>0</v>
      </c>
      <c r="Q706" s="2" t="s">
        <v>151</v>
      </c>
      <c r="R706" s="2" t="s">
        <v>194</v>
      </c>
      <c r="S706" s="2"/>
      <c r="T706" s="2">
        <v>0</v>
      </c>
      <c r="U706" s="398">
        <v>0</v>
      </c>
      <c r="V706" s="7">
        <v>24</v>
      </c>
      <c r="W706" s="7" t="s">
        <v>660</v>
      </c>
    </row>
    <row r="707" spans="1:23" x14ac:dyDescent="0.35">
      <c r="A707" s="2">
        <v>95</v>
      </c>
      <c r="B707" s="109" t="s">
        <v>196</v>
      </c>
      <c r="C707" s="110" t="s">
        <v>197</v>
      </c>
      <c r="D707" s="2">
        <v>8</v>
      </c>
      <c r="E707" s="51">
        <v>3</v>
      </c>
      <c r="F707" s="105"/>
      <c r="H707" s="2"/>
      <c r="I707" s="2" t="s">
        <v>861</v>
      </c>
      <c r="J707" s="2" t="s">
        <v>861</v>
      </c>
      <c r="K707" s="2" t="s">
        <v>861</v>
      </c>
      <c r="L707" s="2" t="s">
        <v>861</v>
      </c>
      <c r="M707" s="2" t="s">
        <v>861</v>
      </c>
      <c r="N707" s="244" t="s">
        <v>861</v>
      </c>
      <c r="O707" s="2" t="s">
        <v>18</v>
      </c>
      <c r="P707" s="2">
        <v>0</v>
      </c>
      <c r="Q707" s="2" t="s">
        <v>151</v>
      </c>
      <c r="R707" s="2" t="s">
        <v>196</v>
      </c>
      <c r="S707" s="2"/>
      <c r="T707" s="2">
        <v>0</v>
      </c>
      <c r="U707" s="398">
        <v>0</v>
      </c>
      <c r="V707" s="7">
        <v>24</v>
      </c>
      <c r="W707" s="7" t="s">
        <v>660</v>
      </c>
    </row>
    <row r="708" spans="1:23" x14ac:dyDescent="0.35">
      <c r="A708" s="2">
        <v>95</v>
      </c>
      <c r="B708" s="109" t="s">
        <v>198</v>
      </c>
      <c r="C708" s="110" t="s">
        <v>199</v>
      </c>
      <c r="D708" s="2">
        <v>8</v>
      </c>
      <c r="E708" s="51">
        <v>3</v>
      </c>
      <c r="F708" s="105"/>
      <c r="H708" s="2"/>
      <c r="I708" s="2" t="s">
        <v>861</v>
      </c>
      <c r="J708" s="2" t="s">
        <v>861</v>
      </c>
      <c r="K708" s="2" t="s">
        <v>861</v>
      </c>
      <c r="L708" s="2" t="s">
        <v>861</v>
      </c>
      <c r="M708" s="2" t="s">
        <v>861</v>
      </c>
      <c r="N708" s="244" t="s">
        <v>861</v>
      </c>
      <c r="O708" s="2" t="s">
        <v>18</v>
      </c>
      <c r="P708" s="2">
        <v>0</v>
      </c>
      <c r="Q708" s="2" t="s">
        <v>151</v>
      </c>
      <c r="R708" s="2" t="s">
        <v>198</v>
      </c>
      <c r="S708" s="2"/>
      <c r="T708" s="2">
        <v>0</v>
      </c>
      <c r="U708" s="398">
        <v>0</v>
      </c>
      <c r="V708" s="7">
        <v>24</v>
      </c>
      <c r="W708" s="7" t="s">
        <v>660</v>
      </c>
    </row>
    <row r="709" spans="1:23" x14ac:dyDescent="0.35">
      <c r="A709" s="2">
        <v>95</v>
      </c>
      <c r="B709" s="109" t="s">
        <v>200</v>
      </c>
      <c r="C709" s="110" t="s">
        <v>201</v>
      </c>
      <c r="D709" s="2">
        <v>16</v>
      </c>
      <c r="E709" s="51">
        <v>3</v>
      </c>
      <c r="F709" s="105"/>
      <c r="H709" s="2"/>
      <c r="I709" s="2" t="s">
        <v>861</v>
      </c>
      <c r="J709" s="2" t="s">
        <v>861</v>
      </c>
      <c r="K709" s="2" t="s">
        <v>861</v>
      </c>
      <c r="L709" s="2" t="s">
        <v>861</v>
      </c>
      <c r="M709" s="2" t="s">
        <v>861</v>
      </c>
      <c r="N709" s="244" t="s">
        <v>861</v>
      </c>
      <c r="O709" s="2" t="s">
        <v>18</v>
      </c>
      <c r="P709" s="2">
        <v>0</v>
      </c>
      <c r="Q709" s="2" t="s">
        <v>151</v>
      </c>
      <c r="R709" s="2" t="s">
        <v>200</v>
      </c>
      <c r="S709" s="2"/>
      <c r="T709" s="2">
        <v>0</v>
      </c>
      <c r="U709" s="398">
        <v>0</v>
      </c>
      <c r="V709" s="7">
        <v>48</v>
      </c>
      <c r="W709" s="7" t="s">
        <v>660</v>
      </c>
    </row>
    <row r="710" spans="1:23" x14ac:dyDescent="0.35">
      <c r="A710" s="2">
        <v>95</v>
      </c>
      <c r="B710" s="109" t="s">
        <v>202</v>
      </c>
      <c r="C710" s="110" t="s">
        <v>203</v>
      </c>
      <c r="D710" s="2">
        <v>16</v>
      </c>
      <c r="E710" s="51">
        <v>3</v>
      </c>
      <c r="F710" s="105"/>
      <c r="H710" s="2"/>
      <c r="I710" s="2" t="s">
        <v>861</v>
      </c>
      <c r="J710" s="2" t="s">
        <v>861</v>
      </c>
      <c r="K710" s="2" t="s">
        <v>861</v>
      </c>
      <c r="L710" s="2" t="s">
        <v>861</v>
      </c>
      <c r="M710" s="2" t="s">
        <v>861</v>
      </c>
      <c r="N710" s="244" t="s">
        <v>861</v>
      </c>
      <c r="O710" s="2" t="s">
        <v>18</v>
      </c>
      <c r="P710" s="2">
        <v>0</v>
      </c>
      <c r="Q710" s="2" t="s">
        <v>151</v>
      </c>
      <c r="R710" s="2" t="s">
        <v>202</v>
      </c>
      <c r="S710" s="2"/>
      <c r="T710" s="2">
        <v>0</v>
      </c>
      <c r="U710" s="398">
        <v>0</v>
      </c>
      <c r="V710" s="7">
        <v>48</v>
      </c>
      <c r="W710" s="7" t="s">
        <v>660</v>
      </c>
    </row>
    <row r="711" spans="1:23" x14ac:dyDescent="0.35">
      <c r="A711" s="2">
        <v>95</v>
      </c>
      <c r="B711" s="109" t="s">
        <v>204</v>
      </c>
      <c r="C711" s="110" t="s">
        <v>205</v>
      </c>
      <c r="D711" s="2">
        <v>16</v>
      </c>
      <c r="E711" s="51">
        <v>3</v>
      </c>
      <c r="F711" s="105"/>
      <c r="H711" s="2"/>
      <c r="I711" s="2" t="s">
        <v>861</v>
      </c>
      <c r="J711" s="2" t="s">
        <v>861</v>
      </c>
      <c r="K711" s="2" t="s">
        <v>861</v>
      </c>
      <c r="L711" s="2" t="s">
        <v>861</v>
      </c>
      <c r="M711" s="2" t="s">
        <v>861</v>
      </c>
      <c r="N711" s="244" t="s">
        <v>861</v>
      </c>
      <c r="O711" s="2" t="s">
        <v>18</v>
      </c>
      <c r="P711" s="2">
        <v>0</v>
      </c>
      <c r="Q711" s="2" t="s">
        <v>151</v>
      </c>
      <c r="R711" s="2" t="s">
        <v>204</v>
      </c>
      <c r="S711" s="2"/>
      <c r="T711" s="2">
        <v>0</v>
      </c>
      <c r="U711" s="398">
        <v>0</v>
      </c>
      <c r="V711" s="7">
        <v>48</v>
      </c>
      <c r="W711" s="7" t="s">
        <v>660</v>
      </c>
    </row>
    <row r="712" spans="1:23" x14ac:dyDescent="0.35">
      <c r="A712" s="2">
        <v>95</v>
      </c>
      <c r="B712" s="109" t="s">
        <v>91</v>
      </c>
      <c r="C712" s="110" t="s">
        <v>92</v>
      </c>
      <c r="D712" s="2">
        <v>48</v>
      </c>
      <c r="E712" s="51">
        <v>5.2</v>
      </c>
      <c r="F712" s="105"/>
      <c r="H712" s="2"/>
      <c r="I712" s="2">
        <v>2</v>
      </c>
      <c r="J712" s="2">
        <v>0</v>
      </c>
      <c r="K712" s="2">
        <v>0</v>
      </c>
      <c r="L712" s="2">
        <v>15.04</v>
      </c>
      <c r="M712" s="2">
        <v>16.46</v>
      </c>
      <c r="N712" s="244">
        <v>4.4892000000000001E-2</v>
      </c>
      <c r="O712" s="2" t="s">
        <v>934</v>
      </c>
      <c r="P712" s="2">
        <v>100</v>
      </c>
      <c r="Q712" s="2" t="s">
        <v>55</v>
      </c>
      <c r="R712" s="2" t="s">
        <v>91</v>
      </c>
      <c r="S712" s="2"/>
      <c r="T712" s="2">
        <v>5</v>
      </c>
      <c r="U712" s="398">
        <v>240</v>
      </c>
      <c r="V712" s="7">
        <v>249.60000000000002</v>
      </c>
      <c r="W712" s="7" t="s">
        <v>660</v>
      </c>
    </row>
    <row r="713" spans="1:23" x14ac:dyDescent="0.35">
      <c r="A713" s="2">
        <v>95</v>
      </c>
      <c r="B713" s="109" t="s">
        <v>93</v>
      </c>
      <c r="C713" s="110" t="s">
        <v>94</v>
      </c>
      <c r="D713" s="2">
        <v>48</v>
      </c>
      <c r="E713" s="51">
        <v>5.2</v>
      </c>
      <c r="F713" s="105"/>
      <c r="H713" s="2"/>
      <c r="I713" s="2">
        <v>2</v>
      </c>
      <c r="J713" s="2">
        <v>0</v>
      </c>
      <c r="K713" s="2">
        <v>0</v>
      </c>
      <c r="L713" s="2">
        <v>15.04</v>
      </c>
      <c r="M713" s="2">
        <v>16.46</v>
      </c>
      <c r="N713" s="244">
        <v>4.4892000000000001E-2</v>
      </c>
      <c r="O713" s="2" t="s">
        <v>934</v>
      </c>
      <c r="P713" s="2">
        <v>100</v>
      </c>
      <c r="Q713" s="2" t="s">
        <v>55</v>
      </c>
      <c r="R713" s="2" t="s">
        <v>93</v>
      </c>
      <c r="S713" s="2"/>
      <c r="T713" s="2">
        <v>5</v>
      </c>
      <c r="U713" s="398">
        <v>240</v>
      </c>
      <c r="V713" s="7">
        <v>249.60000000000002</v>
      </c>
      <c r="W713" s="7" t="s">
        <v>660</v>
      </c>
    </row>
    <row r="714" spans="1:23" x14ac:dyDescent="0.35">
      <c r="A714" s="2">
        <v>95</v>
      </c>
      <c r="B714" s="109" t="s">
        <v>95</v>
      </c>
      <c r="C714" s="110" t="s">
        <v>96</v>
      </c>
      <c r="D714" s="2">
        <v>48</v>
      </c>
      <c r="E714" s="51">
        <v>5.2</v>
      </c>
      <c r="F714" s="105"/>
      <c r="H714" s="2"/>
      <c r="I714" s="2">
        <v>2</v>
      </c>
      <c r="J714" s="2">
        <v>0</v>
      </c>
      <c r="K714" s="2">
        <v>0</v>
      </c>
      <c r="L714" s="2">
        <v>15.04</v>
      </c>
      <c r="M714" s="2">
        <v>16.46</v>
      </c>
      <c r="N714" s="244">
        <v>4.4892000000000001E-2</v>
      </c>
      <c r="O714" s="2" t="s">
        <v>934</v>
      </c>
      <c r="P714" s="2">
        <v>100</v>
      </c>
      <c r="Q714" s="2" t="s">
        <v>55</v>
      </c>
      <c r="R714" s="2" t="s">
        <v>95</v>
      </c>
      <c r="S714" s="2"/>
      <c r="T714" s="2">
        <v>5</v>
      </c>
      <c r="U714" s="398">
        <v>240</v>
      </c>
      <c r="V714" s="7">
        <v>249.60000000000002</v>
      </c>
      <c r="W714" s="7" t="s">
        <v>660</v>
      </c>
    </row>
    <row r="715" spans="1:23" x14ac:dyDescent="0.35">
      <c r="A715" s="2">
        <v>95</v>
      </c>
      <c r="B715" s="109" t="s">
        <v>97</v>
      </c>
      <c r="C715" s="110" t="s">
        <v>98</v>
      </c>
      <c r="D715" s="2">
        <v>48</v>
      </c>
      <c r="E715" s="51">
        <v>5.2</v>
      </c>
      <c r="F715" s="105"/>
      <c r="H715" s="2"/>
      <c r="I715" s="2">
        <v>2</v>
      </c>
      <c r="J715" s="2">
        <v>0</v>
      </c>
      <c r="K715" s="2">
        <v>0</v>
      </c>
      <c r="L715" s="2">
        <v>15.04</v>
      </c>
      <c r="M715" s="2">
        <v>16.46</v>
      </c>
      <c r="N715" s="244">
        <v>4.4892000000000001E-2</v>
      </c>
      <c r="O715" s="2" t="s">
        <v>934</v>
      </c>
      <c r="P715" s="2">
        <v>100</v>
      </c>
      <c r="Q715" s="2" t="s">
        <v>55</v>
      </c>
      <c r="R715" s="2" t="s">
        <v>97</v>
      </c>
      <c r="S715" s="2"/>
      <c r="T715" s="2">
        <v>5</v>
      </c>
      <c r="U715" s="398">
        <v>240</v>
      </c>
      <c r="V715" s="7">
        <v>249.60000000000002</v>
      </c>
      <c r="W715" s="7" t="s">
        <v>660</v>
      </c>
    </row>
    <row r="716" spans="1:23" x14ac:dyDescent="0.35">
      <c r="A716" s="2">
        <v>95</v>
      </c>
      <c r="B716" s="109" t="s">
        <v>99</v>
      </c>
      <c r="C716" s="110" t="s">
        <v>100</v>
      </c>
      <c r="D716" s="2">
        <v>48</v>
      </c>
      <c r="E716" s="51">
        <v>5.2</v>
      </c>
      <c r="F716" s="105"/>
      <c r="H716" s="2"/>
      <c r="I716" s="2">
        <v>2</v>
      </c>
      <c r="J716" s="2">
        <v>0</v>
      </c>
      <c r="K716" s="2">
        <v>0</v>
      </c>
      <c r="L716" s="2">
        <v>13.74</v>
      </c>
      <c r="M716" s="2">
        <v>15.12</v>
      </c>
      <c r="N716" s="244">
        <v>5.0310000000000001E-2</v>
      </c>
      <c r="O716" s="2" t="s">
        <v>934</v>
      </c>
      <c r="P716" s="2">
        <v>100</v>
      </c>
      <c r="Q716" s="2" t="s">
        <v>55</v>
      </c>
      <c r="R716" s="2" t="s">
        <v>99</v>
      </c>
      <c r="S716" s="2"/>
      <c r="T716" s="2">
        <v>5</v>
      </c>
      <c r="U716" s="398">
        <v>240</v>
      </c>
      <c r="V716" s="7">
        <v>249.60000000000002</v>
      </c>
      <c r="W716" s="7" t="s">
        <v>660</v>
      </c>
    </row>
    <row r="717" spans="1:23" x14ac:dyDescent="0.35">
      <c r="A717" s="2">
        <v>95</v>
      </c>
      <c r="B717" s="109" t="s">
        <v>101</v>
      </c>
      <c r="C717" s="110" t="s">
        <v>102</v>
      </c>
      <c r="D717" s="2">
        <v>48</v>
      </c>
      <c r="E717" s="51">
        <v>5.2</v>
      </c>
      <c r="F717" s="105"/>
      <c r="H717" s="2"/>
      <c r="I717" s="2">
        <v>2</v>
      </c>
      <c r="J717" s="2">
        <v>0</v>
      </c>
      <c r="K717" s="2">
        <v>0</v>
      </c>
      <c r="L717" s="2">
        <v>13.74</v>
      </c>
      <c r="M717" s="2">
        <v>15.12</v>
      </c>
      <c r="N717" s="244">
        <v>5.0310000000000001E-2</v>
      </c>
      <c r="O717" s="2" t="s">
        <v>934</v>
      </c>
      <c r="P717" s="2">
        <v>100</v>
      </c>
      <c r="Q717" s="2" t="s">
        <v>55</v>
      </c>
      <c r="R717" s="2" t="s">
        <v>101</v>
      </c>
      <c r="S717" s="2"/>
      <c r="T717" s="2">
        <v>5</v>
      </c>
      <c r="U717" s="398">
        <v>240</v>
      </c>
      <c r="V717" s="7">
        <v>249.60000000000002</v>
      </c>
      <c r="W717" s="7" t="s">
        <v>660</v>
      </c>
    </row>
    <row r="718" spans="1:23" x14ac:dyDescent="0.35">
      <c r="A718" s="2">
        <v>95</v>
      </c>
      <c r="B718" s="109" t="s">
        <v>103</v>
      </c>
      <c r="C718" s="110" t="s">
        <v>104</v>
      </c>
      <c r="D718" s="2">
        <v>48</v>
      </c>
      <c r="E718" s="51">
        <v>5.2</v>
      </c>
      <c r="F718" s="105"/>
      <c r="H718" s="2"/>
      <c r="I718" s="2">
        <v>2</v>
      </c>
      <c r="J718" s="2">
        <v>0</v>
      </c>
      <c r="K718" s="2">
        <v>0</v>
      </c>
      <c r="L718" s="2">
        <v>13.74</v>
      </c>
      <c r="M718" s="2">
        <v>15.12</v>
      </c>
      <c r="N718" s="244">
        <v>5.0310000000000001E-2</v>
      </c>
      <c r="O718" s="2" t="s">
        <v>934</v>
      </c>
      <c r="P718" s="2">
        <v>100</v>
      </c>
      <c r="Q718" s="2" t="s">
        <v>55</v>
      </c>
      <c r="R718" s="2" t="s">
        <v>103</v>
      </c>
      <c r="S718" s="2"/>
      <c r="T718" s="2">
        <v>5</v>
      </c>
      <c r="U718" s="398">
        <v>240</v>
      </c>
      <c r="V718" s="7">
        <v>249.60000000000002</v>
      </c>
      <c r="W718" s="7" t="s">
        <v>660</v>
      </c>
    </row>
    <row r="719" spans="1:23" x14ac:dyDescent="0.35">
      <c r="A719" s="2">
        <v>95</v>
      </c>
      <c r="B719" s="109" t="s">
        <v>105</v>
      </c>
      <c r="C719" s="110" t="s">
        <v>106</v>
      </c>
      <c r="D719" s="2">
        <v>48</v>
      </c>
      <c r="E719" s="51">
        <v>5.2</v>
      </c>
      <c r="F719" s="105"/>
      <c r="H719" s="2"/>
      <c r="I719" s="2">
        <v>2</v>
      </c>
      <c r="J719" s="2">
        <v>0</v>
      </c>
      <c r="K719" s="2">
        <v>0</v>
      </c>
      <c r="L719" s="2">
        <v>13.74</v>
      </c>
      <c r="M719" s="2">
        <v>15.12</v>
      </c>
      <c r="N719" s="244">
        <v>5.0310000000000001E-2</v>
      </c>
      <c r="O719" s="2" t="s">
        <v>934</v>
      </c>
      <c r="P719" s="2">
        <v>100</v>
      </c>
      <c r="Q719" s="2" t="s">
        <v>55</v>
      </c>
      <c r="R719" s="2" t="s">
        <v>105</v>
      </c>
      <c r="S719" s="2"/>
      <c r="T719" s="2">
        <v>5</v>
      </c>
      <c r="U719" s="398">
        <v>240</v>
      </c>
      <c r="V719" s="7">
        <v>249.60000000000002</v>
      </c>
      <c r="W719" s="7" t="s">
        <v>660</v>
      </c>
    </row>
    <row r="720" spans="1:23" x14ac:dyDescent="0.35">
      <c r="A720" s="2">
        <v>95</v>
      </c>
      <c r="B720" s="109" t="s">
        <v>168</v>
      </c>
      <c r="C720" s="110" t="s">
        <v>171</v>
      </c>
      <c r="D720" s="2">
        <v>100</v>
      </c>
      <c r="E720" s="51">
        <v>2</v>
      </c>
      <c r="F720" s="105"/>
      <c r="H720" s="2"/>
      <c r="I720" s="2">
        <v>5</v>
      </c>
      <c r="J720" s="2">
        <v>0</v>
      </c>
      <c r="K720" s="2">
        <v>0</v>
      </c>
      <c r="L720" s="2">
        <v>26.458333333333332</v>
      </c>
      <c r="M720" s="2">
        <v>29.166666666666668</v>
      </c>
      <c r="N720" s="244">
        <v>6.6412499999999999E-2</v>
      </c>
      <c r="O720" s="2" t="s">
        <v>169</v>
      </c>
      <c r="P720" s="2">
        <v>200</v>
      </c>
      <c r="Q720" s="2" t="s">
        <v>170</v>
      </c>
      <c r="R720" s="2" t="s">
        <v>168</v>
      </c>
      <c r="S720" s="2"/>
      <c r="T720" s="2">
        <v>2.0499999999999998</v>
      </c>
      <c r="U720" s="398">
        <v>204.99999999999997</v>
      </c>
      <c r="V720" s="7">
        <v>200</v>
      </c>
      <c r="W720" s="7" t="s">
        <v>660</v>
      </c>
    </row>
    <row r="721" spans="1:23" x14ac:dyDescent="0.35">
      <c r="A721" s="2">
        <v>95</v>
      </c>
      <c r="B721" s="109" t="s">
        <v>173</v>
      </c>
      <c r="C721" s="110" t="s">
        <v>174</v>
      </c>
      <c r="D721" s="2">
        <v>100</v>
      </c>
      <c r="E721" s="51">
        <v>2</v>
      </c>
      <c r="F721" s="105"/>
      <c r="H721" s="2"/>
      <c r="I721" s="2">
        <v>5</v>
      </c>
      <c r="J721" s="2">
        <v>0</v>
      </c>
      <c r="K721" s="2">
        <v>0</v>
      </c>
      <c r="L721" s="2">
        <v>26.458333333333332</v>
      </c>
      <c r="M721" s="2">
        <v>29.166666666666668</v>
      </c>
      <c r="N721" s="244">
        <v>6.6412499999999999E-2</v>
      </c>
      <c r="O721" s="2" t="s">
        <v>169</v>
      </c>
      <c r="P721" s="2">
        <v>200</v>
      </c>
      <c r="Q721" s="2" t="s">
        <v>170</v>
      </c>
      <c r="R721" s="2" t="s">
        <v>173</v>
      </c>
      <c r="S721" s="2"/>
      <c r="T721" s="2">
        <v>2.0499999999999998</v>
      </c>
      <c r="U721" s="398">
        <v>204.99999999999997</v>
      </c>
      <c r="V721" s="7">
        <v>200</v>
      </c>
      <c r="W721" s="7" t="s">
        <v>660</v>
      </c>
    </row>
    <row r="722" spans="1:23" x14ac:dyDescent="0.35">
      <c r="A722" s="2">
        <v>95</v>
      </c>
      <c r="B722" s="109" t="s">
        <v>175</v>
      </c>
      <c r="C722" s="110" t="s">
        <v>176</v>
      </c>
      <c r="D722" s="2">
        <v>100</v>
      </c>
      <c r="E722" s="51">
        <v>2</v>
      </c>
      <c r="F722" s="105"/>
      <c r="H722" s="2"/>
      <c r="I722" s="2">
        <v>5</v>
      </c>
      <c r="J722" s="2">
        <v>0</v>
      </c>
      <c r="K722" s="2">
        <v>0</v>
      </c>
      <c r="L722" s="2">
        <v>26.458333333333332</v>
      </c>
      <c r="M722" s="2">
        <v>29.166666666666668</v>
      </c>
      <c r="N722" s="244">
        <v>6.6412499999999999E-2</v>
      </c>
      <c r="O722" s="2" t="s">
        <v>169</v>
      </c>
      <c r="P722" s="2">
        <v>200</v>
      </c>
      <c r="Q722" s="2" t="s">
        <v>170</v>
      </c>
      <c r="R722" s="2" t="s">
        <v>175</v>
      </c>
      <c r="S722" s="2"/>
      <c r="T722" s="2">
        <v>2.0499999999999998</v>
      </c>
      <c r="U722" s="398">
        <v>204.99999999999997</v>
      </c>
      <c r="V722" s="7">
        <v>200</v>
      </c>
      <c r="W722" s="7" t="s">
        <v>660</v>
      </c>
    </row>
    <row r="723" spans="1:23" x14ac:dyDescent="0.35">
      <c r="A723" s="2">
        <v>95</v>
      </c>
      <c r="B723" s="109" t="s">
        <v>177</v>
      </c>
      <c r="C723" s="110" t="s">
        <v>178</v>
      </c>
      <c r="D723" s="2">
        <v>100</v>
      </c>
      <c r="E723" s="51">
        <v>2</v>
      </c>
      <c r="F723" s="105"/>
      <c r="H723" s="2"/>
      <c r="I723" s="2">
        <v>5</v>
      </c>
      <c r="J723" s="2">
        <v>0</v>
      </c>
      <c r="K723" s="2">
        <v>0</v>
      </c>
      <c r="L723" s="2">
        <v>26.458333333333332</v>
      </c>
      <c r="M723" s="2">
        <v>29.166666666666668</v>
      </c>
      <c r="N723" s="244">
        <v>6.6412499999999999E-2</v>
      </c>
      <c r="O723" s="2" t="s">
        <v>169</v>
      </c>
      <c r="P723" s="2">
        <v>200</v>
      </c>
      <c r="Q723" s="2" t="s">
        <v>170</v>
      </c>
      <c r="R723" s="2" t="s">
        <v>177</v>
      </c>
      <c r="S723" s="2"/>
      <c r="T723" s="2">
        <v>2.0499999999999998</v>
      </c>
      <c r="U723" s="398">
        <v>204.99999999999997</v>
      </c>
      <c r="V723" s="7">
        <v>200</v>
      </c>
      <c r="W723" s="7" t="s">
        <v>660</v>
      </c>
    </row>
    <row r="724" spans="1:23" x14ac:dyDescent="0.35">
      <c r="A724" s="2">
        <v>96</v>
      </c>
      <c r="B724" s="109" t="s">
        <v>17</v>
      </c>
      <c r="C724" s="110" t="s">
        <v>20</v>
      </c>
      <c r="D724" s="2">
        <v>24</v>
      </c>
      <c r="E724" s="51">
        <v>5.78</v>
      </c>
      <c r="F724" s="105"/>
      <c r="H724" s="2"/>
      <c r="I724" s="2">
        <v>2</v>
      </c>
      <c r="J724" s="2">
        <v>0</v>
      </c>
      <c r="K724" s="2">
        <v>0</v>
      </c>
      <c r="L724" s="2">
        <v>10.08</v>
      </c>
      <c r="M724" s="2">
        <v>11.58</v>
      </c>
      <c r="N724" s="244">
        <v>5.6166000000000001E-2</v>
      </c>
      <c r="O724" s="2" t="s">
        <v>18</v>
      </c>
      <c r="P724" s="2">
        <v>50</v>
      </c>
      <c r="Q724" s="2">
        <v>0</v>
      </c>
      <c r="R724" s="2" t="s">
        <v>17</v>
      </c>
      <c r="S724" s="2"/>
      <c r="T724" s="2">
        <v>5.23</v>
      </c>
      <c r="U724" s="398">
        <v>125.52000000000001</v>
      </c>
      <c r="V724" s="7">
        <v>138.72</v>
      </c>
      <c r="W724" s="7" t="s">
        <v>660</v>
      </c>
    </row>
    <row r="725" spans="1:23" x14ac:dyDescent="0.35">
      <c r="A725" s="2">
        <v>96</v>
      </c>
      <c r="B725" s="109" t="s">
        <v>23</v>
      </c>
      <c r="C725" s="110" t="s">
        <v>24</v>
      </c>
      <c r="D725" s="2">
        <v>24</v>
      </c>
      <c r="E725" s="51">
        <v>5.78</v>
      </c>
      <c r="F725" s="105"/>
      <c r="H725" s="2"/>
      <c r="I725" s="2">
        <v>2</v>
      </c>
      <c r="J725" s="2">
        <v>0</v>
      </c>
      <c r="K725" s="2">
        <v>0</v>
      </c>
      <c r="L725" s="2">
        <v>10.08</v>
      </c>
      <c r="M725" s="2">
        <v>11.58</v>
      </c>
      <c r="N725" s="244">
        <v>5.6166000000000001E-2</v>
      </c>
      <c r="O725" s="2" t="s">
        <v>18</v>
      </c>
      <c r="P725" s="2">
        <v>50</v>
      </c>
      <c r="Q725" s="2">
        <v>0</v>
      </c>
      <c r="R725" s="2" t="s">
        <v>23</v>
      </c>
      <c r="S725" s="2"/>
      <c r="T725" s="2">
        <v>5.23</v>
      </c>
      <c r="U725" s="398">
        <v>125.52000000000001</v>
      </c>
      <c r="V725" s="7">
        <v>138.72</v>
      </c>
      <c r="W725" s="7" t="s">
        <v>660</v>
      </c>
    </row>
    <row r="726" spans="1:23" x14ac:dyDescent="0.35">
      <c r="A726" s="2">
        <v>96</v>
      </c>
      <c r="B726" s="109" t="s">
        <v>25</v>
      </c>
      <c r="C726" s="110" t="s">
        <v>26</v>
      </c>
      <c r="D726" s="2">
        <v>36</v>
      </c>
      <c r="E726" s="51">
        <v>5.78</v>
      </c>
      <c r="F726" s="105"/>
      <c r="H726" s="2"/>
      <c r="I726" s="2">
        <v>3</v>
      </c>
      <c r="J726" s="2">
        <v>0</v>
      </c>
      <c r="K726" s="2">
        <v>0</v>
      </c>
      <c r="L726" s="2">
        <v>15.120000000000001</v>
      </c>
      <c r="M726" s="2">
        <v>17.37</v>
      </c>
      <c r="N726" s="244">
        <v>8.4249000000000004E-2</v>
      </c>
      <c r="O726" s="2" t="s">
        <v>18</v>
      </c>
      <c r="P726" s="2">
        <v>50</v>
      </c>
      <c r="Q726" s="2">
        <v>0</v>
      </c>
      <c r="R726" s="2" t="s">
        <v>25</v>
      </c>
      <c r="S726" s="2"/>
      <c r="T726" s="2">
        <v>5.23</v>
      </c>
      <c r="U726" s="398">
        <v>188.28000000000003</v>
      </c>
      <c r="V726" s="7">
        <v>208.08</v>
      </c>
      <c r="W726" s="7" t="s">
        <v>660</v>
      </c>
    </row>
    <row r="727" spans="1:23" x14ac:dyDescent="0.35">
      <c r="A727" s="2">
        <v>96</v>
      </c>
      <c r="B727" s="109" t="s">
        <v>27</v>
      </c>
      <c r="C727" s="110" t="s">
        <v>28</v>
      </c>
      <c r="D727" s="2">
        <v>36</v>
      </c>
      <c r="E727" s="51">
        <v>5.78</v>
      </c>
      <c r="F727" s="105"/>
      <c r="H727" s="2"/>
      <c r="I727" s="2">
        <v>3</v>
      </c>
      <c r="J727" s="2">
        <v>0</v>
      </c>
      <c r="K727" s="2">
        <v>0</v>
      </c>
      <c r="L727" s="2">
        <v>15.120000000000001</v>
      </c>
      <c r="M727" s="2">
        <v>17.37</v>
      </c>
      <c r="N727" s="244">
        <v>8.4249000000000004E-2</v>
      </c>
      <c r="O727" s="2" t="s">
        <v>18</v>
      </c>
      <c r="P727" s="2">
        <v>50</v>
      </c>
      <c r="Q727" s="2">
        <v>0</v>
      </c>
      <c r="R727" s="2" t="s">
        <v>27</v>
      </c>
      <c r="S727" s="2"/>
      <c r="T727" s="2">
        <v>5.23</v>
      </c>
      <c r="U727" s="398">
        <v>188.28000000000003</v>
      </c>
      <c r="V727" s="7">
        <v>208.08</v>
      </c>
      <c r="W727" s="7" t="s">
        <v>660</v>
      </c>
    </row>
    <row r="728" spans="1:23" x14ac:dyDescent="0.35">
      <c r="A728" s="2">
        <v>96</v>
      </c>
      <c r="B728" s="109" t="s">
        <v>29</v>
      </c>
      <c r="C728" s="110" t="s">
        <v>31</v>
      </c>
      <c r="D728" s="2">
        <v>24</v>
      </c>
      <c r="E728" s="51">
        <v>5.78</v>
      </c>
      <c r="F728" s="105"/>
      <c r="H728" s="2"/>
      <c r="I728" s="2">
        <v>2</v>
      </c>
      <c r="J728" s="2">
        <v>0</v>
      </c>
      <c r="K728" s="2">
        <v>0</v>
      </c>
      <c r="L728" s="2">
        <v>9.56</v>
      </c>
      <c r="M728" s="2">
        <v>10.5</v>
      </c>
      <c r="N728" s="244">
        <v>5.6166000000000001E-2</v>
      </c>
      <c r="O728" s="2" t="s">
        <v>18</v>
      </c>
      <c r="P728" s="2">
        <v>50</v>
      </c>
      <c r="Q728" s="2">
        <v>0</v>
      </c>
      <c r="R728" s="2" t="s">
        <v>29</v>
      </c>
      <c r="S728" s="2"/>
      <c r="T728" s="2">
        <v>5.23</v>
      </c>
      <c r="U728" s="398">
        <v>125.52000000000001</v>
      </c>
      <c r="V728" s="7">
        <v>138.72</v>
      </c>
      <c r="W728" s="7" t="s">
        <v>660</v>
      </c>
    </row>
    <row r="729" spans="1:23" x14ac:dyDescent="0.35">
      <c r="A729" s="2">
        <v>96</v>
      </c>
      <c r="B729" s="109" t="s">
        <v>32</v>
      </c>
      <c r="C729" s="110" t="s">
        <v>33</v>
      </c>
      <c r="D729" s="2">
        <v>24</v>
      </c>
      <c r="E729" s="51">
        <v>5.78</v>
      </c>
      <c r="F729" s="105"/>
      <c r="H729" s="2"/>
      <c r="I729" s="2">
        <v>2</v>
      </c>
      <c r="J729" s="2">
        <v>0</v>
      </c>
      <c r="K729" s="2">
        <v>0</v>
      </c>
      <c r="L729" s="2">
        <v>9.56</v>
      </c>
      <c r="M729" s="2">
        <v>10.5</v>
      </c>
      <c r="N729" s="244">
        <v>5.6166000000000001E-2</v>
      </c>
      <c r="O729" s="2" t="s">
        <v>18</v>
      </c>
      <c r="P729" s="2">
        <v>50</v>
      </c>
      <c r="Q729" s="2">
        <v>0</v>
      </c>
      <c r="R729" s="2" t="s">
        <v>32</v>
      </c>
      <c r="S729" s="2"/>
      <c r="T729" s="2">
        <v>5.23</v>
      </c>
      <c r="U729" s="398">
        <v>125.52000000000001</v>
      </c>
      <c r="V729" s="7">
        <v>138.72</v>
      </c>
      <c r="W729" s="7" t="s">
        <v>660</v>
      </c>
    </row>
    <row r="730" spans="1:23" x14ac:dyDescent="0.35">
      <c r="A730" s="2">
        <v>96</v>
      </c>
      <c r="B730" s="109" t="s">
        <v>36</v>
      </c>
      <c r="C730" s="110" t="s">
        <v>37</v>
      </c>
      <c r="D730" s="2">
        <v>24</v>
      </c>
      <c r="E730" s="51">
        <v>5.78</v>
      </c>
      <c r="F730" s="105"/>
      <c r="H730" s="2"/>
      <c r="I730" s="2">
        <v>2</v>
      </c>
      <c r="J730" s="2">
        <v>0</v>
      </c>
      <c r="K730" s="2">
        <v>0</v>
      </c>
      <c r="L730" s="2">
        <v>9.56</v>
      </c>
      <c r="M730" s="2">
        <v>10.5</v>
      </c>
      <c r="N730" s="244">
        <v>5.6166000000000001E-2</v>
      </c>
      <c r="O730" s="2" t="s">
        <v>18</v>
      </c>
      <c r="P730" s="2">
        <v>50</v>
      </c>
      <c r="Q730" s="2">
        <v>0</v>
      </c>
      <c r="R730" s="2" t="s">
        <v>36</v>
      </c>
      <c r="S730" s="2"/>
      <c r="T730" s="2">
        <v>5.23</v>
      </c>
      <c r="U730" s="398">
        <v>125.52000000000001</v>
      </c>
      <c r="V730" s="7">
        <v>138.72</v>
      </c>
      <c r="W730" s="7" t="s">
        <v>660</v>
      </c>
    </row>
    <row r="731" spans="1:23" x14ac:dyDescent="0.35">
      <c r="A731" s="2">
        <v>96</v>
      </c>
      <c r="B731" s="109" t="s">
        <v>38</v>
      </c>
      <c r="C731" s="110" t="s">
        <v>39</v>
      </c>
      <c r="D731" s="2">
        <v>12</v>
      </c>
      <c r="E731" s="51">
        <v>6.66</v>
      </c>
      <c r="F731" s="105"/>
      <c r="H731" s="2"/>
      <c r="I731" s="2">
        <v>1</v>
      </c>
      <c r="J731" s="2">
        <v>0</v>
      </c>
      <c r="K731" s="2">
        <v>0</v>
      </c>
      <c r="L731" s="2">
        <v>6.17</v>
      </c>
      <c r="M731" s="2">
        <v>6.77</v>
      </c>
      <c r="N731" s="244">
        <v>3.8982000000000003E-2</v>
      </c>
      <c r="O731" s="2" t="s">
        <v>18</v>
      </c>
      <c r="P731" s="2">
        <v>50</v>
      </c>
      <c r="Q731" s="2">
        <v>0</v>
      </c>
      <c r="R731" s="2" t="s">
        <v>38</v>
      </c>
      <c r="S731" s="2"/>
      <c r="T731" s="2">
        <v>6.16</v>
      </c>
      <c r="U731" s="398">
        <v>73.92</v>
      </c>
      <c r="V731" s="7">
        <v>79.92</v>
      </c>
      <c r="W731" s="7" t="s">
        <v>660</v>
      </c>
    </row>
    <row r="732" spans="1:23" x14ac:dyDescent="0.35">
      <c r="A732" s="2">
        <v>96</v>
      </c>
      <c r="B732" s="109" t="s">
        <v>40</v>
      </c>
      <c r="C732" s="110" t="s">
        <v>41</v>
      </c>
      <c r="D732" s="2">
        <v>12</v>
      </c>
      <c r="E732" s="51">
        <v>6.66</v>
      </c>
      <c r="F732" s="105"/>
      <c r="H732" s="2"/>
      <c r="I732" s="2">
        <v>1</v>
      </c>
      <c r="J732" s="2">
        <v>0</v>
      </c>
      <c r="K732" s="2">
        <v>0</v>
      </c>
      <c r="L732" s="2">
        <v>6.17</v>
      </c>
      <c r="M732" s="2">
        <v>6.77</v>
      </c>
      <c r="N732" s="244">
        <v>3.8982000000000003E-2</v>
      </c>
      <c r="O732" s="2" t="s">
        <v>18</v>
      </c>
      <c r="P732" s="2">
        <v>50</v>
      </c>
      <c r="Q732" s="2">
        <v>0</v>
      </c>
      <c r="R732" s="2" t="s">
        <v>40</v>
      </c>
      <c r="S732" s="2"/>
      <c r="T732" s="2">
        <v>6.16</v>
      </c>
      <c r="U732" s="398">
        <v>73.92</v>
      </c>
      <c r="V732" s="7">
        <v>79.92</v>
      </c>
      <c r="W732" s="7" t="s">
        <v>660</v>
      </c>
    </row>
    <row r="733" spans="1:23" x14ac:dyDescent="0.35">
      <c r="A733" s="2">
        <v>96</v>
      </c>
      <c r="B733" s="109" t="s">
        <v>42</v>
      </c>
      <c r="C733" s="110" t="s">
        <v>43</v>
      </c>
      <c r="D733" s="2">
        <v>12</v>
      </c>
      <c r="E733" s="51">
        <v>6.66</v>
      </c>
      <c r="F733" s="105"/>
      <c r="H733" s="2"/>
      <c r="I733" s="2">
        <v>1</v>
      </c>
      <c r="J733" s="2">
        <v>0</v>
      </c>
      <c r="K733" s="2">
        <v>0</v>
      </c>
      <c r="L733" s="2">
        <v>6.17</v>
      </c>
      <c r="M733" s="2">
        <v>6.77</v>
      </c>
      <c r="N733" s="244">
        <v>3.8982000000000003E-2</v>
      </c>
      <c r="O733" s="2" t="s">
        <v>18</v>
      </c>
      <c r="P733" s="2">
        <v>50</v>
      </c>
      <c r="Q733" s="2">
        <v>0</v>
      </c>
      <c r="R733" s="2" t="s">
        <v>42</v>
      </c>
      <c r="S733" s="2"/>
      <c r="T733" s="2">
        <v>6.16</v>
      </c>
      <c r="U733" s="398">
        <v>73.92</v>
      </c>
      <c r="V733" s="7">
        <v>79.92</v>
      </c>
      <c r="W733" s="7" t="s">
        <v>660</v>
      </c>
    </row>
    <row r="734" spans="1:23" x14ac:dyDescent="0.35">
      <c r="A734" s="2">
        <v>96</v>
      </c>
      <c r="B734" s="109" t="s">
        <v>44</v>
      </c>
      <c r="C734" s="110" t="s">
        <v>45</v>
      </c>
      <c r="D734" s="2">
        <v>12</v>
      </c>
      <c r="E734" s="51">
        <v>6.66</v>
      </c>
      <c r="F734" s="105"/>
      <c r="H734" s="2"/>
      <c r="I734" s="2">
        <v>1</v>
      </c>
      <c r="J734" s="2">
        <v>0</v>
      </c>
      <c r="K734" s="2">
        <v>0</v>
      </c>
      <c r="L734" s="2">
        <v>6.17</v>
      </c>
      <c r="M734" s="2">
        <v>6.77</v>
      </c>
      <c r="N734" s="244">
        <v>3.8982000000000003E-2</v>
      </c>
      <c r="O734" s="2" t="s">
        <v>18</v>
      </c>
      <c r="P734" s="2">
        <v>50</v>
      </c>
      <c r="Q734" s="2">
        <v>0</v>
      </c>
      <c r="R734" s="2" t="s">
        <v>44</v>
      </c>
      <c r="S734" s="2"/>
      <c r="T734" s="2">
        <v>6.16</v>
      </c>
      <c r="U734" s="398">
        <v>73.92</v>
      </c>
      <c r="V734" s="7">
        <v>79.92</v>
      </c>
      <c r="W734" s="7" t="s">
        <v>660</v>
      </c>
    </row>
    <row r="735" spans="1:23" x14ac:dyDescent="0.35">
      <c r="A735" s="2">
        <v>96</v>
      </c>
      <c r="B735" s="109" t="s">
        <v>52</v>
      </c>
      <c r="C735" s="110" t="s">
        <v>53</v>
      </c>
      <c r="D735" s="2">
        <v>24</v>
      </c>
      <c r="E735" s="51">
        <v>6.66</v>
      </c>
      <c r="F735" s="105"/>
      <c r="H735" s="2"/>
      <c r="I735" s="2">
        <v>2</v>
      </c>
      <c r="J735" s="2">
        <v>0</v>
      </c>
      <c r="K735" s="2">
        <v>0</v>
      </c>
      <c r="L735" s="2">
        <v>11.4</v>
      </c>
      <c r="M735" s="2">
        <v>12.6</v>
      </c>
      <c r="N735" s="244">
        <v>7.7964000000000006E-2</v>
      </c>
      <c r="O735" s="2" t="s">
        <v>18</v>
      </c>
      <c r="P735" s="2">
        <v>50</v>
      </c>
      <c r="Q735" s="2">
        <v>0</v>
      </c>
      <c r="R735" s="2" t="s">
        <v>52</v>
      </c>
      <c r="S735" s="2"/>
      <c r="T735" s="2">
        <v>6.16</v>
      </c>
      <c r="U735" s="398">
        <v>147.84</v>
      </c>
      <c r="V735" s="7">
        <v>159.84</v>
      </c>
      <c r="W735" s="7" t="s">
        <v>660</v>
      </c>
    </row>
    <row r="736" spans="1:23" x14ac:dyDescent="0.35">
      <c r="A736" s="2">
        <v>96</v>
      </c>
      <c r="B736" s="109" t="s">
        <v>91</v>
      </c>
      <c r="C736" s="110" t="s">
        <v>92</v>
      </c>
      <c r="D736" s="2">
        <v>24</v>
      </c>
      <c r="E736" s="51">
        <v>5.78</v>
      </c>
      <c r="F736" s="105"/>
      <c r="H736" s="2">
        <v>2</v>
      </c>
      <c r="I736" s="2">
        <v>1</v>
      </c>
      <c r="J736" s="2">
        <v>0</v>
      </c>
      <c r="K736" s="2">
        <v>1</v>
      </c>
      <c r="L736" s="2">
        <v>8.1466666666666665</v>
      </c>
      <c r="M736" s="2">
        <v>8.9158333333333335</v>
      </c>
      <c r="N736" s="244">
        <v>2.4316500000000001E-2</v>
      </c>
      <c r="O736" s="2" t="s">
        <v>934</v>
      </c>
      <c r="P736" s="2">
        <v>100</v>
      </c>
      <c r="Q736" s="2" t="s">
        <v>55</v>
      </c>
      <c r="R736" s="2" t="s">
        <v>91</v>
      </c>
      <c r="S736" s="2"/>
      <c r="T736" s="2">
        <v>5</v>
      </c>
      <c r="U736" s="398">
        <v>120</v>
      </c>
      <c r="V736" s="7">
        <v>138.72</v>
      </c>
      <c r="W736" s="7" t="s">
        <v>660</v>
      </c>
    </row>
    <row r="737" spans="1:23" x14ac:dyDescent="0.35">
      <c r="A737" s="2">
        <v>96</v>
      </c>
      <c r="B737" s="109" t="s">
        <v>93</v>
      </c>
      <c r="C737" s="110" t="s">
        <v>94</v>
      </c>
      <c r="D737" s="2">
        <v>24</v>
      </c>
      <c r="E737" s="51">
        <v>5.78</v>
      </c>
      <c r="F737" s="105"/>
      <c r="H737" s="2">
        <v>2</v>
      </c>
      <c r="I737" s="2">
        <v>1</v>
      </c>
      <c r="J737" s="2">
        <v>0</v>
      </c>
      <c r="K737" s="2">
        <v>1</v>
      </c>
      <c r="L737" s="2">
        <v>8.1466666666666665</v>
      </c>
      <c r="M737" s="2">
        <v>8.9158333333333335</v>
      </c>
      <c r="N737" s="244">
        <v>2.4316500000000001E-2</v>
      </c>
      <c r="O737" s="2" t="s">
        <v>934</v>
      </c>
      <c r="P737" s="2">
        <v>100</v>
      </c>
      <c r="Q737" s="2" t="s">
        <v>55</v>
      </c>
      <c r="R737" s="2" t="s">
        <v>93</v>
      </c>
      <c r="S737" s="2"/>
      <c r="T737" s="2">
        <v>5</v>
      </c>
      <c r="U737" s="398">
        <v>120</v>
      </c>
      <c r="V737" s="7">
        <v>138.72</v>
      </c>
      <c r="W737" s="7" t="s">
        <v>660</v>
      </c>
    </row>
    <row r="738" spans="1:23" x14ac:dyDescent="0.35">
      <c r="A738" s="2">
        <v>96</v>
      </c>
      <c r="B738" s="109" t="s">
        <v>95</v>
      </c>
      <c r="C738" s="110" t="s">
        <v>96</v>
      </c>
      <c r="D738" s="2">
        <v>24</v>
      </c>
      <c r="E738" s="51">
        <v>5.78</v>
      </c>
      <c r="F738" s="105"/>
      <c r="H738" s="2">
        <v>2</v>
      </c>
      <c r="I738" s="2">
        <v>1</v>
      </c>
      <c r="J738" s="2">
        <v>0</v>
      </c>
      <c r="K738" s="2">
        <v>1</v>
      </c>
      <c r="L738" s="2">
        <v>8.1466666666666665</v>
      </c>
      <c r="M738" s="2">
        <v>8.9158333333333335</v>
      </c>
      <c r="N738" s="244">
        <v>2.4316500000000001E-2</v>
      </c>
      <c r="O738" s="2" t="s">
        <v>934</v>
      </c>
      <c r="P738" s="2">
        <v>100</v>
      </c>
      <c r="Q738" s="2" t="s">
        <v>55</v>
      </c>
      <c r="R738" s="2" t="s">
        <v>95</v>
      </c>
      <c r="S738" s="2"/>
      <c r="T738" s="2">
        <v>5</v>
      </c>
      <c r="U738" s="398">
        <v>120</v>
      </c>
      <c r="V738" s="7">
        <v>138.72</v>
      </c>
      <c r="W738" s="7" t="s">
        <v>660</v>
      </c>
    </row>
    <row r="739" spans="1:23" x14ac:dyDescent="0.35">
      <c r="A739" s="2">
        <v>96</v>
      </c>
      <c r="B739" s="109" t="s">
        <v>97</v>
      </c>
      <c r="C739" s="110" t="s">
        <v>98</v>
      </c>
      <c r="D739" s="2">
        <v>24</v>
      </c>
      <c r="E739" s="51">
        <v>5.78</v>
      </c>
      <c r="F739" s="105"/>
      <c r="H739" s="2">
        <v>2</v>
      </c>
      <c r="I739" s="2">
        <v>1</v>
      </c>
      <c r="J739" s="2">
        <v>0</v>
      </c>
      <c r="K739" s="2">
        <v>1</v>
      </c>
      <c r="L739" s="2">
        <v>8.1466666666666665</v>
      </c>
      <c r="M739" s="2">
        <v>8.9158333333333335</v>
      </c>
      <c r="N739" s="244">
        <v>2.4316500000000001E-2</v>
      </c>
      <c r="O739" s="2" t="s">
        <v>934</v>
      </c>
      <c r="P739" s="2">
        <v>100</v>
      </c>
      <c r="Q739" s="2" t="s">
        <v>55</v>
      </c>
      <c r="R739" s="2" t="s">
        <v>97</v>
      </c>
      <c r="S739" s="2"/>
      <c r="T739" s="2">
        <v>5</v>
      </c>
      <c r="U739" s="398">
        <v>120</v>
      </c>
      <c r="V739" s="7">
        <v>138.72</v>
      </c>
      <c r="W739" s="7" t="s">
        <v>660</v>
      </c>
    </row>
    <row r="740" spans="1:23" x14ac:dyDescent="0.35">
      <c r="A740" s="2">
        <v>96</v>
      </c>
      <c r="B740" s="109" t="s">
        <v>99</v>
      </c>
      <c r="C740" s="110" t="s">
        <v>100</v>
      </c>
      <c r="D740" s="2">
        <v>24</v>
      </c>
      <c r="E740" s="51">
        <v>5.78</v>
      </c>
      <c r="F740" s="105"/>
      <c r="H740" s="2">
        <v>2</v>
      </c>
      <c r="I740" s="2">
        <v>1</v>
      </c>
      <c r="J740" s="2">
        <v>0</v>
      </c>
      <c r="K740" s="2">
        <v>1</v>
      </c>
      <c r="L740" s="2">
        <v>7.4424999999999999</v>
      </c>
      <c r="M740" s="2">
        <v>8.19</v>
      </c>
      <c r="N740" s="244">
        <v>2.7251250000000001E-2</v>
      </c>
      <c r="O740" s="2" t="s">
        <v>934</v>
      </c>
      <c r="P740" s="2">
        <v>100</v>
      </c>
      <c r="Q740" s="2" t="s">
        <v>55</v>
      </c>
      <c r="R740" s="2" t="s">
        <v>99</v>
      </c>
      <c r="S740" s="2"/>
      <c r="T740" s="2">
        <v>5</v>
      </c>
      <c r="U740" s="398">
        <v>120</v>
      </c>
      <c r="V740" s="7">
        <v>138.72</v>
      </c>
      <c r="W740" s="7" t="s">
        <v>660</v>
      </c>
    </row>
    <row r="741" spans="1:23" x14ac:dyDescent="0.35">
      <c r="A741" s="2">
        <v>96</v>
      </c>
      <c r="B741" s="109" t="s">
        <v>101</v>
      </c>
      <c r="C741" s="110" t="s">
        <v>102</v>
      </c>
      <c r="D741" s="2">
        <v>24</v>
      </c>
      <c r="E741" s="51">
        <v>5.78</v>
      </c>
      <c r="F741" s="105"/>
      <c r="H741" s="2">
        <v>2</v>
      </c>
      <c r="I741" s="2">
        <v>1</v>
      </c>
      <c r="J741" s="2">
        <v>0</v>
      </c>
      <c r="K741" s="2">
        <v>1</v>
      </c>
      <c r="L741" s="2">
        <v>7.4424999999999999</v>
      </c>
      <c r="M741" s="2">
        <v>8.19</v>
      </c>
      <c r="N741" s="244">
        <v>2.7251250000000001E-2</v>
      </c>
      <c r="O741" s="2" t="s">
        <v>934</v>
      </c>
      <c r="P741" s="2">
        <v>100</v>
      </c>
      <c r="Q741" s="2" t="s">
        <v>55</v>
      </c>
      <c r="R741" s="2" t="s">
        <v>101</v>
      </c>
      <c r="S741" s="2"/>
      <c r="T741" s="2">
        <v>5</v>
      </c>
      <c r="U741" s="398">
        <v>120</v>
      </c>
      <c r="V741" s="7">
        <v>138.72</v>
      </c>
      <c r="W741" s="7" t="s">
        <v>660</v>
      </c>
    </row>
    <row r="742" spans="1:23" x14ac:dyDescent="0.35">
      <c r="A742" s="2">
        <v>96</v>
      </c>
      <c r="B742" s="109" t="s">
        <v>107</v>
      </c>
      <c r="C742" s="110" t="s">
        <v>109</v>
      </c>
      <c r="D742" s="2">
        <v>24</v>
      </c>
      <c r="E742" s="51">
        <v>15.55</v>
      </c>
      <c r="F742" s="105"/>
      <c r="H742" s="2"/>
      <c r="I742" s="2">
        <v>1</v>
      </c>
      <c r="J742" s="2">
        <v>0</v>
      </c>
      <c r="K742" s="2">
        <v>0</v>
      </c>
      <c r="L742" s="2">
        <v>9.48</v>
      </c>
      <c r="M742" s="2">
        <v>9.9</v>
      </c>
      <c r="N742" s="244">
        <v>1.72975E-2</v>
      </c>
      <c r="O742" s="2" t="s">
        <v>108</v>
      </c>
      <c r="P742" s="2">
        <v>100</v>
      </c>
      <c r="Q742" s="2" t="s">
        <v>55</v>
      </c>
      <c r="R742" s="2" t="s">
        <v>107</v>
      </c>
      <c r="S742" s="2"/>
      <c r="T742" s="2">
        <v>11.68</v>
      </c>
      <c r="U742" s="398">
        <v>280.32</v>
      </c>
      <c r="V742" s="7">
        <v>373.20000000000005</v>
      </c>
      <c r="W742" s="7" t="s">
        <v>660</v>
      </c>
    </row>
    <row r="743" spans="1:23" x14ac:dyDescent="0.35">
      <c r="A743" s="2">
        <v>96</v>
      </c>
      <c r="B743" s="109" t="s">
        <v>114</v>
      </c>
      <c r="C743" s="110" t="s">
        <v>115</v>
      </c>
      <c r="D743" s="2">
        <v>24</v>
      </c>
      <c r="E743" s="51">
        <v>15.55</v>
      </c>
      <c r="F743" s="105"/>
      <c r="H743" s="2"/>
      <c r="I743" s="2">
        <v>1</v>
      </c>
      <c r="J743" s="2">
        <v>0</v>
      </c>
      <c r="K743" s="2">
        <v>0</v>
      </c>
      <c r="L743" s="2">
        <v>9.48</v>
      </c>
      <c r="M743" s="2">
        <v>9.9</v>
      </c>
      <c r="N743" s="244">
        <v>1.72975E-2</v>
      </c>
      <c r="O743" s="2" t="s">
        <v>108</v>
      </c>
      <c r="P743" s="2">
        <v>100</v>
      </c>
      <c r="Q743" s="2" t="s">
        <v>55</v>
      </c>
      <c r="R743" s="2" t="s">
        <v>114</v>
      </c>
      <c r="S743" s="2"/>
      <c r="T743" s="2">
        <v>11.68</v>
      </c>
      <c r="U743" s="398">
        <v>280.32</v>
      </c>
      <c r="V743" s="7">
        <v>373.20000000000005</v>
      </c>
      <c r="W743" s="7" t="s">
        <v>660</v>
      </c>
    </row>
    <row r="744" spans="1:23" x14ac:dyDescent="0.35">
      <c r="A744" s="2">
        <v>96</v>
      </c>
      <c r="B744" s="109" t="s">
        <v>124</v>
      </c>
      <c r="C744" s="110" t="s">
        <v>126</v>
      </c>
      <c r="D744" s="2"/>
      <c r="E744" s="51"/>
      <c r="F744" s="105"/>
      <c r="H744" s="2">
        <v>2</v>
      </c>
      <c r="I744" s="2">
        <v>0</v>
      </c>
      <c r="J744" s="2">
        <v>0</v>
      </c>
      <c r="K744" s="2">
        <v>1</v>
      </c>
      <c r="L744" s="2">
        <v>0.7599999999999999</v>
      </c>
      <c r="M744" s="2">
        <v>0.79166666666666663</v>
      </c>
      <c r="N744" s="244">
        <v>1.4609375E-3</v>
      </c>
      <c r="O744" s="2" t="s">
        <v>125</v>
      </c>
      <c r="P744" s="2">
        <v>100</v>
      </c>
      <c r="Q744" s="2" t="s">
        <v>55</v>
      </c>
      <c r="R744" s="2" t="s">
        <v>124</v>
      </c>
      <c r="S744" s="2"/>
      <c r="T744" s="2">
        <v>0</v>
      </c>
      <c r="U744" s="398">
        <v>0</v>
      </c>
      <c r="V744" s="7">
        <v>0</v>
      </c>
      <c r="W744" s="7" t="s">
        <v>660</v>
      </c>
    </row>
    <row r="745" spans="1:23" x14ac:dyDescent="0.35">
      <c r="A745" s="2">
        <v>96</v>
      </c>
      <c r="B745" s="109" t="s">
        <v>131</v>
      </c>
      <c r="C745" s="110" t="s">
        <v>132</v>
      </c>
      <c r="D745" s="2"/>
      <c r="E745" s="51"/>
      <c r="F745" s="105"/>
      <c r="H745" s="2">
        <v>2</v>
      </c>
      <c r="I745" s="2">
        <v>0</v>
      </c>
      <c r="J745" s="2">
        <v>0</v>
      </c>
      <c r="K745" s="2">
        <v>1</v>
      </c>
      <c r="L745" s="2">
        <v>0.7599999999999999</v>
      </c>
      <c r="M745" s="2">
        <v>0.79166666666666663</v>
      </c>
      <c r="N745" s="244">
        <v>1.4609375E-3</v>
      </c>
      <c r="O745" s="2" t="s">
        <v>125</v>
      </c>
      <c r="P745" s="2">
        <v>100</v>
      </c>
      <c r="Q745" s="2" t="s">
        <v>55</v>
      </c>
      <c r="R745" s="2" t="s">
        <v>131</v>
      </c>
      <c r="S745" s="2"/>
      <c r="T745" s="2">
        <v>0</v>
      </c>
      <c r="U745" s="398">
        <v>0</v>
      </c>
      <c r="V745" s="7">
        <v>0</v>
      </c>
      <c r="W745" s="7" t="s">
        <v>660</v>
      </c>
    </row>
    <row r="746" spans="1:23" x14ac:dyDescent="0.35">
      <c r="A746" s="2">
        <v>97</v>
      </c>
      <c r="B746" s="109" t="s">
        <v>116</v>
      </c>
      <c r="C746" s="110" t="s">
        <v>117</v>
      </c>
      <c r="D746" s="2">
        <v>300</v>
      </c>
      <c r="E746" s="51">
        <v>11.87</v>
      </c>
      <c r="F746" s="105"/>
      <c r="H746" s="2">
        <v>43</v>
      </c>
      <c r="I746" s="2">
        <v>13</v>
      </c>
      <c r="J746" s="2">
        <v>0</v>
      </c>
      <c r="K746" s="2">
        <v>2</v>
      </c>
      <c r="L746" s="2">
        <v>130.33999999999997</v>
      </c>
      <c r="M746" s="2">
        <v>135.77083333333331</v>
      </c>
      <c r="N746" s="244">
        <v>0.25055078125000002</v>
      </c>
      <c r="O746" s="2" t="s">
        <v>108</v>
      </c>
      <c r="P746" s="2">
        <v>100</v>
      </c>
      <c r="Q746" s="2" t="s">
        <v>55</v>
      </c>
      <c r="R746" s="2" t="s">
        <v>116</v>
      </c>
      <c r="S746" s="2"/>
      <c r="T746" s="2">
        <v>11.68</v>
      </c>
      <c r="U746" s="398">
        <v>3504</v>
      </c>
      <c r="V746" s="7">
        <v>3560.9999999999995</v>
      </c>
      <c r="W746" s="7" t="s">
        <v>660</v>
      </c>
    </row>
    <row r="747" spans="1:23" x14ac:dyDescent="0.35">
      <c r="A747" s="2">
        <v>97</v>
      </c>
      <c r="B747" s="109" t="s">
        <v>120</v>
      </c>
      <c r="C747" s="110" t="s">
        <v>121</v>
      </c>
      <c r="D747" s="2">
        <v>540</v>
      </c>
      <c r="E747" s="51">
        <v>11.87</v>
      </c>
      <c r="F747" s="105"/>
      <c r="H747" s="2">
        <v>77</v>
      </c>
      <c r="I747" s="2">
        <v>23</v>
      </c>
      <c r="J747" s="2">
        <v>0</v>
      </c>
      <c r="K747" s="2">
        <v>4</v>
      </c>
      <c r="L747" s="2">
        <v>234.45999999999998</v>
      </c>
      <c r="M747" s="2">
        <v>244.22916666666666</v>
      </c>
      <c r="N747" s="244">
        <v>0.45069921875000002</v>
      </c>
      <c r="O747" s="2" t="s">
        <v>108</v>
      </c>
      <c r="P747" s="2">
        <v>100</v>
      </c>
      <c r="Q747" s="2" t="s">
        <v>55</v>
      </c>
      <c r="R747" s="2" t="s">
        <v>120</v>
      </c>
      <c r="S747" s="2"/>
      <c r="T747" s="2">
        <v>11.68</v>
      </c>
      <c r="U747" s="398">
        <v>6307.2</v>
      </c>
      <c r="V747" s="7">
        <v>6409.7999999999993</v>
      </c>
      <c r="W747" s="7" t="s">
        <v>660</v>
      </c>
    </row>
    <row r="748" spans="1:23" x14ac:dyDescent="0.35">
      <c r="A748" s="2">
        <v>97</v>
      </c>
      <c r="B748" s="109" t="s">
        <v>122</v>
      </c>
      <c r="C748" s="110" t="s">
        <v>123</v>
      </c>
      <c r="D748" s="2">
        <v>780</v>
      </c>
      <c r="E748" s="51">
        <v>11.87</v>
      </c>
      <c r="F748" s="105"/>
      <c r="H748" s="2">
        <v>111</v>
      </c>
      <c r="I748" s="2">
        <v>33</v>
      </c>
      <c r="J748" s="2">
        <v>0</v>
      </c>
      <c r="K748" s="2">
        <v>5</v>
      </c>
      <c r="L748" s="2">
        <v>338.58</v>
      </c>
      <c r="M748" s="2">
        <v>352.6875</v>
      </c>
      <c r="N748" s="244">
        <v>0.65084765624999996</v>
      </c>
      <c r="O748" s="2" t="s">
        <v>108</v>
      </c>
      <c r="P748" s="2">
        <v>100</v>
      </c>
      <c r="Q748" s="2" t="s">
        <v>55</v>
      </c>
      <c r="R748" s="2" t="s">
        <v>122</v>
      </c>
      <c r="S748" s="2"/>
      <c r="T748" s="2">
        <v>11.68</v>
      </c>
      <c r="U748" s="398">
        <v>9110.4</v>
      </c>
      <c r="V748" s="7">
        <v>9258.5999999999985</v>
      </c>
      <c r="W748" s="7" t="s">
        <v>660</v>
      </c>
    </row>
    <row r="749" spans="1:23" x14ac:dyDescent="0.35">
      <c r="A749" s="2">
        <v>98</v>
      </c>
      <c r="B749" s="109" t="s">
        <v>107</v>
      </c>
      <c r="C749" s="110" t="s">
        <v>109</v>
      </c>
      <c r="D749" s="2">
        <v>2400</v>
      </c>
      <c r="E749" s="51">
        <v>11.87</v>
      </c>
      <c r="F749" s="105"/>
      <c r="H749" s="2"/>
      <c r="I749" s="2">
        <v>100</v>
      </c>
      <c r="J749" s="2">
        <v>0</v>
      </c>
      <c r="K749" s="2">
        <v>0</v>
      </c>
      <c r="L749" s="2">
        <v>948</v>
      </c>
      <c r="M749" s="2">
        <v>990</v>
      </c>
      <c r="N749" s="244">
        <v>1.7297499999999999</v>
      </c>
      <c r="O749" s="2" t="s">
        <v>108</v>
      </c>
      <c r="P749" s="2">
        <v>100</v>
      </c>
      <c r="Q749" s="2" t="s">
        <v>55</v>
      </c>
      <c r="R749" s="2" t="s">
        <v>107</v>
      </c>
      <c r="S749" s="2"/>
      <c r="T749" s="2">
        <v>11.68</v>
      </c>
      <c r="U749" s="398">
        <v>28032</v>
      </c>
      <c r="V749" s="7">
        <v>28487.999999999996</v>
      </c>
      <c r="W749" s="7" t="s">
        <v>660</v>
      </c>
    </row>
    <row r="750" spans="1:23" x14ac:dyDescent="0.35">
      <c r="A750" s="2">
        <v>98</v>
      </c>
      <c r="B750" s="109" t="s">
        <v>107</v>
      </c>
      <c r="C750" s="110" t="s">
        <v>109</v>
      </c>
      <c r="D750" s="2">
        <v>800</v>
      </c>
      <c r="E750" s="51">
        <v>11.87</v>
      </c>
      <c r="F750" s="105"/>
      <c r="H750" s="2"/>
      <c r="I750" s="2">
        <v>34</v>
      </c>
      <c r="J750" s="2">
        <v>0</v>
      </c>
      <c r="K750" s="2">
        <v>0</v>
      </c>
      <c r="L750" s="2">
        <v>316.00000000000006</v>
      </c>
      <c r="M750" s="2">
        <v>330.00000000000006</v>
      </c>
      <c r="N750" s="244">
        <v>0.57658333333333334</v>
      </c>
      <c r="O750" s="2" t="s">
        <v>108</v>
      </c>
      <c r="P750" s="2">
        <v>100</v>
      </c>
      <c r="Q750" s="2" t="s">
        <v>55</v>
      </c>
      <c r="R750" s="2" t="s">
        <v>107</v>
      </c>
      <c r="S750" s="2"/>
      <c r="T750" s="2">
        <v>11.68</v>
      </c>
      <c r="U750" s="398">
        <v>9344</v>
      </c>
      <c r="V750" s="7">
        <v>9496</v>
      </c>
      <c r="W750" s="7" t="s">
        <v>660</v>
      </c>
    </row>
    <row r="751" spans="1:23" x14ac:dyDescent="0.35">
      <c r="A751" s="2">
        <v>98</v>
      </c>
      <c r="B751" s="109" t="s">
        <v>107</v>
      </c>
      <c r="C751" s="110" t="s">
        <v>109</v>
      </c>
      <c r="D751" s="2"/>
      <c r="E751" s="51"/>
      <c r="F751" s="105"/>
      <c r="H751" s="2">
        <v>361</v>
      </c>
      <c r="I751" s="2">
        <v>0</v>
      </c>
      <c r="J751" s="2">
        <v>0</v>
      </c>
      <c r="K751" s="2">
        <v>16</v>
      </c>
      <c r="L751" s="2">
        <v>142.595</v>
      </c>
      <c r="M751" s="2">
        <v>148.91249999999999</v>
      </c>
      <c r="N751" s="244">
        <v>0.26018322916666664</v>
      </c>
      <c r="O751" s="2" t="s">
        <v>108</v>
      </c>
      <c r="P751" s="2">
        <v>100</v>
      </c>
      <c r="Q751" s="2" t="s">
        <v>55</v>
      </c>
      <c r="R751" s="2" t="s">
        <v>107</v>
      </c>
      <c r="S751" s="2"/>
      <c r="T751" s="2">
        <v>11.68</v>
      </c>
      <c r="U751" s="398">
        <v>0</v>
      </c>
      <c r="V751" s="7">
        <v>0</v>
      </c>
      <c r="W751" s="7" t="s">
        <v>660</v>
      </c>
    </row>
    <row r="752" spans="1:23" x14ac:dyDescent="0.35">
      <c r="A752" s="2">
        <v>98</v>
      </c>
      <c r="B752" s="109" t="s">
        <v>110</v>
      </c>
      <c r="C752" s="110" t="s">
        <v>111</v>
      </c>
      <c r="D752" s="2">
        <v>1440</v>
      </c>
      <c r="E752" s="51">
        <v>11.87</v>
      </c>
      <c r="F752" s="105"/>
      <c r="H752" s="2"/>
      <c r="I752" s="2">
        <v>60</v>
      </c>
      <c r="J752" s="2">
        <v>0</v>
      </c>
      <c r="K752" s="2">
        <v>0</v>
      </c>
      <c r="L752" s="2">
        <v>568.80000000000007</v>
      </c>
      <c r="M752" s="2">
        <v>594</v>
      </c>
      <c r="N752" s="244">
        <v>1.0378499999999999</v>
      </c>
      <c r="O752" s="2" t="s">
        <v>108</v>
      </c>
      <c r="P752" s="2">
        <v>100</v>
      </c>
      <c r="Q752" s="2" t="s">
        <v>55</v>
      </c>
      <c r="R752" s="2" t="s">
        <v>110</v>
      </c>
      <c r="S752" s="2"/>
      <c r="T752" s="2">
        <v>11.68</v>
      </c>
      <c r="U752" s="398">
        <v>16819.2</v>
      </c>
      <c r="V752" s="7">
        <v>17092.8</v>
      </c>
      <c r="W752" s="7" t="s">
        <v>660</v>
      </c>
    </row>
    <row r="753" spans="1:23" x14ac:dyDescent="0.35">
      <c r="A753" s="2">
        <v>98</v>
      </c>
      <c r="B753" s="109" t="s">
        <v>110</v>
      </c>
      <c r="C753" s="110" t="s">
        <v>111</v>
      </c>
      <c r="D753" s="2"/>
      <c r="E753" s="51"/>
      <c r="F753" s="105"/>
      <c r="H753" s="2">
        <v>29</v>
      </c>
      <c r="I753" s="2">
        <v>0</v>
      </c>
      <c r="J753" s="2">
        <v>0</v>
      </c>
      <c r="K753" s="2">
        <v>2</v>
      </c>
      <c r="L753" s="2">
        <v>11.455</v>
      </c>
      <c r="M753" s="2">
        <v>11.9625</v>
      </c>
      <c r="N753" s="244">
        <v>2.0901145833333332E-2</v>
      </c>
      <c r="O753" s="2" t="s">
        <v>108</v>
      </c>
      <c r="P753" s="2">
        <v>100</v>
      </c>
      <c r="Q753" s="2" t="s">
        <v>55</v>
      </c>
      <c r="R753" s="2" t="s">
        <v>110</v>
      </c>
      <c r="S753" s="2"/>
      <c r="T753" s="2">
        <v>11.68</v>
      </c>
      <c r="U753" s="398">
        <v>0</v>
      </c>
      <c r="V753" s="7">
        <v>0</v>
      </c>
      <c r="W753" s="7" t="s">
        <v>660</v>
      </c>
    </row>
    <row r="754" spans="1:23" x14ac:dyDescent="0.35">
      <c r="A754" s="2">
        <v>98</v>
      </c>
      <c r="B754" s="109" t="s">
        <v>112</v>
      </c>
      <c r="C754" s="110" t="s">
        <v>113</v>
      </c>
      <c r="D754" s="2">
        <v>1440</v>
      </c>
      <c r="E754" s="51">
        <v>11.87</v>
      </c>
      <c r="F754" s="105"/>
      <c r="H754" s="2"/>
      <c r="I754" s="2">
        <v>60</v>
      </c>
      <c r="J754" s="2">
        <v>0</v>
      </c>
      <c r="K754" s="2">
        <v>0</v>
      </c>
      <c r="L754" s="2">
        <v>568.80000000000007</v>
      </c>
      <c r="M754" s="2">
        <v>594</v>
      </c>
      <c r="N754" s="244">
        <v>1.0378499999999999</v>
      </c>
      <c r="O754" s="2" t="s">
        <v>108</v>
      </c>
      <c r="P754" s="2">
        <v>100</v>
      </c>
      <c r="Q754" s="2" t="s">
        <v>55</v>
      </c>
      <c r="R754" s="2" t="s">
        <v>112</v>
      </c>
      <c r="S754" s="2"/>
      <c r="T754" s="2">
        <v>11.68</v>
      </c>
      <c r="U754" s="398">
        <v>16819.2</v>
      </c>
      <c r="V754" s="7">
        <v>17092.8</v>
      </c>
      <c r="W754" s="7" t="s">
        <v>660</v>
      </c>
    </row>
    <row r="755" spans="1:23" x14ac:dyDescent="0.35">
      <c r="A755" s="2">
        <v>98</v>
      </c>
      <c r="B755" s="109" t="s">
        <v>112</v>
      </c>
      <c r="C755" s="110" t="s">
        <v>113</v>
      </c>
      <c r="D755" s="2"/>
      <c r="E755" s="51"/>
      <c r="F755" s="105"/>
      <c r="H755" s="2">
        <v>205.71428571428572</v>
      </c>
      <c r="I755" s="2">
        <v>0</v>
      </c>
      <c r="J755" s="2">
        <v>0</v>
      </c>
      <c r="K755" s="2">
        <v>9</v>
      </c>
      <c r="L755" s="2">
        <v>81.257142857142853</v>
      </c>
      <c r="M755" s="2">
        <v>84.857142857142861</v>
      </c>
      <c r="N755" s="244">
        <v>0.14826428571428574</v>
      </c>
      <c r="O755" s="2" t="s">
        <v>108</v>
      </c>
      <c r="P755" s="2">
        <v>100</v>
      </c>
      <c r="Q755" s="2" t="s">
        <v>55</v>
      </c>
      <c r="R755" s="2" t="s">
        <v>112</v>
      </c>
      <c r="S755" s="2"/>
      <c r="T755" s="2">
        <v>11.68</v>
      </c>
      <c r="U755" s="398">
        <v>0</v>
      </c>
      <c r="V755" s="7">
        <v>0</v>
      </c>
      <c r="W755" s="7" t="s">
        <v>660</v>
      </c>
    </row>
    <row r="756" spans="1:23" x14ac:dyDescent="0.35">
      <c r="A756" s="2">
        <v>98</v>
      </c>
      <c r="B756" s="109" t="s">
        <v>114</v>
      </c>
      <c r="C756" s="110" t="s">
        <v>115</v>
      </c>
      <c r="D756" s="2">
        <v>1560</v>
      </c>
      <c r="E756" s="51">
        <v>11.87</v>
      </c>
      <c r="F756" s="105"/>
      <c r="H756" s="2"/>
      <c r="I756" s="2">
        <v>65</v>
      </c>
      <c r="J756" s="2">
        <v>0</v>
      </c>
      <c r="K756" s="2">
        <v>0</v>
      </c>
      <c r="L756" s="2">
        <v>616.20000000000005</v>
      </c>
      <c r="M756" s="2">
        <v>643.5</v>
      </c>
      <c r="N756" s="244">
        <v>1.1243375</v>
      </c>
      <c r="O756" s="2" t="s">
        <v>108</v>
      </c>
      <c r="P756" s="2">
        <v>100</v>
      </c>
      <c r="Q756" s="2" t="s">
        <v>55</v>
      </c>
      <c r="R756" s="2" t="s">
        <v>114</v>
      </c>
      <c r="S756" s="2"/>
      <c r="T756" s="2">
        <v>11.68</v>
      </c>
      <c r="U756" s="398">
        <v>18220.8</v>
      </c>
      <c r="V756" s="7">
        <v>18517.199999999997</v>
      </c>
      <c r="W756" s="7" t="s">
        <v>660</v>
      </c>
    </row>
    <row r="757" spans="1:23" x14ac:dyDescent="0.35">
      <c r="A757" s="2">
        <v>98</v>
      </c>
      <c r="B757" s="109" t="s">
        <v>124</v>
      </c>
      <c r="C757" s="110" t="s">
        <v>126</v>
      </c>
      <c r="D757" s="2"/>
      <c r="E757" s="51"/>
      <c r="F757" s="105"/>
      <c r="H757" s="2">
        <v>96</v>
      </c>
      <c r="I757" s="2">
        <v>0</v>
      </c>
      <c r="J757" s="2">
        <v>0</v>
      </c>
      <c r="K757" s="2">
        <v>4</v>
      </c>
      <c r="L757" s="2">
        <v>36.479999999999997</v>
      </c>
      <c r="M757" s="2">
        <v>38</v>
      </c>
      <c r="N757" s="244">
        <v>7.0125000000000007E-2</v>
      </c>
      <c r="O757" s="2" t="s">
        <v>125</v>
      </c>
      <c r="P757" s="2">
        <v>100</v>
      </c>
      <c r="Q757" s="2" t="s">
        <v>55</v>
      </c>
      <c r="R757" s="2" t="s">
        <v>124</v>
      </c>
      <c r="S757" s="2"/>
      <c r="T757" s="2">
        <v>0</v>
      </c>
      <c r="U757" s="398">
        <v>0</v>
      </c>
      <c r="V757" s="7">
        <v>0</v>
      </c>
      <c r="W757" s="7" t="s">
        <v>660</v>
      </c>
    </row>
    <row r="758" spans="1:23" x14ac:dyDescent="0.35">
      <c r="A758" s="2">
        <v>98</v>
      </c>
      <c r="B758" s="109" t="s">
        <v>127</v>
      </c>
      <c r="C758" s="110" t="s">
        <v>128</v>
      </c>
      <c r="D758" s="2"/>
      <c r="E758" s="51"/>
      <c r="F758" s="105"/>
      <c r="H758" s="2">
        <v>177</v>
      </c>
      <c r="I758" s="2">
        <v>0</v>
      </c>
      <c r="J758" s="2">
        <v>0</v>
      </c>
      <c r="K758" s="2">
        <v>8</v>
      </c>
      <c r="L758" s="2">
        <v>67.259999999999991</v>
      </c>
      <c r="M758" s="2">
        <v>70.0625</v>
      </c>
      <c r="N758" s="244">
        <v>0.12929296874999999</v>
      </c>
      <c r="O758" s="2" t="s">
        <v>125</v>
      </c>
      <c r="P758" s="2">
        <v>100</v>
      </c>
      <c r="Q758" s="2" t="s">
        <v>55</v>
      </c>
      <c r="R758" s="2" t="s">
        <v>127</v>
      </c>
      <c r="S758" s="2"/>
      <c r="T758" s="2">
        <v>0</v>
      </c>
      <c r="U758" s="398">
        <v>0</v>
      </c>
      <c r="V758" s="7">
        <v>0</v>
      </c>
      <c r="W758" s="7" t="s">
        <v>660</v>
      </c>
    </row>
    <row r="759" spans="1:23" x14ac:dyDescent="0.35">
      <c r="A759" s="2">
        <v>98</v>
      </c>
      <c r="B759" s="109" t="s">
        <v>131</v>
      </c>
      <c r="C759" s="110" t="s">
        <v>132</v>
      </c>
      <c r="D759" s="2"/>
      <c r="E759" s="51"/>
      <c r="F759" s="105"/>
      <c r="H759" s="2">
        <v>222.85714285714286</v>
      </c>
      <c r="I759" s="2">
        <v>0</v>
      </c>
      <c r="J759" s="2">
        <v>0</v>
      </c>
      <c r="K759" s="2">
        <v>10</v>
      </c>
      <c r="L759" s="2">
        <v>84.685714285714283</v>
      </c>
      <c r="M759" s="2">
        <v>88.214285714285722</v>
      </c>
      <c r="N759" s="244">
        <v>0.16279017857142861</v>
      </c>
      <c r="O759" s="2" t="s">
        <v>125</v>
      </c>
      <c r="P759" s="2">
        <v>100</v>
      </c>
      <c r="Q759" s="2" t="s">
        <v>55</v>
      </c>
      <c r="R759" s="2" t="s">
        <v>131</v>
      </c>
      <c r="S759" s="2"/>
      <c r="T759" s="2">
        <v>0</v>
      </c>
      <c r="U759" s="398">
        <v>0</v>
      </c>
      <c r="V759" s="7">
        <v>0</v>
      </c>
      <c r="W759" s="7" t="s">
        <v>660</v>
      </c>
    </row>
    <row r="760" spans="1:23" x14ac:dyDescent="0.35">
      <c r="A760" s="2">
        <v>99</v>
      </c>
      <c r="B760" s="109" t="s">
        <v>91</v>
      </c>
      <c r="C760" s="110" t="s">
        <v>92</v>
      </c>
      <c r="D760" s="2">
        <v>250</v>
      </c>
      <c r="E760" s="51">
        <v>7.63</v>
      </c>
      <c r="F760" s="105"/>
      <c r="H760" s="2">
        <v>36</v>
      </c>
      <c r="I760" s="2">
        <v>11</v>
      </c>
      <c r="J760" s="2">
        <v>0</v>
      </c>
      <c r="K760" s="2">
        <v>2</v>
      </c>
      <c r="L760" s="2">
        <v>89.61333333333333</v>
      </c>
      <c r="M760" s="2">
        <v>98.07416666666667</v>
      </c>
      <c r="N760" s="244">
        <v>0.26748149999999998</v>
      </c>
      <c r="O760" s="2" t="s">
        <v>934</v>
      </c>
      <c r="P760" s="2">
        <v>100</v>
      </c>
      <c r="Q760" s="2" t="s">
        <v>55</v>
      </c>
      <c r="R760" s="2" t="s">
        <v>91</v>
      </c>
      <c r="S760" s="2"/>
      <c r="T760" s="2">
        <v>5</v>
      </c>
      <c r="U760" s="398">
        <v>1250</v>
      </c>
      <c r="V760" s="7">
        <v>1907.5</v>
      </c>
      <c r="W760" s="7" t="s">
        <v>660</v>
      </c>
    </row>
    <row r="761" spans="1:23" x14ac:dyDescent="0.35">
      <c r="A761" s="2">
        <v>99</v>
      </c>
      <c r="B761" s="109" t="s">
        <v>95</v>
      </c>
      <c r="C761" s="110" t="s">
        <v>96</v>
      </c>
      <c r="D761" s="2">
        <v>500</v>
      </c>
      <c r="E761" s="51">
        <v>7.63</v>
      </c>
      <c r="F761" s="105"/>
      <c r="H761" s="2">
        <v>71</v>
      </c>
      <c r="I761" s="2">
        <v>21</v>
      </c>
      <c r="J761" s="2">
        <v>0</v>
      </c>
      <c r="K761" s="2">
        <v>3</v>
      </c>
      <c r="L761" s="2">
        <v>178.91333333333333</v>
      </c>
      <c r="M761" s="2">
        <v>195.80541666666667</v>
      </c>
      <c r="N761" s="244">
        <v>0.53402775000000002</v>
      </c>
      <c r="O761" s="2" t="s">
        <v>934</v>
      </c>
      <c r="P761" s="2">
        <v>100</v>
      </c>
      <c r="Q761" s="2" t="s">
        <v>55</v>
      </c>
      <c r="R761" s="2" t="s">
        <v>95</v>
      </c>
      <c r="S761" s="2"/>
      <c r="T761" s="2">
        <v>5</v>
      </c>
      <c r="U761" s="398">
        <v>2500</v>
      </c>
      <c r="V761" s="7">
        <v>3815</v>
      </c>
      <c r="W761" s="7" t="s">
        <v>660</v>
      </c>
    </row>
    <row r="762" spans="1:23" x14ac:dyDescent="0.35">
      <c r="A762" s="2">
        <v>99</v>
      </c>
      <c r="B762" s="109" t="s">
        <v>168</v>
      </c>
      <c r="C762" s="110" t="s">
        <v>171</v>
      </c>
      <c r="D762" s="2">
        <v>1500</v>
      </c>
      <c r="E762" s="51">
        <v>2.25</v>
      </c>
      <c r="F762" s="105"/>
      <c r="H762" s="2"/>
      <c r="I762" s="2">
        <v>63</v>
      </c>
      <c r="J762" s="2">
        <v>0</v>
      </c>
      <c r="K762" s="2">
        <v>0</v>
      </c>
      <c r="L762" s="2">
        <v>396.875</v>
      </c>
      <c r="M762" s="2">
        <v>437.5</v>
      </c>
      <c r="N762" s="244">
        <v>0.9961875</v>
      </c>
      <c r="O762" s="2" t="s">
        <v>169</v>
      </c>
      <c r="P762" s="2">
        <v>200</v>
      </c>
      <c r="Q762" s="2" t="s">
        <v>170</v>
      </c>
      <c r="R762" s="2" t="s">
        <v>168</v>
      </c>
      <c r="S762" s="2"/>
      <c r="T762" s="2">
        <v>2.0499999999999998</v>
      </c>
      <c r="U762" s="398">
        <v>3074.9999999999995</v>
      </c>
      <c r="V762" s="7">
        <v>3375</v>
      </c>
      <c r="W762" s="7" t="s">
        <v>660</v>
      </c>
    </row>
    <row r="763" spans="1:23" x14ac:dyDescent="0.35">
      <c r="A763" s="2">
        <v>99</v>
      </c>
      <c r="B763" s="109" t="s">
        <v>173</v>
      </c>
      <c r="C763" s="110" t="s">
        <v>174</v>
      </c>
      <c r="D763" s="2">
        <v>1500</v>
      </c>
      <c r="E763" s="51">
        <v>2.25</v>
      </c>
      <c r="F763" s="105"/>
      <c r="H763" s="2"/>
      <c r="I763" s="2">
        <v>63</v>
      </c>
      <c r="J763" s="2">
        <v>0</v>
      </c>
      <c r="K763" s="2">
        <v>0</v>
      </c>
      <c r="L763" s="2">
        <v>396.875</v>
      </c>
      <c r="M763" s="2">
        <v>437.5</v>
      </c>
      <c r="N763" s="244">
        <v>0.9961875</v>
      </c>
      <c r="O763" s="2" t="s">
        <v>169</v>
      </c>
      <c r="P763" s="2">
        <v>200</v>
      </c>
      <c r="Q763" s="2" t="s">
        <v>170</v>
      </c>
      <c r="R763" s="2" t="s">
        <v>173</v>
      </c>
      <c r="S763" s="2"/>
      <c r="T763" s="2">
        <v>2.0499999999999998</v>
      </c>
      <c r="U763" s="398">
        <v>3074.9999999999995</v>
      </c>
      <c r="V763" s="7">
        <v>3375</v>
      </c>
      <c r="W763" s="7" t="s">
        <v>660</v>
      </c>
    </row>
    <row r="764" spans="1:23" x14ac:dyDescent="0.35">
      <c r="A764" s="2">
        <v>99</v>
      </c>
      <c r="B764" s="109" t="s">
        <v>175</v>
      </c>
      <c r="C764" s="110" t="s">
        <v>176</v>
      </c>
      <c r="D764" s="2">
        <v>1500</v>
      </c>
      <c r="E764" s="51">
        <v>2.25</v>
      </c>
      <c r="F764" s="105"/>
      <c r="H764" s="2"/>
      <c r="I764" s="2">
        <v>63</v>
      </c>
      <c r="J764" s="2">
        <v>0</v>
      </c>
      <c r="K764" s="2">
        <v>0</v>
      </c>
      <c r="L764" s="2">
        <v>396.875</v>
      </c>
      <c r="M764" s="2">
        <v>437.5</v>
      </c>
      <c r="N764" s="244">
        <v>0.9961875</v>
      </c>
      <c r="O764" s="2" t="s">
        <v>169</v>
      </c>
      <c r="P764" s="2">
        <v>200</v>
      </c>
      <c r="Q764" s="2" t="s">
        <v>170</v>
      </c>
      <c r="R764" s="2" t="s">
        <v>175</v>
      </c>
      <c r="S764" s="2"/>
      <c r="T764" s="2">
        <v>2.0499999999999998</v>
      </c>
      <c r="U764" s="398">
        <v>3074.9999999999995</v>
      </c>
      <c r="V764" s="7">
        <v>3375</v>
      </c>
      <c r="W764" s="7" t="s">
        <v>660</v>
      </c>
    </row>
    <row r="765" spans="1:23" x14ac:dyDescent="0.35">
      <c r="A765" s="2">
        <v>99</v>
      </c>
      <c r="B765" s="109" t="s">
        <v>177</v>
      </c>
      <c r="C765" s="110" t="s">
        <v>178</v>
      </c>
      <c r="D765" s="2">
        <v>1500</v>
      </c>
      <c r="E765" s="51">
        <v>2.25</v>
      </c>
      <c r="F765" s="105"/>
      <c r="H765" s="2"/>
      <c r="I765" s="2">
        <v>63</v>
      </c>
      <c r="J765" s="2">
        <v>0</v>
      </c>
      <c r="K765" s="2">
        <v>0</v>
      </c>
      <c r="L765" s="2">
        <v>396.875</v>
      </c>
      <c r="M765" s="2">
        <v>437.5</v>
      </c>
      <c r="N765" s="244">
        <v>0.9961875</v>
      </c>
      <c r="O765" s="2" t="s">
        <v>169</v>
      </c>
      <c r="P765" s="2">
        <v>200</v>
      </c>
      <c r="Q765" s="2" t="s">
        <v>170</v>
      </c>
      <c r="R765" s="2" t="s">
        <v>177</v>
      </c>
      <c r="S765" s="2"/>
      <c r="T765" s="2">
        <v>2.0499999999999998</v>
      </c>
      <c r="U765" s="398">
        <v>3074.9999999999995</v>
      </c>
      <c r="V765" s="7">
        <v>3375</v>
      </c>
      <c r="W765" s="7" t="s">
        <v>660</v>
      </c>
    </row>
    <row r="766" spans="1:23" x14ac:dyDescent="0.35">
      <c r="A766" s="2">
        <v>100</v>
      </c>
      <c r="B766" s="109" t="s">
        <v>107</v>
      </c>
      <c r="C766" s="110" t="s">
        <v>109</v>
      </c>
      <c r="D766" s="2">
        <v>120</v>
      </c>
      <c r="E766" s="51">
        <v>12.5</v>
      </c>
      <c r="F766" s="105"/>
      <c r="H766" s="2">
        <v>20</v>
      </c>
      <c r="I766" s="2">
        <v>5</v>
      </c>
      <c r="J766" s="2">
        <v>0</v>
      </c>
      <c r="K766" s="2">
        <v>1</v>
      </c>
      <c r="L766" s="2">
        <v>55.3</v>
      </c>
      <c r="M766" s="2">
        <v>57.75</v>
      </c>
      <c r="N766" s="244">
        <v>0.10090208333333332</v>
      </c>
      <c r="O766" s="2" t="s">
        <v>108</v>
      </c>
      <c r="P766" s="2">
        <v>100</v>
      </c>
      <c r="Q766" s="2" t="s">
        <v>55</v>
      </c>
      <c r="R766" s="2" t="s">
        <v>107</v>
      </c>
      <c r="S766" s="2"/>
      <c r="T766" s="2">
        <v>11.68</v>
      </c>
      <c r="U766" s="398">
        <v>1401.6</v>
      </c>
      <c r="V766" s="7">
        <v>1500</v>
      </c>
      <c r="W766" s="7" t="s">
        <v>660</v>
      </c>
    </row>
    <row r="767" spans="1:23" x14ac:dyDescent="0.35">
      <c r="A767" s="2">
        <v>100</v>
      </c>
      <c r="B767" s="109" t="s">
        <v>112</v>
      </c>
      <c r="C767" s="110" t="s">
        <v>113</v>
      </c>
      <c r="D767" s="2"/>
      <c r="E767" s="51"/>
      <c r="F767" s="105">
        <v>90</v>
      </c>
      <c r="G767" s="51">
        <v>6.25</v>
      </c>
      <c r="H767" s="2"/>
      <c r="I767" s="2">
        <v>0</v>
      </c>
      <c r="J767" s="2">
        <v>4</v>
      </c>
      <c r="K767" s="2">
        <v>0</v>
      </c>
      <c r="L767" s="2">
        <v>35.550000000000004</v>
      </c>
      <c r="M767" s="2">
        <v>37.125</v>
      </c>
      <c r="N767" s="244">
        <v>6.4865624999999996E-2</v>
      </c>
      <c r="O767" s="2" t="s">
        <v>108</v>
      </c>
      <c r="P767" s="2">
        <v>100</v>
      </c>
      <c r="Q767" s="2" t="s">
        <v>55</v>
      </c>
      <c r="R767" s="2" t="s">
        <v>112</v>
      </c>
      <c r="S767" s="2"/>
      <c r="T767" s="2">
        <v>11.68</v>
      </c>
      <c r="U767" s="398">
        <v>1051.2</v>
      </c>
      <c r="V767" s="7">
        <v>562.5</v>
      </c>
      <c r="W767" s="7" t="s">
        <v>660</v>
      </c>
    </row>
    <row r="768" spans="1:23" x14ac:dyDescent="0.35">
      <c r="A768" s="2">
        <v>100</v>
      </c>
      <c r="B768" s="109" t="s">
        <v>114</v>
      </c>
      <c r="C768" s="110" t="s">
        <v>115</v>
      </c>
      <c r="D768" s="2">
        <v>240</v>
      </c>
      <c r="E768" s="51">
        <v>12.5</v>
      </c>
      <c r="F768" s="105"/>
      <c r="H768" s="2"/>
      <c r="I768" s="2">
        <v>10</v>
      </c>
      <c r="J768" s="2">
        <v>0</v>
      </c>
      <c r="K768" s="2">
        <v>0</v>
      </c>
      <c r="L768" s="2">
        <v>94.800000000000011</v>
      </c>
      <c r="M768" s="2">
        <v>99</v>
      </c>
      <c r="N768" s="244">
        <v>0.17297499999999999</v>
      </c>
      <c r="O768" s="2" t="s">
        <v>108</v>
      </c>
      <c r="P768" s="2">
        <v>100</v>
      </c>
      <c r="Q768" s="2" t="s">
        <v>55</v>
      </c>
      <c r="R768" s="2" t="s">
        <v>114</v>
      </c>
      <c r="S768" s="2"/>
      <c r="T768" s="2">
        <v>11.68</v>
      </c>
      <c r="U768" s="398">
        <v>2803.2</v>
      </c>
      <c r="V768" s="7">
        <v>3000</v>
      </c>
      <c r="W768" s="7" t="s">
        <v>660</v>
      </c>
    </row>
    <row r="769" spans="1:23" x14ac:dyDescent="0.35">
      <c r="A769" s="2">
        <v>100</v>
      </c>
      <c r="B769" s="109" t="s">
        <v>116</v>
      </c>
      <c r="C769" s="110" t="s">
        <v>117</v>
      </c>
      <c r="D769" s="2">
        <v>24</v>
      </c>
      <c r="E769" s="51">
        <v>12.5</v>
      </c>
      <c r="F769" s="105">
        <v>96</v>
      </c>
      <c r="G769" s="51">
        <v>6.25</v>
      </c>
      <c r="H769" s="2">
        <v>4</v>
      </c>
      <c r="I769" s="2">
        <v>1</v>
      </c>
      <c r="J769" s="2">
        <v>4</v>
      </c>
      <c r="K769" s="2">
        <v>1</v>
      </c>
      <c r="L769" s="2">
        <v>47.12</v>
      </c>
      <c r="M769" s="2">
        <v>49.083333333333336</v>
      </c>
      <c r="N769" s="244">
        <v>9.0578124999999995E-2</v>
      </c>
      <c r="O769" s="2" t="s">
        <v>108</v>
      </c>
      <c r="P769" s="2">
        <v>100</v>
      </c>
      <c r="Q769" s="2" t="s">
        <v>55</v>
      </c>
      <c r="R769" s="2" t="s">
        <v>116</v>
      </c>
      <c r="S769" s="2"/>
      <c r="T769" s="2">
        <v>11.68</v>
      </c>
      <c r="U769" s="398">
        <v>1401.6</v>
      </c>
      <c r="V769" s="7">
        <v>900</v>
      </c>
      <c r="W769" s="7" t="s">
        <v>660</v>
      </c>
    </row>
    <row r="770" spans="1:23" x14ac:dyDescent="0.35">
      <c r="A770" s="2">
        <v>100</v>
      </c>
      <c r="B770" s="109" t="s">
        <v>118</v>
      </c>
      <c r="C770" s="110" t="s">
        <v>119</v>
      </c>
      <c r="D770" s="2">
        <v>24</v>
      </c>
      <c r="E770" s="51">
        <v>12.5</v>
      </c>
      <c r="F770" s="105">
        <v>24</v>
      </c>
      <c r="G770" s="51">
        <v>6.25</v>
      </c>
      <c r="H770" s="2">
        <v>4</v>
      </c>
      <c r="I770" s="2">
        <v>1</v>
      </c>
      <c r="J770" s="2">
        <v>1</v>
      </c>
      <c r="K770" s="2">
        <v>1</v>
      </c>
      <c r="L770" s="2">
        <v>19.759999999999998</v>
      </c>
      <c r="M770" s="2">
        <v>20.583333333333332</v>
      </c>
      <c r="N770" s="244">
        <v>3.7984375000000001E-2</v>
      </c>
      <c r="O770" s="2" t="s">
        <v>108</v>
      </c>
      <c r="P770" s="2">
        <v>100</v>
      </c>
      <c r="Q770" s="2" t="s">
        <v>55</v>
      </c>
      <c r="R770" s="2" t="s">
        <v>118</v>
      </c>
      <c r="S770" s="2"/>
      <c r="T770" s="2">
        <v>11.68</v>
      </c>
      <c r="U770" s="398">
        <v>560.64</v>
      </c>
      <c r="V770" s="7">
        <v>450</v>
      </c>
      <c r="W770" s="7" t="s">
        <v>660</v>
      </c>
    </row>
    <row r="771" spans="1:23" x14ac:dyDescent="0.35">
      <c r="A771" s="2">
        <v>100</v>
      </c>
      <c r="B771" s="109" t="s">
        <v>120</v>
      </c>
      <c r="C771" s="110" t="s">
        <v>121</v>
      </c>
      <c r="D771" s="2">
        <v>60</v>
      </c>
      <c r="E771" s="51">
        <v>12.5</v>
      </c>
      <c r="F771" s="105">
        <v>72</v>
      </c>
      <c r="G771" s="51">
        <v>6.25</v>
      </c>
      <c r="H771" s="2">
        <v>10</v>
      </c>
      <c r="I771" s="2">
        <v>3</v>
      </c>
      <c r="J771" s="2">
        <v>3</v>
      </c>
      <c r="K771" s="2">
        <v>1</v>
      </c>
      <c r="L771" s="2">
        <v>53.96</v>
      </c>
      <c r="M771" s="2">
        <v>56.208333333333336</v>
      </c>
      <c r="N771" s="244">
        <v>0.10372656249999999</v>
      </c>
      <c r="O771" s="2" t="s">
        <v>108</v>
      </c>
      <c r="P771" s="2">
        <v>100</v>
      </c>
      <c r="Q771" s="2" t="s">
        <v>55</v>
      </c>
      <c r="R771" s="2" t="s">
        <v>120</v>
      </c>
      <c r="S771" s="2"/>
      <c r="T771" s="2">
        <v>11.68</v>
      </c>
      <c r="U771" s="398">
        <v>1541.76</v>
      </c>
      <c r="V771" s="7">
        <v>1200</v>
      </c>
      <c r="W771" s="7" t="s">
        <v>660</v>
      </c>
    </row>
    <row r="772" spans="1:23" x14ac:dyDescent="0.35">
      <c r="A772" s="2">
        <v>100</v>
      </c>
      <c r="B772" s="109" t="s">
        <v>122</v>
      </c>
      <c r="C772" s="110" t="s">
        <v>123</v>
      </c>
      <c r="D772" s="2">
        <v>110</v>
      </c>
      <c r="E772" s="51">
        <v>12.5</v>
      </c>
      <c r="F772" s="105">
        <v>90</v>
      </c>
      <c r="G772" s="51">
        <v>6.25</v>
      </c>
      <c r="H772" s="2">
        <v>18</v>
      </c>
      <c r="I772" s="2">
        <v>5</v>
      </c>
      <c r="J772" s="2">
        <v>4</v>
      </c>
      <c r="K772" s="2">
        <v>1</v>
      </c>
      <c r="L772" s="2">
        <v>82.84</v>
      </c>
      <c r="M772" s="2">
        <v>86.291666666666671</v>
      </c>
      <c r="N772" s="244">
        <v>0.15924218749999999</v>
      </c>
      <c r="O772" s="2" t="s">
        <v>108</v>
      </c>
      <c r="P772" s="2">
        <v>100</v>
      </c>
      <c r="Q772" s="2" t="s">
        <v>55</v>
      </c>
      <c r="R772" s="2" t="s">
        <v>122</v>
      </c>
      <c r="S772" s="2"/>
      <c r="T772" s="2">
        <v>11.68</v>
      </c>
      <c r="U772" s="398">
        <v>2336</v>
      </c>
      <c r="V772" s="7">
        <v>1937.5</v>
      </c>
      <c r="W772" s="7" t="s">
        <v>660</v>
      </c>
    </row>
    <row r="773" spans="1:23" x14ac:dyDescent="0.35">
      <c r="A773" s="2">
        <v>100</v>
      </c>
      <c r="B773" s="109" t="s">
        <v>131</v>
      </c>
      <c r="C773" s="110" t="s">
        <v>132</v>
      </c>
      <c r="D773" s="2"/>
      <c r="E773" s="51"/>
      <c r="F773" s="105">
        <v>90</v>
      </c>
      <c r="G773" s="51">
        <v>6.25</v>
      </c>
      <c r="H773" s="2">
        <v>40</v>
      </c>
      <c r="I773" s="2">
        <v>0</v>
      </c>
      <c r="J773" s="2">
        <v>4</v>
      </c>
      <c r="K773" s="2">
        <v>2</v>
      </c>
      <c r="L773" s="2">
        <v>49.4</v>
      </c>
      <c r="M773" s="2">
        <v>51.458333333333336</v>
      </c>
      <c r="N773" s="244">
        <v>9.4960937499999995E-2</v>
      </c>
      <c r="O773" s="2" t="s">
        <v>125</v>
      </c>
      <c r="P773" s="2">
        <v>100</v>
      </c>
      <c r="Q773" s="2" t="s">
        <v>55</v>
      </c>
      <c r="R773" s="2" t="s">
        <v>131</v>
      </c>
      <c r="S773" s="2"/>
      <c r="T773" s="2">
        <v>0</v>
      </c>
      <c r="U773" s="398">
        <v>0</v>
      </c>
      <c r="V773" s="7">
        <v>562.5</v>
      </c>
      <c r="W773" s="7" t="s">
        <v>660</v>
      </c>
    </row>
    <row r="774" spans="1:23" x14ac:dyDescent="0.35">
      <c r="A774" s="2">
        <v>101</v>
      </c>
      <c r="B774" s="109" t="s">
        <v>93</v>
      </c>
      <c r="C774" s="110" t="s">
        <v>94</v>
      </c>
      <c r="D774" s="2">
        <v>2400</v>
      </c>
      <c r="E774" s="51">
        <v>7.43</v>
      </c>
      <c r="F774" s="105"/>
      <c r="H774" s="2">
        <v>240</v>
      </c>
      <c r="I774" s="2">
        <v>100</v>
      </c>
      <c r="J774" s="2">
        <v>0</v>
      </c>
      <c r="K774" s="2">
        <v>10</v>
      </c>
      <c r="L774" s="2">
        <v>827.19999999999993</v>
      </c>
      <c r="M774" s="2">
        <v>905.30000000000007</v>
      </c>
      <c r="N774" s="244">
        <v>2.4690599999999998</v>
      </c>
      <c r="O774" s="2" t="s">
        <v>934</v>
      </c>
      <c r="P774" s="2">
        <v>100</v>
      </c>
      <c r="Q774" s="2" t="s">
        <v>55</v>
      </c>
      <c r="R774" s="2" t="s">
        <v>93</v>
      </c>
      <c r="S774" s="2"/>
      <c r="T774" s="2">
        <v>5</v>
      </c>
      <c r="U774" s="398">
        <v>12000</v>
      </c>
      <c r="V774" s="7">
        <v>17832</v>
      </c>
      <c r="W774" s="7" t="s">
        <v>660</v>
      </c>
    </row>
    <row r="775" spans="1:23" x14ac:dyDescent="0.35">
      <c r="A775" s="2">
        <v>101</v>
      </c>
      <c r="B775" s="109" t="s">
        <v>97</v>
      </c>
      <c r="C775" s="110" t="s">
        <v>98</v>
      </c>
      <c r="D775" s="2">
        <v>2400</v>
      </c>
      <c r="E775" s="51">
        <v>7.43</v>
      </c>
      <c r="F775" s="105"/>
      <c r="H775" s="2">
        <v>240</v>
      </c>
      <c r="I775" s="2">
        <v>100</v>
      </c>
      <c r="J775" s="2">
        <v>0</v>
      </c>
      <c r="K775" s="2">
        <v>10</v>
      </c>
      <c r="L775" s="2">
        <v>827.19999999999993</v>
      </c>
      <c r="M775" s="2">
        <v>905.30000000000007</v>
      </c>
      <c r="N775" s="244">
        <v>2.4690599999999998</v>
      </c>
      <c r="O775" s="2" t="s">
        <v>934</v>
      </c>
      <c r="P775" s="2">
        <v>100</v>
      </c>
      <c r="Q775" s="2" t="s">
        <v>55</v>
      </c>
      <c r="R775" s="2" t="s">
        <v>97</v>
      </c>
      <c r="S775" s="2"/>
      <c r="T775" s="2">
        <v>5</v>
      </c>
      <c r="U775" s="398">
        <v>12000</v>
      </c>
      <c r="V775" s="7">
        <v>17832</v>
      </c>
      <c r="W775" s="7" t="s">
        <v>660</v>
      </c>
    </row>
    <row r="776" spans="1:23" x14ac:dyDescent="0.35">
      <c r="A776" s="2">
        <v>101</v>
      </c>
      <c r="B776" s="109" t="s">
        <v>99</v>
      </c>
      <c r="C776" s="110" t="s">
        <v>100</v>
      </c>
      <c r="D776" s="2">
        <v>1000</v>
      </c>
      <c r="E776" s="51">
        <v>7.43</v>
      </c>
      <c r="F776" s="105"/>
      <c r="H776" s="2">
        <v>100</v>
      </c>
      <c r="I776" s="2">
        <v>42</v>
      </c>
      <c r="J776" s="2">
        <v>0</v>
      </c>
      <c r="K776" s="2">
        <v>5</v>
      </c>
      <c r="L776" s="2">
        <v>314.875</v>
      </c>
      <c r="M776" s="2">
        <v>346.5</v>
      </c>
      <c r="N776" s="244">
        <v>1.1529375000000002</v>
      </c>
      <c r="O776" s="2" t="s">
        <v>934</v>
      </c>
      <c r="P776" s="2">
        <v>100</v>
      </c>
      <c r="Q776" s="2" t="s">
        <v>55</v>
      </c>
      <c r="R776" s="2" t="s">
        <v>99</v>
      </c>
      <c r="S776" s="2"/>
      <c r="T776" s="2">
        <v>5</v>
      </c>
      <c r="U776" s="398">
        <v>5000</v>
      </c>
      <c r="V776" s="7">
        <v>7430</v>
      </c>
      <c r="W776" s="7" t="s">
        <v>660</v>
      </c>
    </row>
    <row r="777" spans="1:23" x14ac:dyDescent="0.35">
      <c r="A777" s="2">
        <v>101</v>
      </c>
      <c r="B777" s="109" t="s">
        <v>103</v>
      </c>
      <c r="C777" s="110" t="s">
        <v>104</v>
      </c>
      <c r="D777" s="2">
        <v>1200</v>
      </c>
      <c r="E777" s="51">
        <v>7.43</v>
      </c>
      <c r="F777" s="105"/>
      <c r="H777" s="2">
        <v>120</v>
      </c>
      <c r="I777" s="2">
        <v>50</v>
      </c>
      <c r="J777" s="2">
        <v>0</v>
      </c>
      <c r="K777" s="2">
        <v>5</v>
      </c>
      <c r="L777" s="2">
        <v>377.85</v>
      </c>
      <c r="M777" s="2">
        <v>415.79999999999995</v>
      </c>
      <c r="N777" s="244">
        <v>1.3835249999999999</v>
      </c>
      <c r="O777" s="2" t="s">
        <v>934</v>
      </c>
      <c r="P777" s="2">
        <v>100</v>
      </c>
      <c r="Q777" s="2" t="s">
        <v>55</v>
      </c>
      <c r="R777" s="2" t="s">
        <v>103</v>
      </c>
      <c r="S777" s="2"/>
      <c r="T777" s="2">
        <v>5</v>
      </c>
      <c r="U777" s="398">
        <v>6000</v>
      </c>
      <c r="V777" s="7">
        <v>8916</v>
      </c>
      <c r="W777" s="7" t="s">
        <v>660</v>
      </c>
    </row>
    <row r="778" spans="1:23" x14ac:dyDescent="0.35">
      <c r="A778" s="2">
        <v>101</v>
      </c>
      <c r="B778" s="109" t="s">
        <v>105</v>
      </c>
      <c r="C778" s="110" t="s">
        <v>106</v>
      </c>
      <c r="D778" s="2">
        <v>2400</v>
      </c>
      <c r="E778" s="51">
        <v>7.43</v>
      </c>
      <c r="F778" s="105"/>
      <c r="H778" s="2">
        <v>240</v>
      </c>
      <c r="I778" s="2">
        <v>100</v>
      </c>
      <c r="J778" s="2">
        <v>0</v>
      </c>
      <c r="K778" s="2">
        <v>10</v>
      </c>
      <c r="L778" s="2">
        <v>755.7</v>
      </c>
      <c r="M778" s="2">
        <v>831.59999999999991</v>
      </c>
      <c r="N778" s="244">
        <v>2.7670499999999998</v>
      </c>
      <c r="O778" s="2" t="s">
        <v>934</v>
      </c>
      <c r="P778" s="2">
        <v>100</v>
      </c>
      <c r="Q778" s="2" t="s">
        <v>55</v>
      </c>
      <c r="R778" s="2" t="s">
        <v>105</v>
      </c>
      <c r="S778" s="2"/>
      <c r="T778" s="2">
        <v>5</v>
      </c>
      <c r="U778" s="398">
        <v>12000</v>
      </c>
      <c r="V778" s="7">
        <v>17832</v>
      </c>
      <c r="W778" s="7" t="s">
        <v>660</v>
      </c>
    </row>
    <row r="779" spans="1:23" x14ac:dyDescent="0.35">
      <c r="A779" s="2">
        <v>102</v>
      </c>
      <c r="B779" s="109" t="s">
        <v>72</v>
      </c>
      <c r="C779" s="110" t="s">
        <v>73</v>
      </c>
      <c r="D779" s="2">
        <v>2000</v>
      </c>
      <c r="E779" s="51">
        <v>5</v>
      </c>
      <c r="F779" s="105"/>
      <c r="H779" s="2"/>
      <c r="I779" s="2">
        <v>167</v>
      </c>
      <c r="J779" s="2">
        <v>0</v>
      </c>
      <c r="K779" s="2">
        <v>0</v>
      </c>
      <c r="L779" s="2">
        <v>974.99999999999989</v>
      </c>
      <c r="M779" s="2">
        <v>1099.9999999999998</v>
      </c>
      <c r="N779" s="244">
        <v>5.4393279999999988</v>
      </c>
      <c r="O779" s="2" t="s">
        <v>18</v>
      </c>
      <c r="P779" s="2">
        <v>100</v>
      </c>
      <c r="Q779" s="2">
        <v>0</v>
      </c>
      <c r="R779" s="2" t="s">
        <v>72</v>
      </c>
      <c r="S779" s="2"/>
      <c r="T779" s="2">
        <v>6.16</v>
      </c>
      <c r="U779" s="398">
        <v>12320</v>
      </c>
      <c r="V779" s="7">
        <v>10000</v>
      </c>
      <c r="W779" s="7" t="s">
        <v>660</v>
      </c>
    </row>
    <row r="780" spans="1:23" x14ac:dyDescent="0.35">
      <c r="A780" s="2">
        <v>102</v>
      </c>
      <c r="B780" s="109" t="s">
        <v>74</v>
      </c>
      <c r="C780" s="110" t="s">
        <v>75</v>
      </c>
      <c r="D780" s="2">
        <v>1000</v>
      </c>
      <c r="E780" s="51">
        <v>5</v>
      </c>
      <c r="F780" s="105"/>
      <c r="H780" s="2"/>
      <c r="I780" s="2">
        <v>84</v>
      </c>
      <c r="J780" s="2">
        <v>0</v>
      </c>
      <c r="K780" s="2">
        <v>0</v>
      </c>
      <c r="L780" s="2">
        <v>487.49999999999994</v>
      </c>
      <c r="M780" s="2">
        <v>549.99999999999989</v>
      </c>
      <c r="N780" s="244">
        <v>2.7196639999999994</v>
      </c>
      <c r="O780" s="2" t="s">
        <v>18</v>
      </c>
      <c r="P780" s="2">
        <v>100</v>
      </c>
      <c r="Q780" s="2">
        <v>0</v>
      </c>
      <c r="R780" s="2" t="s">
        <v>74</v>
      </c>
      <c r="S780" s="2"/>
      <c r="T780" s="2">
        <v>6.16</v>
      </c>
      <c r="U780" s="398">
        <v>6160</v>
      </c>
      <c r="V780" s="7">
        <v>5000</v>
      </c>
      <c r="W780" s="7" t="s">
        <v>660</v>
      </c>
    </row>
    <row r="781" spans="1:23" x14ac:dyDescent="0.35">
      <c r="A781" s="2">
        <v>102</v>
      </c>
      <c r="B781" s="109" t="s">
        <v>76</v>
      </c>
      <c r="C781" s="110" t="s">
        <v>77</v>
      </c>
      <c r="D781" s="2">
        <v>2000</v>
      </c>
      <c r="E781" s="51">
        <v>5</v>
      </c>
      <c r="F781" s="105"/>
      <c r="H781" s="2"/>
      <c r="I781" s="2">
        <v>167</v>
      </c>
      <c r="J781" s="2">
        <v>0</v>
      </c>
      <c r="K781" s="2">
        <v>0</v>
      </c>
      <c r="L781" s="2">
        <v>974.99999999999989</v>
      </c>
      <c r="M781" s="2">
        <v>1099.9999999999998</v>
      </c>
      <c r="N781" s="244">
        <v>5.4393279999999988</v>
      </c>
      <c r="O781" s="2" t="s">
        <v>18</v>
      </c>
      <c r="P781" s="2">
        <v>100</v>
      </c>
      <c r="Q781" s="2">
        <v>0</v>
      </c>
      <c r="R781" s="2" t="s">
        <v>76</v>
      </c>
      <c r="S781" s="2"/>
      <c r="T781" s="2">
        <v>6.16</v>
      </c>
      <c r="U781" s="398">
        <v>12320</v>
      </c>
      <c r="V781" s="7">
        <v>10000</v>
      </c>
      <c r="W781" s="7" t="s">
        <v>660</v>
      </c>
    </row>
    <row r="782" spans="1:23" x14ac:dyDescent="0.35">
      <c r="A782" s="2">
        <v>102</v>
      </c>
      <c r="B782" s="109" t="s">
        <v>78</v>
      </c>
      <c r="C782" s="110" t="s">
        <v>79</v>
      </c>
      <c r="D782" s="2">
        <v>900</v>
      </c>
      <c r="E782" s="51">
        <v>5</v>
      </c>
      <c r="F782" s="105"/>
      <c r="H782" s="2"/>
      <c r="I782" s="2">
        <v>75</v>
      </c>
      <c r="J782" s="2">
        <v>0</v>
      </c>
      <c r="K782" s="2">
        <v>0</v>
      </c>
      <c r="L782" s="2">
        <v>438.75</v>
      </c>
      <c r="M782" s="2">
        <v>495</v>
      </c>
      <c r="N782" s="244">
        <v>2.4476976000000001</v>
      </c>
      <c r="O782" s="2" t="s">
        <v>18</v>
      </c>
      <c r="P782" s="2">
        <v>100</v>
      </c>
      <c r="Q782" s="2">
        <v>0</v>
      </c>
      <c r="R782" s="2" t="s">
        <v>78</v>
      </c>
      <c r="S782" s="2"/>
      <c r="T782" s="2">
        <v>6.16</v>
      </c>
      <c r="U782" s="398">
        <v>5544</v>
      </c>
      <c r="V782" s="7">
        <v>4500</v>
      </c>
      <c r="W782" s="7" t="s">
        <v>660</v>
      </c>
    </row>
    <row r="783" spans="1:23" x14ac:dyDescent="0.35">
      <c r="A783" s="2">
        <v>102</v>
      </c>
      <c r="B783" s="109" t="s">
        <v>80</v>
      </c>
      <c r="C783" s="110" t="s">
        <v>81</v>
      </c>
      <c r="D783" s="2">
        <v>700</v>
      </c>
      <c r="E783" s="51">
        <v>5</v>
      </c>
      <c r="F783" s="105"/>
      <c r="H783" s="2"/>
      <c r="I783" s="2">
        <v>59</v>
      </c>
      <c r="J783" s="2">
        <v>0</v>
      </c>
      <c r="K783" s="2">
        <v>0</v>
      </c>
      <c r="L783" s="2">
        <v>306.25</v>
      </c>
      <c r="M783" s="2">
        <v>350</v>
      </c>
      <c r="N783" s="244">
        <v>1.8702833333333335</v>
      </c>
      <c r="O783" s="2" t="s">
        <v>18</v>
      </c>
      <c r="P783" s="2">
        <v>100</v>
      </c>
      <c r="Q783" s="2">
        <v>0</v>
      </c>
      <c r="R783" s="2" t="s">
        <v>80</v>
      </c>
      <c r="S783" s="2"/>
      <c r="T783" s="2">
        <v>6.16</v>
      </c>
      <c r="U783" s="398">
        <v>4312</v>
      </c>
      <c r="V783" s="7">
        <v>3500</v>
      </c>
      <c r="W783" s="7" t="s">
        <v>660</v>
      </c>
    </row>
    <row r="784" spans="1:23" x14ac:dyDescent="0.35">
      <c r="A784" s="2">
        <v>102</v>
      </c>
      <c r="B784" s="109" t="s">
        <v>82</v>
      </c>
      <c r="C784" s="110" t="s">
        <v>83</v>
      </c>
      <c r="D784" s="2">
        <v>1000</v>
      </c>
      <c r="E784" s="51">
        <v>5</v>
      </c>
      <c r="F784" s="105"/>
      <c r="H784" s="2"/>
      <c r="I784" s="2">
        <v>84</v>
      </c>
      <c r="J784" s="2">
        <v>0</v>
      </c>
      <c r="K784" s="2">
        <v>0</v>
      </c>
      <c r="L784" s="2">
        <v>437.5</v>
      </c>
      <c r="M784" s="2">
        <v>500</v>
      </c>
      <c r="N784" s="244">
        <v>2.6718333333333328</v>
      </c>
      <c r="O784" s="2" t="s">
        <v>18</v>
      </c>
      <c r="P784" s="2">
        <v>100</v>
      </c>
      <c r="Q784" s="2">
        <v>0</v>
      </c>
      <c r="R784" s="2" t="s">
        <v>82</v>
      </c>
      <c r="S784" s="2"/>
      <c r="T784" s="2">
        <v>6.16</v>
      </c>
      <c r="U784" s="398">
        <v>6160</v>
      </c>
      <c r="V784" s="7">
        <v>5000</v>
      </c>
      <c r="W784" s="7" t="s">
        <v>660</v>
      </c>
    </row>
    <row r="785" spans="1:23" x14ac:dyDescent="0.35">
      <c r="A785" s="2">
        <v>102</v>
      </c>
      <c r="B785" s="109" t="s">
        <v>84</v>
      </c>
      <c r="C785" s="110" t="s">
        <v>85</v>
      </c>
      <c r="D785" s="2">
        <v>600</v>
      </c>
      <c r="E785" s="51">
        <v>5</v>
      </c>
      <c r="F785" s="105"/>
      <c r="H785" s="2"/>
      <c r="I785" s="2">
        <v>50</v>
      </c>
      <c r="J785" s="2">
        <v>0</v>
      </c>
      <c r="K785" s="2">
        <v>0</v>
      </c>
      <c r="L785" s="2">
        <v>262.5</v>
      </c>
      <c r="M785" s="2">
        <v>300</v>
      </c>
      <c r="N785" s="244">
        <v>1.6031</v>
      </c>
      <c r="O785" s="2" t="s">
        <v>18</v>
      </c>
      <c r="P785" s="2">
        <v>100</v>
      </c>
      <c r="Q785" s="2">
        <v>0</v>
      </c>
      <c r="R785" s="2" t="s">
        <v>84</v>
      </c>
      <c r="S785" s="2"/>
      <c r="T785" s="2">
        <v>6.16</v>
      </c>
      <c r="U785" s="398">
        <v>3696</v>
      </c>
      <c r="V785" s="7">
        <v>3000</v>
      </c>
      <c r="W785" s="7" t="s">
        <v>660</v>
      </c>
    </row>
    <row r="786" spans="1:23" x14ac:dyDescent="0.35">
      <c r="A786" s="2">
        <v>102</v>
      </c>
      <c r="B786" s="109" t="s">
        <v>38</v>
      </c>
      <c r="C786" s="110" t="s">
        <v>39</v>
      </c>
      <c r="D786" s="2"/>
      <c r="E786" s="51"/>
      <c r="F786" s="105"/>
      <c r="H786" s="2">
        <v>1</v>
      </c>
      <c r="I786" s="2">
        <v>0</v>
      </c>
      <c r="J786" s="2">
        <v>0</v>
      </c>
      <c r="K786" s="2">
        <v>1</v>
      </c>
      <c r="L786" s="2">
        <v>0.51416666666666666</v>
      </c>
      <c r="M786" s="2">
        <v>0.56416666666666659</v>
      </c>
      <c r="N786" s="244">
        <v>3.2484999999999997E-3</v>
      </c>
      <c r="O786" s="2" t="s">
        <v>18</v>
      </c>
      <c r="P786" s="2">
        <v>50</v>
      </c>
      <c r="Q786" s="2">
        <v>0</v>
      </c>
      <c r="R786" s="2" t="s">
        <v>38</v>
      </c>
      <c r="S786" s="2"/>
      <c r="T786" s="2">
        <v>6.16</v>
      </c>
      <c r="U786" s="398">
        <v>0</v>
      </c>
      <c r="V786" s="7">
        <v>0</v>
      </c>
      <c r="W786" s="7" t="s">
        <v>660</v>
      </c>
    </row>
    <row r="787" spans="1:23" x14ac:dyDescent="0.35">
      <c r="A787" s="2">
        <v>102</v>
      </c>
      <c r="B787" s="109" t="s">
        <v>40</v>
      </c>
      <c r="C787" s="110" t="s">
        <v>41</v>
      </c>
      <c r="D787" s="2"/>
      <c r="E787" s="51"/>
      <c r="F787" s="105"/>
      <c r="H787" s="2">
        <v>1</v>
      </c>
      <c r="I787" s="2">
        <v>0</v>
      </c>
      <c r="J787" s="2">
        <v>0</v>
      </c>
      <c r="K787" s="2">
        <v>1</v>
      </c>
      <c r="L787" s="2">
        <v>0.51416666666666666</v>
      </c>
      <c r="M787" s="2">
        <v>0.56416666666666659</v>
      </c>
      <c r="N787" s="244">
        <v>3.2484999999999997E-3</v>
      </c>
      <c r="O787" s="2" t="s">
        <v>18</v>
      </c>
      <c r="P787" s="2">
        <v>50</v>
      </c>
      <c r="Q787" s="2">
        <v>0</v>
      </c>
      <c r="R787" s="2" t="s">
        <v>40</v>
      </c>
      <c r="S787" s="2"/>
      <c r="T787" s="2">
        <v>6.16</v>
      </c>
      <c r="U787" s="398">
        <v>0</v>
      </c>
      <c r="V787" s="7">
        <v>0</v>
      </c>
      <c r="W787" s="7" t="s">
        <v>660</v>
      </c>
    </row>
    <row r="788" spans="1:23" x14ac:dyDescent="0.35">
      <c r="A788" s="2">
        <v>102</v>
      </c>
      <c r="B788" s="109" t="s">
        <v>42</v>
      </c>
      <c r="C788" s="110" t="s">
        <v>43</v>
      </c>
      <c r="D788" s="2"/>
      <c r="E788" s="51"/>
      <c r="F788" s="105"/>
      <c r="H788" s="2">
        <v>1</v>
      </c>
      <c r="I788" s="2">
        <v>0</v>
      </c>
      <c r="J788" s="2">
        <v>0</v>
      </c>
      <c r="K788" s="2">
        <v>1</v>
      </c>
      <c r="L788" s="2">
        <v>0.51416666666666666</v>
      </c>
      <c r="M788" s="2">
        <v>0.56416666666666659</v>
      </c>
      <c r="N788" s="244">
        <v>3.2484999999999997E-3</v>
      </c>
      <c r="O788" s="2" t="s">
        <v>18</v>
      </c>
      <c r="P788" s="2">
        <v>50</v>
      </c>
      <c r="Q788" s="2">
        <v>0</v>
      </c>
      <c r="R788" s="2" t="s">
        <v>42</v>
      </c>
      <c r="S788" s="2"/>
      <c r="T788" s="2">
        <v>6.16</v>
      </c>
      <c r="U788" s="398">
        <v>0</v>
      </c>
      <c r="V788" s="7">
        <v>0</v>
      </c>
      <c r="W788" s="7" t="s">
        <v>660</v>
      </c>
    </row>
    <row r="789" spans="1:23" x14ac:dyDescent="0.35">
      <c r="A789" s="2">
        <v>102</v>
      </c>
      <c r="B789" s="109" t="s">
        <v>44</v>
      </c>
      <c r="C789" s="110" t="s">
        <v>45</v>
      </c>
      <c r="D789" s="2"/>
      <c r="E789" s="51"/>
      <c r="F789" s="105"/>
      <c r="H789" s="2">
        <v>1</v>
      </c>
      <c r="I789" s="2">
        <v>0</v>
      </c>
      <c r="J789" s="2">
        <v>0</v>
      </c>
      <c r="K789" s="2">
        <v>1</v>
      </c>
      <c r="L789" s="2">
        <v>0.51416666666666666</v>
      </c>
      <c r="M789" s="2">
        <v>0.56416666666666659</v>
      </c>
      <c r="N789" s="244">
        <v>3.2484999999999997E-3</v>
      </c>
      <c r="O789" s="2" t="s">
        <v>18</v>
      </c>
      <c r="P789" s="2">
        <v>50</v>
      </c>
      <c r="Q789" s="2">
        <v>0</v>
      </c>
      <c r="R789" s="2" t="s">
        <v>44</v>
      </c>
      <c r="S789" s="2"/>
      <c r="T789" s="2">
        <v>6.16</v>
      </c>
      <c r="U789" s="398">
        <v>0</v>
      </c>
      <c r="V789" s="7">
        <v>0</v>
      </c>
      <c r="W789" s="7" t="s">
        <v>660</v>
      </c>
    </row>
    <row r="790" spans="1:23" x14ac:dyDescent="0.35">
      <c r="A790" s="2">
        <v>102</v>
      </c>
      <c r="B790" s="109" t="s">
        <v>46</v>
      </c>
      <c r="C790" s="110" t="s">
        <v>47</v>
      </c>
      <c r="D790" s="2"/>
      <c r="E790" s="51"/>
      <c r="F790" s="105"/>
      <c r="H790" s="2">
        <v>1</v>
      </c>
      <c r="I790" s="2">
        <v>0</v>
      </c>
      <c r="J790" s="2">
        <v>0</v>
      </c>
      <c r="K790" s="2">
        <v>1</v>
      </c>
      <c r="L790" s="2">
        <v>0.47499999999999998</v>
      </c>
      <c r="M790" s="2">
        <v>0.52499999999999991</v>
      </c>
      <c r="N790" s="244">
        <v>3.2484999999999997E-3</v>
      </c>
      <c r="O790" s="2" t="s">
        <v>18</v>
      </c>
      <c r="P790" s="2">
        <v>50</v>
      </c>
      <c r="Q790" s="2">
        <v>0</v>
      </c>
      <c r="R790" s="2" t="s">
        <v>46</v>
      </c>
      <c r="S790" s="2"/>
      <c r="T790" s="2">
        <v>6.16</v>
      </c>
      <c r="U790" s="398">
        <v>0</v>
      </c>
      <c r="V790" s="7">
        <v>0</v>
      </c>
      <c r="W790" s="7" t="s">
        <v>660</v>
      </c>
    </row>
    <row r="791" spans="1:23" x14ac:dyDescent="0.35">
      <c r="A791" s="2">
        <v>102</v>
      </c>
      <c r="B791" s="109" t="s">
        <v>48</v>
      </c>
      <c r="C791" s="110" t="s">
        <v>49</v>
      </c>
      <c r="D791" s="2"/>
      <c r="E791" s="51"/>
      <c r="F791" s="105"/>
      <c r="H791" s="2">
        <v>1</v>
      </c>
      <c r="I791" s="2">
        <v>0</v>
      </c>
      <c r="J791" s="2">
        <v>0</v>
      </c>
      <c r="K791" s="2">
        <v>1</v>
      </c>
      <c r="L791" s="2">
        <v>0.47499999999999998</v>
      </c>
      <c r="M791" s="2">
        <v>0.52499999999999991</v>
      </c>
      <c r="N791" s="244">
        <v>3.2484999999999997E-3</v>
      </c>
      <c r="O791" s="2" t="s">
        <v>18</v>
      </c>
      <c r="P791" s="2">
        <v>50</v>
      </c>
      <c r="Q791" s="2">
        <v>0</v>
      </c>
      <c r="R791" s="2" t="s">
        <v>48</v>
      </c>
      <c r="S791" s="2"/>
      <c r="T791" s="2">
        <v>6.16</v>
      </c>
      <c r="U791" s="398">
        <v>0</v>
      </c>
      <c r="V791" s="7">
        <v>0</v>
      </c>
      <c r="W791" s="7" t="s">
        <v>660</v>
      </c>
    </row>
    <row r="792" spans="1:23" x14ac:dyDescent="0.35">
      <c r="A792" s="2">
        <v>102</v>
      </c>
      <c r="B792" s="109" t="s">
        <v>50</v>
      </c>
      <c r="C792" s="110" t="s">
        <v>51</v>
      </c>
      <c r="D792" s="2"/>
      <c r="E792" s="51"/>
      <c r="F792" s="105"/>
      <c r="H792" s="2">
        <v>1</v>
      </c>
      <c r="I792" s="2">
        <v>0</v>
      </c>
      <c r="J792" s="2">
        <v>0</v>
      </c>
      <c r="K792" s="2">
        <v>1</v>
      </c>
      <c r="L792" s="2">
        <v>0.47499999999999998</v>
      </c>
      <c r="M792" s="2">
        <v>0.52499999999999991</v>
      </c>
      <c r="N792" s="244">
        <v>3.2484999999999997E-3</v>
      </c>
      <c r="O792" s="2" t="s">
        <v>18</v>
      </c>
      <c r="P792" s="2">
        <v>50</v>
      </c>
      <c r="Q792" s="2">
        <v>0</v>
      </c>
      <c r="R792" s="2" t="s">
        <v>50</v>
      </c>
      <c r="S792" s="2"/>
      <c r="T792" s="2">
        <v>6.16</v>
      </c>
      <c r="U792" s="398">
        <v>0</v>
      </c>
      <c r="V792" s="7">
        <v>0</v>
      </c>
      <c r="W792" s="7" t="s">
        <v>660</v>
      </c>
    </row>
    <row r="793" spans="1:23" x14ac:dyDescent="0.35">
      <c r="A793" s="2">
        <v>102</v>
      </c>
      <c r="B793" s="109" t="s">
        <v>52</v>
      </c>
      <c r="C793" s="110" t="s">
        <v>53</v>
      </c>
      <c r="D793" s="2"/>
      <c r="E793" s="51"/>
      <c r="F793" s="105"/>
      <c r="H793" s="2">
        <v>1</v>
      </c>
      <c r="I793" s="2">
        <v>0</v>
      </c>
      <c r="J793" s="2">
        <v>0</v>
      </c>
      <c r="K793" s="2">
        <v>1</v>
      </c>
      <c r="L793" s="2">
        <v>0.47499999999999998</v>
      </c>
      <c r="M793" s="2">
        <v>0.52499999999999991</v>
      </c>
      <c r="N793" s="244">
        <v>3.2484999999999997E-3</v>
      </c>
      <c r="O793" s="2" t="s">
        <v>18</v>
      </c>
      <c r="P793" s="2">
        <v>50</v>
      </c>
      <c r="Q793" s="2">
        <v>0</v>
      </c>
      <c r="R793" s="2" t="s">
        <v>52</v>
      </c>
      <c r="S793" s="2"/>
      <c r="T793" s="2">
        <v>6.16</v>
      </c>
      <c r="U793" s="398">
        <v>0</v>
      </c>
      <c r="V793" s="7">
        <v>0</v>
      </c>
      <c r="W793" s="7" t="s">
        <v>660</v>
      </c>
    </row>
    <row r="794" spans="1:23" x14ac:dyDescent="0.35">
      <c r="A794" s="2">
        <v>102</v>
      </c>
      <c r="B794" s="109" t="s">
        <v>91</v>
      </c>
      <c r="C794" s="110" t="s">
        <v>92</v>
      </c>
      <c r="D794" s="2">
        <v>1600</v>
      </c>
      <c r="E794" s="51">
        <v>4.5</v>
      </c>
      <c r="F794" s="105"/>
      <c r="H794" s="2"/>
      <c r="I794" s="2">
        <v>67</v>
      </c>
      <c r="J794" s="2">
        <v>0</v>
      </c>
      <c r="K794" s="2">
        <v>0</v>
      </c>
      <c r="L794" s="2">
        <v>501.33333333333331</v>
      </c>
      <c r="M794" s="2">
        <v>548.66666666666674</v>
      </c>
      <c r="N794" s="244">
        <v>1.4964</v>
      </c>
      <c r="O794" s="2" t="s">
        <v>934</v>
      </c>
      <c r="P794" s="2">
        <v>100</v>
      </c>
      <c r="Q794" s="2" t="s">
        <v>55</v>
      </c>
      <c r="R794" s="2" t="s">
        <v>91</v>
      </c>
      <c r="S794" s="2"/>
      <c r="T794" s="2">
        <v>5</v>
      </c>
      <c r="U794" s="398">
        <v>8000</v>
      </c>
      <c r="V794" s="7">
        <v>7200</v>
      </c>
      <c r="W794" s="7" t="s">
        <v>660</v>
      </c>
    </row>
    <row r="795" spans="1:23" x14ac:dyDescent="0.35">
      <c r="A795" s="2">
        <v>102</v>
      </c>
      <c r="B795" s="109" t="s">
        <v>93</v>
      </c>
      <c r="C795" s="110" t="s">
        <v>94</v>
      </c>
      <c r="D795" s="2">
        <v>300</v>
      </c>
      <c r="E795" s="51">
        <v>4.5</v>
      </c>
      <c r="F795" s="105"/>
      <c r="H795" s="2"/>
      <c r="I795" s="2">
        <v>13</v>
      </c>
      <c r="J795" s="2">
        <v>0</v>
      </c>
      <c r="K795" s="2">
        <v>0</v>
      </c>
      <c r="L795" s="2">
        <v>94</v>
      </c>
      <c r="M795" s="2">
        <v>102.875</v>
      </c>
      <c r="N795" s="244">
        <v>0.28057500000000002</v>
      </c>
      <c r="O795" s="2" t="s">
        <v>934</v>
      </c>
      <c r="P795" s="2">
        <v>100</v>
      </c>
      <c r="Q795" s="2" t="s">
        <v>55</v>
      </c>
      <c r="R795" s="2" t="s">
        <v>93</v>
      </c>
      <c r="S795" s="2"/>
      <c r="T795" s="2">
        <v>5</v>
      </c>
      <c r="U795" s="398">
        <v>1500</v>
      </c>
      <c r="V795" s="7">
        <v>1350</v>
      </c>
      <c r="W795" s="7" t="s">
        <v>660</v>
      </c>
    </row>
    <row r="796" spans="1:23" x14ac:dyDescent="0.35">
      <c r="A796" s="2">
        <v>102</v>
      </c>
      <c r="B796" s="109" t="s">
        <v>95</v>
      </c>
      <c r="C796" s="110" t="s">
        <v>96</v>
      </c>
      <c r="D796" s="2">
        <v>1200</v>
      </c>
      <c r="E796" s="51">
        <v>4.5</v>
      </c>
      <c r="F796" s="105"/>
      <c r="H796" s="2"/>
      <c r="I796" s="2">
        <v>50</v>
      </c>
      <c r="J796" s="2">
        <v>0</v>
      </c>
      <c r="K796" s="2">
        <v>0</v>
      </c>
      <c r="L796" s="2">
        <v>376</v>
      </c>
      <c r="M796" s="2">
        <v>411.5</v>
      </c>
      <c r="N796" s="244">
        <v>1.1223000000000001</v>
      </c>
      <c r="O796" s="2" t="s">
        <v>934</v>
      </c>
      <c r="P796" s="2">
        <v>100</v>
      </c>
      <c r="Q796" s="2" t="s">
        <v>55</v>
      </c>
      <c r="R796" s="2" t="s">
        <v>95</v>
      </c>
      <c r="S796" s="2"/>
      <c r="T796" s="2">
        <v>5</v>
      </c>
      <c r="U796" s="398">
        <v>6000</v>
      </c>
      <c r="V796" s="7">
        <v>5400</v>
      </c>
      <c r="W796" s="7" t="s">
        <v>660</v>
      </c>
    </row>
    <row r="797" spans="1:23" x14ac:dyDescent="0.35">
      <c r="A797" s="2">
        <v>102</v>
      </c>
      <c r="B797" s="109" t="s">
        <v>97</v>
      </c>
      <c r="C797" s="110" t="s">
        <v>98</v>
      </c>
      <c r="D797" s="2">
        <v>2400</v>
      </c>
      <c r="E797" s="51">
        <v>4.5</v>
      </c>
      <c r="F797" s="105"/>
      <c r="H797" s="2"/>
      <c r="I797" s="2">
        <v>100</v>
      </c>
      <c r="J797" s="2">
        <v>0</v>
      </c>
      <c r="K797" s="2">
        <v>0</v>
      </c>
      <c r="L797" s="2">
        <v>752</v>
      </c>
      <c r="M797" s="2">
        <v>823</v>
      </c>
      <c r="N797" s="244">
        <v>2.2446000000000002</v>
      </c>
      <c r="O797" s="2" t="s">
        <v>934</v>
      </c>
      <c r="P797" s="2">
        <v>100</v>
      </c>
      <c r="Q797" s="2" t="s">
        <v>55</v>
      </c>
      <c r="R797" s="2" t="s">
        <v>97</v>
      </c>
      <c r="S797" s="2"/>
      <c r="T797" s="2">
        <v>5</v>
      </c>
      <c r="U797" s="398">
        <v>12000</v>
      </c>
      <c r="V797" s="7">
        <v>10800</v>
      </c>
      <c r="W797" s="7" t="s">
        <v>660</v>
      </c>
    </row>
    <row r="798" spans="1:23" x14ac:dyDescent="0.35">
      <c r="A798" s="2">
        <v>102</v>
      </c>
      <c r="B798" s="109" t="s">
        <v>99</v>
      </c>
      <c r="C798" s="110" t="s">
        <v>100</v>
      </c>
      <c r="D798" s="2">
        <v>1200</v>
      </c>
      <c r="E798" s="51">
        <v>4.5</v>
      </c>
      <c r="F798" s="105"/>
      <c r="H798" s="2"/>
      <c r="I798" s="2">
        <v>50</v>
      </c>
      <c r="J798" s="2">
        <v>0</v>
      </c>
      <c r="K798" s="2">
        <v>0</v>
      </c>
      <c r="L798" s="2">
        <v>343.5</v>
      </c>
      <c r="M798" s="2">
        <v>378</v>
      </c>
      <c r="N798" s="244">
        <v>1.2577499999999999</v>
      </c>
      <c r="O798" s="2" t="s">
        <v>934</v>
      </c>
      <c r="P798" s="2">
        <v>100</v>
      </c>
      <c r="Q798" s="2" t="s">
        <v>55</v>
      </c>
      <c r="R798" s="2" t="s">
        <v>99</v>
      </c>
      <c r="S798" s="2"/>
      <c r="T798" s="2">
        <v>5</v>
      </c>
      <c r="U798" s="398">
        <v>6000</v>
      </c>
      <c r="V798" s="7">
        <v>5400</v>
      </c>
      <c r="W798" s="7" t="s">
        <v>660</v>
      </c>
    </row>
    <row r="799" spans="1:23" x14ac:dyDescent="0.35">
      <c r="A799" s="2">
        <v>102</v>
      </c>
      <c r="B799" s="109" t="s">
        <v>101</v>
      </c>
      <c r="C799" s="110" t="s">
        <v>102</v>
      </c>
      <c r="D799" s="2">
        <v>1000</v>
      </c>
      <c r="E799" s="51">
        <v>4.5</v>
      </c>
      <c r="F799" s="105"/>
      <c r="H799" s="2"/>
      <c r="I799" s="2">
        <v>42</v>
      </c>
      <c r="J799" s="2">
        <v>0</v>
      </c>
      <c r="K799" s="2">
        <v>0</v>
      </c>
      <c r="L799" s="2">
        <v>286.25</v>
      </c>
      <c r="M799" s="2">
        <v>314.99999999999994</v>
      </c>
      <c r="N799" s="244">
        <v>1.0481249999999998</v>
      </c>
      <c r="O799" s="2" t="s">
        <v>934</v>
      </c>
      <c r="P799" s="2">
        <v>100</v>
      </c>
      <c r="Q799" s="2" t="s">
        <v>55</v>
      </c>
      <c r="R799" s="2" t="s">
        <v>101</v>
      </c>
      <c r="S799" s="2"/>
      <c r="T799" s="2">
        <v>5</v>
      </c>
      <c r="U799" s="398">
        <v>5000</v>
      </c>
      <c r="V799" s="7">
        <v>4500</v>
      </c>
      <c r="W799" s="7" t="s">
        <v>660</v>
      </c>
    </row>
    <row r="800" spans="1:23" x14ac:dyDescent="0.35">
      <c r="A800" s="2">
        <v>102</v>
      </c>
      <c r="B800" s="109" t="s">
        <v>103</v>
      </c>
      <c r="C800" s="110" t="s">
        <v>104</v>
      </c>
      <c r="D800" s="2">
        <v>200</v>
      </c>
      <c r="E800" s="51">
        <v>4.5</v>
      </c>
      <c r="F800" s="105"/>
      <c r="H800" s="2"/>
      <c r="I800" s="2">
        <v>9</v>
      </c>
      <c r="J800" s="2">
        <v>0</v>
      </c>
      <c r="K800" s="2">
        <v>0</v>
      </c>
      <c r="L800" s="2">
        <v>57.250000000000007</v>
      </c>
      <c r="M800" s="2">
        <v>63</v>
      </c>
      <c r="N800" s="244">
        <v>0.20962500000000001</v>
      </c>
      <c r="O800" s="2" t="s">
        <v>934</v>
      </c>
      <c r="P800" s="2">
        <v>100</v>
      </c>
      <c r="Q800" s="2" t="s">
        <v>55</v>
      </c>
      <c r="R800" s="2" t="s">
        <v>103</v>
      </c>
      <c r="S800" s="2"/>
      <c r="T800" s="2">
        <v>5</v>
      </c>
      <c r="U800" s="398">
        <v>1000</v>
      </c>
      <c r="V800" s="7">
        <v>900</v>
      </c>
      <c r="W800" s="7" t="s">
        <v>660</v>
      </c>
    </row>
    <row r="801" spans="1:23" x14ac:dyDescent="0.35">
      <c r="A801" s="2">
        <v>102</v>
      </c>
      <c r="B801" s="109" t="s">
        <v>105</v>
      </c>
      <c r="C801" s="110" t="s">
        <v>106</v>
      </c>
      <c r="D801" s="2">
        <v>200</v>
      </c>
      <c r="E801" s="51">
        <v>4.5</v>
      </c>
      <c r="F801" s="105"/>
      <c r="H801" s="2"/>
      <c r="I801" s="2">
        <v>9</v>
      </c>
      <c r="J801" s="2">
        <v>0</v>
      </c>
      <c r="K801" s="2">
        <v>0</v>
      </c>
      <c r="L801" s="2">
        <v>57.250000000000007</v>
      </c>
      <c r="M801" s="2">
        <v>63</v>
      </c>
      <c r="N801" s="244">
        <v>0.20962500000000001</v>
      </c>
      <c r="O801" s="2" t="s">
        <v>934</v>
      </c>
      <c r="P801" s="2">
        <v>100</v>
      </c>
      <c r="Q801" s="2" t="s">
        <v>55</v>
      </c>
      <c r="R801" s="2" t="s">
        <v>105</v>
      </c>
      <c r="S801" s="2"/>
      <c r="T801" s="2">
        <v>5</v>
      </c>
      <c r="U801" s="398">
        <v>1000</v>
      </c>
      <c r="V801" s="7">
        <v>900</v>
      </c>
      <c r="W801" s="7" t="s">
        <v>660</v>
      </c>
    </row>
    <row r="802" spans="1:23" x14ac:dyDescent="0.35">
      <c r="A802" s="2">
        <v>103</v>
      </c>
      <c r="B802" s="109" t="s">
        <v>72</v>
      </c>
      <c r="C802" s="110" t="s">
        <v>73</v>
      </c>
      <c r="D802" s="2">
        <v>1800</v>
      </c>
      <c r="E802" s="51">
        <v>6.88</v>
      </c>
      <c r="F802" s="105"/>
      <c r="H802" s="2"/>
      <c r="I802" s="2">
        <v>150</v>
      </c>
      <c r="J802" s="2">
        <v>0</v>
      </c>
      <c r="K802" s="2">
        <v>0</v>
      </c>
      <c r="L802" s="2">
        <v>877.5</v>
      </c>
      <c r="M802" s="2">
        <v>990</v>
      </c>
      <c r="N802" s="244">
        <v>4.8953952000000003</v>
      </c>
      <c r="O802" s="2" t="s">
        <v>18</v>
      </c>
      <c r="P802" s="2">
        <v>100</v>
      </c>
      <c r="Q802" s="2">
        <v>0</v>
      </c>
      <c r="R802" s="2" t="s">
        <v>72</v>
      </c>
      <c r="S802" s="2"/>
      <c r="T802" s="2">
        <v>6.16</v>
      </c>
      <c r="U802" s="398">
        <v>11088</v>
      </c>
      <c r="V802" s="7">
        <v>12384</v>
      </c>
      <c r="W802" s="7" t="s">
        <v>660</v>
      </c>
    </row>
    <row r="803" spans="1:23" x14ac:dyDescent="0.35">
      <c r="A803" s="2">
        <v>103</v>
      </c>
      <c r="B803" s="109" t="s">
        <v>74</v>
      </c>
      <c r="C803" s="110" t="s">
        <v>75</v>
      </c>
      <c r="D803" s="2">
        <v>1764</v>
      </c>
      <c r="E803" s="51">
        <v>6.88</v>
      </c>
      <c r="F803" s="105"/>
      <c r="H803" s="2"/>
      <c r="I803" s="2">
        <v>147</v>
      </c>
      <c r="J803" s="2">
        <v>0</v>
      </c>
      <c r="K803" s="2">
        <v>0</v>
      </c>
      <c r="L803" s="2">
        <v>859.94999999999993</v>
      </c>
      <c r="M803" s="2">
        <v>970.19999999999993</v>
      </c>
      <c r="N803" s="244">
        <v>4.7974872959999999</v>
      </c>
      <c r="O803" s="2" t="s">
        <v>18</v>
      </c>
      <c r="P803" s="2">
        <v>100</v>
      </c>
      <c r="Q803" s="2">
        <v>0</v>
      </c>
      <c r="R803" s="2" t="s">
        <v>74</v>
      </c>
      <c r="S803" s="2"/>
      <c r="T803" s="2">
        <v>6.16</v>
      </c>
      <c r="U803" s="398">
        <v>10866.24</v>
      </c>
      <c r="V803" s="7">
        <v>12136.32</v>
      </c>
      <c r="W803" s="7" t="s">
        <v>660</v>
      </c>
    </row>
    <row r="804" spans="1:23" x14ac:dyDescent="0.35">
      <c r="A804" s="2">
        <v>103</v>
      </c>
      <c r="B804" s="109" t="s">
        <v>76</v>
      </c>
      <c r="C804" s="110" t="s">
        <v>77</v>
      </c>
      <c r="D804" s="2">
        <v>1800</v>
      </c>
      <c r="E804" s="51">
        <v>6.88</v>
      </c>
      <c r="F804" s="105"/>
      <c r="H804" s="2"/>
      <c r="I804" s="2">
        <v>150</v>
      </c>
      <c r="J804" s="2">
        <v>0</v>
      </c>
      <c r="K804" s="2">
        <v>0</v>
      </c>
      <c r="L804" s="2">
        <v>877.5</v>
      </c>
      <c r="M804" s="2">
        <v>990</v>
      </c>
      <c r="N804" s="244">
        <v>4.8953952000000003</v>
      </c>
      <c r="O804" s="2" t="s">
        <v>18</v>
      </c>
      <c r="P804" s="2">
        <v>100</v>
      </c>
      <c r="Q804" s="2">
        <v>0</v>
      </c>
      <c r="R804" s="2" t="s">
        <v>76</v>
      </c>
      <c r="S804" s="2"/>
      <c r="T804" s="2">
        <v>6.16</v>
      </c>
      <c r="U804" s="398">
        <v>11088</v>
      </c>
      <c r="V804" s="7">
        <v>12384</v>
      </c>
      <c r="W804" s="7" t="s">
        <v>660</v>
      </c>
    </row>
    <row r="805" spans="1:23" x14ac:dyDescent="0.35">
      <c r="A805" s="2">
        <v>103</v>
      </c>
      <c r="B805" s="109" t="s">
        <v>80</v>
      </c>
      <c r="C805" s="110" t="s">
        <v>81</v>
      </c>
      <c r="D805" s="2">
        <v>1800</v>
      </c>
      <c r="E805" s="51">
        <v>6.88</v>
      </c>
      <c r="F805" s="105"/>
      <c r="H805" s="2"/>
      <c r="I805" s="2">
        <v>150</v>
      </c>
      <c r="J805" s="2">
        <v>0</v>
      </c>
      <c r="K805" s="2">
        <v>0</v>
      </c>
      <c r="L805" s="2">
        <v>787.5</v>
      </c>
      <c r="M805" s="2">
        <v>900</v>
      </c>
      <c r="N805" s="244">
        <v>4.8093000000000004</v>
      </c>
      <c r="O805" s="2" t="s">
        <v>18</v>
      </c>
      <c r="P805" s="2">
        <v>100</v>
      </c>
      <c r="Q805" s="2">
        <v>0</v>
      </c>
      <c r="R805" s="2" t="s">
        <v>80</v>
      </c>
      <c r="S805" s="2"/>
      <c r="T805" s="2">
        <v>6.16</v>
      </c>
      <c r="U805" s="398">
        <v>11088</v>
      </c>
      <c r="V805" s="7">
        <v>12384</v>
      </c>
      <c r="W805" s="7" t="s">
        <v>660</v>
      </c>
    </row>
    <row r="806" spans="1:23" x14ac:dyDescent="0.35">
      <c r="A806" s="2">
        <v>103</v>
      </c>
      <c r="B806" s="109" t="s">
        <v>82</v>
      </c>
      <c r="C806" s="110" t="s">
        <v>83</v>
      </c>
      <c r="D806" s="2">
        <v>1704</v>
      </c>
      <c r="E806" s="51">
        <v>6.88</v>
      </c>
      <c r="F806" s="105"/>
      <c r="H806" s="2"/>
      <c r="I806" s="2">
        <v>142</v>
      </c>
      <c r="J806" s="2">
        <v>0</v>
      </c>
      <c r="K806" s="2">
        <v>0</v>
      </c>
      <c r="L806" s="2">
        <v>745.5</v>
      </c>
      <c r="M806" s="2">
        <v>852</v>
      </c>
      <c r="N806" s="244">
        <v>4.5528040000000001</v>
      </c>
      <c r="O806" s="2" t="s">
        <v>18</v>
      </c>
      <c r="P806" s="2">
        <v>100</v>
      </c>
      <c r="Q806" s="2">
        <v>0</v>
      </c>
      <c r="R806" s="2" t="s">
        <v>82</v>
      </c>
      <c r="S806" s="2"/>
      <c r="T806" s="2">
        <v>6.16</v>
      </c>
      <c r="U806" s="398">
        <v>10496.64</v>
      </c>
      <c r="V806" s="7">
        <v>11723.52</v>
      </c>
      <c r="W806" s="7" t="s">
        <v>660</v>
      </c>
    </row>
    <row r="807" spans="1:23" x14ac:dyDescent="0.35">
      <c r="A807" s="2">
        <v>103</v>
      </c>
      <c r="B807" s="109" t="s">
        <v>84</v>
      </c>
      <c r="C807" s="110" t="s">
        <v>85</v>
      </c>
      <c r="D807" s="2">
        <v>1800</v>
      </c>
      <c r="E807" s="51">
        <v>6.88</v>
      </c>
      <c r="F807" s="105"/>
      <c r="H807" s="2"/>
      <c r="I807" s="2">
        <v>150</v>
      </c>
      <c r="J807" s="2">
        <v>0</v>
      </c>
      <c r="K807" s="2">
        <v>0</v>
      </c>
      <c r="L807" s="2">
        <v>787.5</v>
      </c>
      <c r="M807" s="2">
        <v>900</v>
      </c>
      <c r="N807" s="244">
        <v>4.8093000000000004</v>
      </c>
      <c r="O807" s="2" t="s">
        <v>18</v>
      </c>
      <c r="P807" s="2">
        <v>100</v>
      </c>
      <c r="Q807" s="2">
        <v>0</v>
      </c>
      <c r="R807" s="2" t="s">
        <v>84</v>
      </c>
      <c r="S807" s="2"/>
      <c r="T807" s="2">
        <v>6.16</v>
      </c>
      <c r="U807" s="398">
        <v>11088</v>
      </c>
      <c r="V807" s="7">
        <v>12384</v>
      </c>
      <c r="W807" s="7" t="s">
        <v>660</v>
      </c>
    </row>
    <row r="808" spans="1:23" x14ac:dyDescent="0.35">
      <c r="A808" s="2">
        <v>103</v>
      </c>
      <c r="B808" s="109" t="s">
        <v>91</v>
      </c>
      <c r="C808" s="110" t="s">
        <v>92</v>
      </c>
      <c r="D808" s="2">
        <v>960</v>
      </c>
      <c r="E808" s="51">
        <v>5.78</v>
      </c>
      <c r="F808" s="105"/>
      <c r="H808" s="2">
        <v>80</v>
      </c>
      <c r="I808" s="2">
        <v>40</v>
      </c>
      <c r="J808" s="2">
        <v>0</v>
      </c>
      <c r="K808" s="2">
        <v>4</v>
      </c>
      <c r="L808" s="2">
        <v>325.86666666666667</v>
      </c>
      <c r="M808" s="2">
        <v>356.63333333333338</v>
      </c>
      <c r="N808" s="244">
        <v>0.97266000000000008</v>
      </c>
      <c r="O808" s="2" t="s">
        <v>934</v>
      </c>
      <c r="P808" s="2">
        <v>100</v>
      </c>
      <c r="Q808" s="2" t="s">
        <v>55</v>
      </c>
      <c r="R808" s="2" t="s">
        <v>91</v>
      </c>
      <c r="S808" s="2"/>
      <c r="T808" s="2">
        <v>5</v>
      </c>
      <c r="U808" s="398">
        <v>4800</v>
      </c>
      <c r="V808" s="7">
        <v>5548.8</v>
      </c>
      <c r="W808" s="7" t="s">
        <v>660</v>
      </c>
    </row>
    <row r="809" spans="1:23" x14ac:dyDescent="0.35">
      <c r="A809" s="2">
        <v>103</v>
      </c>
      <c r="B809" s="109" t="s">
        <v>91</v>
      </c>
      <c r="C809" s="110" t="s">
        <v>92</v>
      </c>
      <c r="D809" s="2">
        <v>960</v>
      </c>
      <c r="E809" s="51">
        <v>5.78</v>
      </c>
      <c r="F809" s="105"/>
      <c r="H809" s="2">
        <v>80</v>
      </c>
      <c r="I809" s="2">
        <v>40</v>
      </c>
      <c r="J809" s="2">
        <v>0</v>
      </c>
      <c r="K809" s="2">
        <v>4</v>
      </c>
      <c r="L809" s="2">
        <v>325.86666666666667</v>
      </c>
      <c r="M809" s="2">
        <v>356.63333333333338</v>
      </c>
      <c r="N809" s="244">
        <v>0.97266000000000008</v>
      </c>
      <c r="O809" s="2" t="s">
        <v>934</v>
      </c>
      <c r="P809" s="2">
        <v>100</v>
      </c>
      <c r="Q809" s="2" t="s">
        <v>55</v>
      </c>
      <c r="R809" s="2" t="s">
        <v>91</v>
      </c>
      <c r="S809" s="2"/>
      <c r="T809" s="2">
        <v>5</v>
      </c>
      <c r="U809" s="398">
        <v>4800</v>
      </c>
      <c r="V809" s="7">
        <v>5548.8</v>
      </c>
      <c r="W809" s="7" t="s">
        <v>660</v>
      </c>
    </row>
    <row r="810" spans="1:23" x14ac:dyDescent="0.35">
      <c r="A810" s="2">
        <v>103</v>
      </c>
      <c r="B810" s="109" t="s">
        <v>93</v>
      </c>
      <c r="C810" s="110" t="s">
        <v>94</v>
      </c>
      <c r="D810" s="2">
        <v>960</v>
      </c>
      <c r="E810" s="51">
        <v>5.78</v>
      </c>
      <c r="F810" s="105"/>
      <c r="H810" s="2">
        <v>80</v>
      </c>
      <c r="I810" s="2">
        <v>40</v>
      </c>
      <c r="J810" s="2">
        <v>0</v>
      </c>
      <c r="K810" s="2">
        <v>4</v>
      </c>
      <c r="L810" s="2">
        <v>325.86666666666667</v>
      </c>
      <c r="M810" s="2">
        <v>356.63333333333338</v>
      </c>
      <c r="N810" s="244">
        <v>0.97266000000000008</v>
      </c>
      <c r="O810" s="2" t="s">
        <v>934</v>
      </c>
      <c r="P810" s="2">
        <v>100</v>
      </c>
      <c r="Q810" s="2" t="s">
        <v>55</v>
      </c>
      <c r="R810" s="2" t="s">
        <v>93</v>
      </c>
      <c r="S810" s="2"/>
      <c r="T810" s="2">
        <v>5</v>
      </c>
      <c r="U810" s="398">
        <v>4800</v>
      </c>
      <c r="V810" s="7">
        <v>5548.8</v>
      </c>
      <c r="W810" s="7" t="s">
        <v>660</v>
      </c>
    </row>
    <row r="811" spans="1:23" x14ac:dyDescent="0.35">
      <c r="A811" s="2">
        <v>103</v>
      </c>
      <c r="B811" s="109" t="s">
        <v>99</v>
      </c>
      <c r="C811" s="110" t="s">
        <v>100</v>
      </c>
      <c r="D811" s="2">
        <v>960</v>
      </c>
      <c r="E811" s="51">
        <v>5.78</v>
      </c>
      <c r="F811" s="105"/>
      <c r="H811" s="2">
        <v>80</v>
      </c>
      <c r="I811" s="2">
        <v>40</v>
      </c>
      <c r="J811" s="2">
        <v>0</v>
      </c>
      <c r="K811" s="2">
        <v>4</v>
      </c>
      <c r="L811" s="2">
        <v>297.70000000000005</v>
      </c>
      <c r="M811" s="2">
        <v>327.60000000000002</v>
      </c>
      <c r="N811" s="244">
        <v>1.0900500000000002</v>
      </c>
      <c r="O811" s="2" t="s">
        <v>934</v>
      </c>
      <c r="P811" s="2">
        <v>100</v>
      </c>
      <c r="Q811" s="2" t="s">
        <v>55</v>
      </c>
      <c r="R811" s="2" t="s">
        <v>99</v>
      </c>
      <c r="S811" s="2"/>
      <c r="T811" s="2">
        <v>5</v>
      </c>
      <c r="U811" s="398">
        <v>4800</v>
      </c>
      <c r="V811" s="7">
        <v>5548.8</v>
      </c>
      <c r="W811" s="7" t="s">
        <v>660</v>
      </c>
    </row>
    <row r="812" spans="1:23" x14ac:dyDescent="0.35">
      <c r="A812" s="2">
        <v>103</v>
      </c>
      <c r="B812" s="109" t="s">
        <v>101</v>
      </c>
      <c r="C812" s="110" t="s">
        <v>102</v>
      </c>
      <c r="D812" s="2">
        <v>960</v>
      </c>
      <c r="E812" s="51">
        <v>5.78</v>
      </c>
      <c r="F812" s="105"/>
      <c r="H812" s="2">
        <v>80</v>
      </c>
      <c r="I812" s="2">
        <v>40</v>
      </c>
      <c r="J812" s="2">
        <v>0</v>
      </c>
      <c r="K812" s="2">
        <v>4</v>
      </c>
      <c r="L812" s="2">
        <v>297.70000000000005</v>
      </c>
      <c r="M812" s="2">
        <v>327.60000000000002</v>
      </c>
      <c r="N812" s="244">
        <v>1.0900500000000002</v>
      </c>
      <c r="O812" s="2" t="s">
        <v>934</v>
      </c>
      <c r="P812" s="2">
        <v>100</v>
      </c>
      <c r="Q812" s="2" t="s">
        <v>55</v>
      </c>
      <c r="R812" s="2" t="s">
        <v>101</v>
      </c>
      <c r="S812" s="2"/>
      <c r="T812" s="2">
        <v>5</v>
      </c>
      <c r="U812" s="398">
        <v>4800</v>
      </c>
      <c r="V812" s="7">
        <v>5548.8</v>
      </c>
      <c r="W812" s="7" t="s">
        <v>660</v>
      </c>
    </row>
    <row r="813" spans="1:23" x14ac:dyDescent="0.35">
      <c r="A813" s="2">
        <v>103</v>
      </c>
      <c r="B813" s="109" t="s">
        <v>103</v>
      </c>
      <c r="C813" s="110" t="s">
        <v>104</v>
      </c>
      <c r="D813" s="2">
        <v>960</v>
      </c>
      <c r="E813" s="51">
        <v>5.78</v>
      </c>
      <c r="F813" s="105"/>
      <c r="H813" s="2">
        <v>80</v>
      </c>
      <c r="I813" s="2">
        <v>40</v>
      </c>
      <c r="J813" s="2">
        <v>0</v>
      </c>
      <c r="K813" s="2">
        <v>4</v>
      </c>
      <c r="L813" s="2">
        <v>297.70000000000005</v>
      </c>
      <c r="M813" s="2">
        <v>327.60000000000002</v>
      </c>
      <c r="N813" s="244">
        <v>1.0900500000000002</v>
      </c>
      <c r="O813" s="2" t="s">
        <v>934</v>
      </c>
      <c r="P813" s="2">
        <v>100</v>
      </c>
      <c r="Q813" s="2" t="s">
        <v>55</v>
      </c>
      <c r="R813" s="2" t="s">
        <v>103</v>
      </c>
      <c r="S813" s="2"/>
      <c r="T813" s="2">
        <v>5</v>
      </c>
      <c r="U813" s="398">
        <v>4800</v>
      </c>
      <c r="V813" s="7">
        <v>5548.8</v>
      </c>
      <c r="W813" s="7" t="s">
        <v>660</v>
      </c>
    </row>
    <row r="814" spans="1:23" x14ac:dyDescent="0.35">
      <c r="A814" s="2">
        <v>104</v>
      </c>
      <c r="B814" s="109" t="s">
        <v>395</v>
      </c>
      <c r="C814" s="110" t="s">
        <v>1362</v>
      </c>
      <c r="D814" s="2">
        <v>48</v>
      </c>
      <c r="E814" s="51">
        <v>7.2389660000000005</v>
      </c>
      <c r="F814" s="105"/>
      <c r="H814" s="2"/>
      <c r="I814" s="2" t="s">
        <v>861</v>
      </c>
      <c r="J814" s="2" t="s">
        <v>861</v>
      </c>
      <c r="K814" s="2">
        <v>0</v>
      </c>
      <c r="L814" s="2" t="s">
        <v>861</v>
      </c>
      <c r="M814" s="2" t="s">
        <v>861</v>
      </c>
      <c r="N814" s="244" t="s">
        <v>861</v>
      </c>
      <c r="O814" s="2" t="s">
        <v>18</v>
      </c>
      <c r="P814" s="2">
        <v>0</v>
      </c>
      <c r="Q814" s="2">
        <v>0</v>
      </c>
      <c r="R814" s="2">
        <v>0</v>
      </c>
      <c r="S814" s="2"/>
      <c r="T814" s="2">
        <v>0</v>
      </c>
      <c r="U814" s="398">
        <v>0</v>
      </c>
      <c r="V814" s="7">
        <v>347.47036800000001</v>
      </c>
      <c r="W814" s="7" t="s">
        <v>660</v>
      </c>
    </row>
    <row r="815" spans="1:23" x14ac:dyDescent="0.35">
      <c r="A815" s="2">
        <v>104</v>
      </c>
      <c r="B815" s="109" t="s">
        <v>72</v>
      </c>
      <c r="C815" s="110" t="s">
        <v>73</v>
      </c>
      <c r="D815" s="2">
        <v>48</v>
      </c>
      <c r="E815" s="51">
        <v>6.7562179999999996</v>
      </c>
      <c r="F815" s="105"/>
      <c r="H815" s="2"/>
      <c r="I815" s="2">
        <v>4</v>
      </c>
      <c r="J815" s="2">
        <v>0</v>
      </c>
      <c r="K815" s="2">
        <v>0</v>
      </c>
      <c r="L815" s="2">
        <v>23.4</v>
      </c>
      <c r="M815" s="2">
        <v>26.4</v>
      </c>
      <c r="N815" s="244">
        <v>0.13054387200000001</v>
      </c>
      <c r="O815" s="2" t="s">
        <v>18</v>
      </c>
      <c r="P815" s="2">
        <v>100</v>
      </c>
      <c r="Q815" s="2">
        <v>0</v>
      </c>
      <c r="R815" s="2" t="s">
        <v>72</v>
      </c>
      <c r="S815" s="2"/>
      <c r="T815" s="2">
        <v>6.16</v>
      </c>
      <c r="U815" s="398">
        <v>295.68</v>
      </c>
      <c r="V815" s="7">
        <v>324.29846399999997</v>
      </c>
      <c r="W815" s="7" t="s">
        <v>660</v>
      </c>
    </row>
    <row r="816" spans="1:23" x14ac:dyDescent="0.35">
      <c r="A816" s="2">
        <v>104</v>
      </c>
      <c r="B816" s="109" t="s">
        <v>74</v>
      </c>
      <c r="C816" s="110" t="s">
        <v>75</v>
      </c>
      <c r="D816" s="2">
        <v>48</v>
      </c>
      <c r="E816" s="51">
        <v>6.7562179999999996</v>
      </c>
      <c r="F816" s="105"/>
      <c r="H816" s="2"/>
      <c r="I816" s="2">
        <v>4</v>
      </c>
      <c r="J816" s="2">
        <v>0</v>
      </c>
      <c r="K816" s="2">
        <v>0</v>
      </c>
      <c r="L816" s="2">
        <v>23.4</v>
      </c>
      <c r="M816" s="2">
        <v>26.4</v>
      </c>
      <c r="N816" s="244">
        <v>0.13054387200000001</v>
      </c>
      <c r="O816" s="2" t="s">
        <v>18</v>
      </c>
      <c r="P816" s="2">
        <v>100</v>
      </c>
      <c r="Q816" s="2">
        <v>0</v>
      </c>
      <c r="R816" s="2" t="s">
        <v>74</v>
      </c>
      <c r="S816" s="2"/>
      <c r="T816" s="2">
        <v>6.16</v>
      </c>
      <c r="U816" s="398">
        <v>295.68</v>
      </c>
      <c r="V816" s="7">
        <v>324.29846399999997</v>
      </c>
      <c r="W816" s="7" t="s">
        <v>660</v>
      </c>
    </row>
    <row r="817" spans="1:23" x14ac:dyDescent="0.35">
      <c r="A817" s="2">
        <v>104</v>
      </c>
      <c r="B817" s="109" t="s">
        <v>76</v>
      </c>
      <c r="C817" s="110" t="s">
        <v>77</v>
      </c>
      <c r="D817" s="2">
        <v>48</v>
      </c>
      <c r="E817" s="51">
        <v>6.7562179999999996</v>
      </c>
      <c r="F817" s="105"/>
      <c r="H817" s="2"/>
      <c r="I817" s="2">
        <v>4</v>
      </c>
      <c r="J817" s="2">
        <v>0</v>
      </c>
      <c r="K817" s="2">
        <v>0</v>
      </c>
      <c r="L817" s="2">
        <v>23.4</v>
      </c>
      <c r="M817" s="2">
        <v>26.4</v>
      </c>
      <c r="N817" s="244">
        <v>0.13054387200000001</v>
      </c>
      <c r="O817" s="2" t="s">
        <v>18</v>
      </c>
      <c r="P817" s="2">
        <v>100</v>
      </c>
      <c r="Q817" s="2">
        <v>0</v>
      </c>
      <c r="R817" s="2" t="s">
        <v>76</v>
      </c>
      <c r="S817" s="2"/>
      <c r="T817" s="2">
        <v>6.16</v>
      </c>
      <c r="U817" s="398">
        <v>295.68</v>
      </c>
      <c r="V817" s="7">
        <v>324.29846399999997</v>
      </c>
      <c r="W817" s="7" t="s">
        <v>660</v>
      </c>
    </row>
    <row r="818" spans="1:23" x14ac:dyDescent="0.35">
      <c r="A818" s="2">
        <v>104</v>
      </c>
      <c r="B818" s="109" t="s">
        <v>78</v>
      </c>
      <c r="C818" s="110" t="s">
        <v>79</v>
      </c>
      <c r="D818" s="2">
        <v>48</v>
      </c>
      <c r="E818" s="51">
        <v>6.7562179999999996</v>
      </c>
      <c r="F818" s="105"/>
      <c r="H818" s="2"/>
      <c r="I818" s="2">
        <v>4</v>
      </c>
      <c r="J818" s="2">
        <v>0</v>
      </c>
      <c r="K818" s="2">
        <v>0</v>
      </c>
      <c r="L818" s="2">
        <v>23.4</v>
      </c>
      <c r="M818" s="2">
        <v>26.4</v>
      </c>
      <c r="N818" s="244">
        <v>0.13054387200000001</v>
      </c>
      <c r="O818" s="2" t="s">
        <v>18</v>
      </c>
      <c r="P818" s="2">
        <v>100</v>
      </c>
      <c r="Q818" s="2">
        <v>0</v>
      </c>
      <c r="R818" s="2" t="s">
        <v>78</v>
      </c>
      <c r="S818" s="2"/>
      <c r="T818" s="2">
        <v>6.16</v>
      </c>
      <c r="U818" s="398">
        <v>295.68</v>
      </c>
      <c r="V818" s="7">
        <v>324.29846399999997</v>
      </c>
      <c r="W818" s="7" t="s">
        <v>660</v>
      </c>
    </row>
    <row r="819" spans="1:23" x14ac:dyDescent="0.35">
      <c r="A819" s="2">
        <v>104</v>
      </c>
      <c r="B819" s="109" t="s">
        <v>17</v>
      </c>
      <c r="C819" s="110" t="s">
        <v>20</v>
      </c>
      <c r="D819" s="2">
        <v>48</v>
      </c>
      <c r="E819" s="51">
        <v>6.2734700000000005</v>
      </c>
      <c r="F819" s="105"/>
      <c r="H819" s="2"/>
      <c r="I819" s="2">
        <v>4</v>
      </c>
      <c r="J819" s="2">
        <v>0</v>
      </c>
      <c r="K819" s="2">
        <v>0</v>
      </c>
      <c r="L819" s="2">
        <v>20.16</v>
      </c>
      <c r="M819" s="2">
        <v>23.16</v>
      </c>
      <c r="N819" s="244">
        <v>0.112332</v>
      </c>
      <c r="O819" s="2" t="s">
        <v>18</v>
      </c>
      <c r="P819" s="2">
        <v>50</v>
      </c>
      <c r="Q819" s="2">
        <v>0</v>
      </c>
      <c r="R819" s="2" t="s">
        <v>17</v>
      </c>
      <c r="S819" s="2"/>
      <c r="T819" s="2">
        <v>5.23</v>
      </c>
      <c r="U819" s="398">
        <v>251.04000000000002</v>
      </c>
      <c r="V819" s="7">
        <v>301.12656000000004</v>
      </c>
      <c r="W819" s="7" t="s">
        <v>660</v>
      </c>
    </row>
    <row r="820" spans="1:23" x14ac:dyDescent="0.35">
      <c r="A820" s="2">
        <v>104</v>
      </c>
      <c r="B820" s="109" t="s">
        <v>23</v>
      </c>
      <c r="C820" s="110" t="s">
        <v>24</v>
      </c>
      <c r="D820" s="2">
        <v>48</v>
      </c>
      <c r="E820" s="51">
        <v>6.2734700000000005</v>
      </c>
      <c r="F820" s="105"/>
      <c r="H820" s="2"/>
      <c r="I820" s="2">
        <v>4</v>
      </c>
      <c r="J820" s="2">
        <v>0</v>
      </c>
      <c r="K820" s="2">
        <v>0</v>
      </c>
      <c r="L820" s="2">
        <v>20.16</v>
      </c>
      <c r="M820" s="2">
        <v>23.16</v>
      </c>
      <c r="N820" s="244">
        <v>0.112332</v>
      </c>
      <c r="O820" s="2" t="s">
        <v>18</v>
      </c>
      <c r="P820" s="2">
        <v>50</v>
      </c>
      <c r="Q820" s="2">
        <v>0</v>
      </c>
      <c r="R820" s="2" t="s">
        <v>23</v>
      </c>
      <c r="S820" s="2"/>
      <c r="T820" s="2">
        <v>5.23</v>
      </c>
      <c r="U820" s="398">
        <v>251.04000000000002</v>
      </c>
      <c r="V820" s="7">
        <v>301.12656000000004</v>
      </c>
      <c r="W820" s="7" t="s">
        <v>660</v>
      </c>
    </row>
    <row r="821" spans="1:23" x14ac:dyDescent="0.35">
      <c r="A821" s="2">
        <v>104</v>
      </c>
      <c r="B821" s="109" t="s">
        <v>25</v>
      </c>
      <c r="C821" s="110" t="s">
        <v>26</v>
      </c>
      <c r="D821" s="2">
        <v>48</v>
      </c>
      <c r="E821" s="51">
        <v>6.2734700000000005</v>
      </c>
      <c r="F821" s="105"/>
      <c r="H821" s="2"/>
      <c r="I821" s="2">
        <v>4</v>
      </c>
      <c r="J821" s="2">
        <v>0</v>
      </c>
      <c r="K821" s="2">
        <v>0</v>
      </c>
      <c r="L821" s="2">
        <v>20.16</v>
      </c>
      <c r="M821" s="2">
        <v>23.16</v>
      </c>
      <c r="N821" s="244">
        <v>0.112332</v>
      </c>
      <c r="O821" s="2" t="s">
        <v>18</v>
      </c>
      <c r="P821" s="2">
        <v>50</v>
      </c>
      <c r="Q821" s="2">
        <v>0</v>
      </c>
      <c r="R821" s="2" t="s">
        <v>25</v>
      </c>
      <c r="S821" s="2"/>
      <c r="T821" s="2">
        <v>5.23</v>
      </c>
      <c r="U821" s="398">
        <v>251.04000000000002</v>
      </c>
      <c r="V821" s="7">
        <v>301.12656000000004</v>
      </c>
      <c r="W821" s="7" t="s">
        <v>660</v>
      </c>
    </row>
    <row r="822" spans="1:23" x14ac:dyDescent="0.35">
      <c r="A822" s="2">
        <v>104</v>
      </c>
      <c r="B822" s="109" t="s">
        <v>27</v>
      </c>
      <c r="C822" s="110" t="s">
        <v>28</v>
      </c>
      <c r="D822" s="2">
        <v>48</v>
      </c>
      <c r="E822" s="51">
        <v>6.2734700000000005</v>
      </c>
      <c r="F822" s="105"/>
      <c r="H822" s="2"/>
      <c r="I822" s="2">
        <v>4</v>
      </c>
      <c r="J822" s="2">
        <v>0</v>
      </c>
      <c r="K822" s="2">
        <v>0</v>
      </c>
      <c r="L822" s="2">
        <v>20.16</v>
      </c>
      <c r="M822" s="2">
        <v>23.16</v>
      </c>
      <c r="N822" s="244">
        <v>0.112332</v>
      </c>
      <c r="O822" s="2" t="s">
        <v>18</v>
      </c>
      <c r="P822" s="2">
        <v>50</v>
      </c>
      <c r="Q822" s="2">
        <v>0</v>
      </c>
      <c r="R822" s="2" t="s">
        <v>27</v>
      </c>
      <c r="S822" s="2"/>
      <c r="T822" s="2">
        <v>5.23</v>
      </c>
      <c r="U822" s="398">
        <v>251.04000000000002</v>
      </c>
      <c r="V822" s="7">
        <v>301.12656000000004</v>
      </c>
      <c r="W822" s="7" t="s">
        <v>660</v>
      </c>
    </row>
    <row r="823" spans="1:23" x14ac:dyDescent="0.35">
      <c r="A823" s="2">
        <v>104</v>
      </c>
      <c r="B823" s="109" t="s">
        <v>29</v>
      </c>
      <c r="C823" s="110" t="s">
        <v>31</v>
      </c>
      <c r="D823" s="2">
        <v>48</v>
      </c>
      <c r="E823" s="51">
        <v>6.2734700000000005</v>
      </c>
      <c r="F823" s="105"/>
      <c r="H823" s="2"/>
      <c r="I823" s="2">
        <v>4</v>
      </c>
      <c r="J823" s="2">
        <v>0</v>
      </c>
      <c r="K823" s="2">
        <v>0</v>
      </c>
      <c r="L823" s="2">
        <v>19.12</v>
      </c>
      <c r="M823" s="2">
        <v>21</v>
      </c>
      <c r="N823" s="244">
        <v>0.112332</v>
      </c>
      <c r="O823" s="2" t="s">
        <v>18</v>
      </c>
      <c r="P823" s="2">
        <v>50</v>
      </c>
      <c r="Q823" s="2">
        <v>0</v>
      </c>
      <c r="R823" s="2" t="s">
        <v>29</v>
      </c>
      <c r="S823" s="2"/>
      <c r="T823" s="2">
        <v>5.23</v>
      </c>
      <c r="U823" s="398">
        <v>251.04000000000002</v>
      </c>
      <c r="V823" s="7">
        <v>301.12656000000004</v>
      </c>
      <c r="W823" s="7" t="s">
        <v>660</v>
      </c>
    </row>
    <row r="824" spans="1:23" x14ac:dyDescent="0.35">
      <c r="A824" s="2">
        <v>104</v>
      </c>
      <c r="B824" s="109" t="s">
        <v>32</v>
      </c>
      <c r="C824" s="110" t="s">
        <v>33</v>
      </c>
      <c r="D824" s="2">
        <v>48</v>
      </c>
      <c r="E824" s="51">
        <v>6.2734700000000005</v>
      </c>
      <c r="F824" s="105"/>
      <c r="H824" s="2"/>
      <c r="I824" s="2">
        <v>4</v>
      </c>
      <c r="J824" s="2">
        <v>0</v>
      </c>
      <c r="K824" s="2">
        <v>0</v>
      </c>
      <c r="L824" s="2">
        <v>19.12</v>
      </c>
      <c r="M824" s="2">
        <v>21</v>
      </c>
      <c r="N824" s="244">
        <v>0.112332</v>
      </c>
      <c r="O824" s="2" t="s">
        <v>18</v>
      </c>
      <c r="P824" s="2">
        <v>50</v>
      </c>
      <c r="Q824" s="2">
        <v>0</v>
      </c>
      <c r="R824" s="2" t="s">
        <v>32</v>
      </c>
      <c r="S824" s="2"/>
      <c r="T824" s="2">
        <v>5.23</v>
      </c>
      <c r="U824" s="398">
        <v>251.04000000000002</v>
      </c>
      <c r="V824" s="7">
        <v>301.12656000000004</v>
      </c>
      <c r="W824" s="7" t="s">
        <v>660</v>
      </c>
    </row>
    <row r="825" spans="1:23" x14ac:dyDescent="0.35">
      <c r="A825" s="2">
        <v>104</v>
      </c>
      <c r="B825" s="109" t="s">
        <v>34</v>
      </c>
      <c r="C825" s="110" t="s">
        <v>35</v>
      </c>
      <c r="D825" s="2">
        <v>48</v>
      </c>
      <c r="E825" s="51">
        <v>6.2734700000000005</v>
      </c>
      <c r="F825" s="105"/>
      <c r="H825" s="2"/>
      <c r="I825" s="2">
        <v>4</v>
      </c>
      <c r="J825" s="2">
        <v>0</v>
      </c>
      <c r="K825" s="2">
        <v>0</v>
      </c>
      <c r="L825" s="2">
        <v>19.12</v>
      </c>
      <c r="M825" s="2">
        <v>21</v>
      </c>
      <c r="N825" s="244">
        <v>0.112332</v>
      </c>
      <c r="O825" s="2" t="s">
        <v>18</v>
      </c>
      <c r="P825" s="2">
        <v>50</v>
      </c>
      <c r="Q825" s="2">
        <v>0</v>
      </c>
      <c r="R825" s="2" t="s">
        <v>34</v>
      </c>
      <c r="S825" s="2"/>
      <c r="T825" s="2">
        <v>5.23</v>
      </c>
      <c r="U825" s="398">
        <v>251.04000000000002</v>
      </c>
      <c r="V825" s="7">
        <v>301.12656000000004</v>
      </c>
      <c r="W825" s="7" t="s">
        <v>660</v>
      </c>
    </row>
    <row r="826" spans="1:23" x14ac:dyDescent="0.35">
      <c r="A826" s="2">
        <v>104</v>
      </c>
      <c r="B826" s="109" t="s">
        <v>36</v>
      </c>
      <c r="C826" s="110" t="s">
        <v>37</v>
      </c>
      <c r="D826" s="2">
        <v>48</v>
      </c>
      <c r="E826" s="51">
        <v>6.2734700000000005</v>
      </c>
      <c r="F826" s="105"/>
      <c r="H826" s="2"/>
      <c r="I826" s="2">
        <v>4</v>
      </c>
      <c r="J826" s="2">
        <v>0</v>
      </c>
      <c r="K826" s="2">
        <v>0</v>
      </c>
      <c r="L826" s="2">
        <v>19.12</v>
      </c>
      <c r="M826" s="2">
        <v>21</v>
      </c>
      <c r="N826" s="244">
        <v>0.112332</v>
      </c>
      <c r="O826" s="2" t="s">
        <v>18</v>
      </c>
      <c r="P826" s="2">
        <v>50</v>
      </c>
      <c r="Q826" s="2">
        <v>0</v>
      </c>
      <c r="R826" s="2" t="s">
        <v>36</v>
      </c>
      <c r="S826" s="2"/>
      <c r="T826" s="2">
        <v>5.23</v>
      </c>
      <c r="U826" s="398">
        <v>251.04000000000002</v>
      </c>
      <c r="V826" s="7">
        <v>301.12656000000004</v>
      </c>
      <c r="W826" s="7" t="s">
        <v>660</v>
      </c>
    </row>
    <row r="827" spans="1:23" x14ac:dyDescent="0.35">
      <c r="A827" s="2">
        <v>104</v>
      </c>
      <c r="B827" s="109" t="s">
        <v>80</v>
      </c>
      <c r="C827" s="110" t="s">
        <v>81</v>
      </c>
      <c r="D827" s="2">
        <v>48</v>
      </c>
      <c r="E827" s="51">
        <v>6.7562179999999996</v>
      </c>
      <c r="F827" s="105"/>
      <c r="H827" s="2"/>
      <c r="I827" s="2">
        <v>4</v>
      </c>
      <c r="J827" s="2">
        <v>0</v>
      </c>
      <c r="K827" s="2">
        <v>0</v>
      </c>
      <c r="L827" s="2">
        <v>21</v>
      </c>
      <c r="M827" s="2">
        <v>24</v>
      </c>
      <c r="N827" s="244">
        <v>0.128248</v>
      </c>
      <c r="O827" s="2" t="s">
        <v>18</v>
      </c>
      <c r="P827" s="2">
        <v>100</v>
      </c>
      <c r="Q827" s="2">
        <v>0</v>
      </c>
      <c r="R827" s="2" t="s">
        <v>80</v>
      </c>
      <c r="S827" s="2"/>
      <c r="T827" s="2">
        <v>6.16</v>
      </c>
      <c r="U827" s="398">
        <v>295.68</v>
      </c>
      <c r="V827" s="7">
        <v>324.29846399999997</v>
      </c>
      <c r="W827" s="7" t="s">
        <v>660</v>
      </c>
    </row>
    <row r="828" spans="1:23" x14ac:dyDescent="0.35">
      <c r="A828" s="2">
        <v>104</v>
      </c>
      <c r="B828" s="109" t="s">
        <v>82</v>
      </c>
      <c r="C828" s="110" t="s">
        <v>83</v>
      </c>
      <c r="D828" s="2">
        <v>48</v>
      </c>
      <c r="E828" s="51">
        <v>6.7562179999999996</v>
      </c>
      <c r="F828" s="105"/>
      <c r="H828" s="2"/>
      <c r="I828" s="2">
        <v>4</v>
      </c>
      <c r="J828" s="2">
        <v>0</v>
      </c>
      <c r="K828" s="2">
        <v>0</v>
      </c>
      <c r="L828" s="2">
        <v>21</v>
      </c>
      <c r="M828" s="2">
        <v>24</v>
      </c>
      <c r="N828" s="244">
        <v>0.128248</v>
      </c>
      <c r="O828" s="2" t="s">
        <v>18</v>
      </c>
      <c r="P828" s="2">
        <v>100</v>
      </c>
      <c r="Q828" s="2">
        <v>0</v>
      </c>
      <c r="R828" s="2" t="s">
        <v>82</v>
      </c>
      <c r="S828" s="2"/>
      <c r="T828" s="2">
        <v>6.16</v>
      </c>
      <c r="U828" s="398">
        <v>295.68</v>
      </c>
      <c r="V828" s="7">
        <v>324.29846399999997</v>
      </c>
      <c r="W828" s="7" t="s">
        <v>660</v>
      </c>
    </row>
    <row r="829" spans="1:23" x14ac:dyDescent="0.35">
      <c r="A829" s="2">
        <v>104</v>
      </c>
      <c r="B829" s="109" t="s">
        <v>84</v>
      </c>
      <c r="C829" s="110" t="s">
        <v>85</v>
      </c>
      <c r="D829" s="2">
        <v>48</v>
      </c>
      <c r="E829" s="51">
        <v>6.7562179999999996</v>
      </c>
      <c r="F829" s="105"/>
      <c r="H829" s="2"/>
      <c r="I829" s="2">
        <v>4</v>
      </c>
      <c r="J829" s="2">
        <v>0</v>
      </c>
      <c r="K829" s="2">
        <v>0</v>
      </c>
      <c r="L829" s="2">
        <v>21</v>
      </c>
      <c r="M829" s="2">
        <v>24</v>
      </c>
      <c r="N829" s="244">
        <v>0.128248</v>
      </c>
      <c r="O829" s="2" t="s">
        <v>18</v>
      </c>
      <c r="P829" s="2">
        <v>100</v>
      </c>
      <c r="Q829" s="2">
        <v>0</v>
      </c>
      <c r="R829" s="2" t="s">
        <v>84</v>
      </c>
      <c r="S829" s="2"/>
      <c r="T829" s="2">
        <v>6.16</v>
      </c>
      <c r="U829" s="398">
        <v>295.68</v>
      </c>
      <c r="V829" s="7">
        <v>324.29846399999997</v>
      </c>
      <c r="W829" s="7" t="s">
        <v>660</v>
      </c>
    </row>
    <row r="830" spans="1:23" x14ac:dyDescent="0.35">
      <c r="A830" s="2">
        <v>104</v>
      </c>
      <c r="B830" s="109" t="s">
        <v>38</v>
      </c>
      <c r="C830" s="110" t="s">
        <v>39</v>
      </c>
      <c r="D830" s="2">
        <v>48</v>
      </c>
      <c r="E830" s="51">
        <v>7.2389660000000005</v>
      </c>
      <c r="F830" s="105"/>
      <c r="H830" s="2"/>
      <c r="I830" s="2">
        <v>4</v>
      </c>
      <c r="J830" s="2">
        <v>0</v>
      </c>
      <c r="K830" s="2">
        <v>0</v>
      </c>
      <c r="L830" s="2">
        <v>24.68</v>
      </c>
      <c r="M830" s="2">
        <v>27.08</v>
      </c>
      <c r="N830" s="244">
        <v>0.15592800000000001</v>
      </c>
      <c r="O830" s="2" t="s">
        <v>18</v>
      </c>
      <c r="P830" s="2">
        <v>50</v>
      </c>
      <c r="Q830" s="2">
        <v>0</v>
      </c>
      <c r="R830" s="2" t="s">
        <v>38</v>
      </c>
      <c r="S830" s="2"/>
      <c r="T830" s="2">
        <v>6.16</v>
      </c>
      <c r="U830" s="398">
        <v>295.68</v>
      </c>
      <c r="V830" s="7">
        <v>347.47036800000001</v>
      </c>
      <c r="W830" s="7" t="s">
        <v>660</v>
      </c>
    </row>
    <row r="831" spans="1:23" x14ac:dyDescent="0.35">
      <c r="A831" s="2">
        <v>104</v>
      </c>
      <c r="B831" s="109" t="s">
        <v>40</v>
      </c>
      <c r="C831" s="110" t="s">
        <v>41</v>
      </c>
      <c r="D831" s="2">
        <v>48</v>
      </c>
      <c r="E831" s="51">
        <v>7.2389660000000005</v>
      </c>
      <c r="F831" s="105"/>
      <c r="H831" s="2"/>
      <c r="I831" s="2">
        <v>4</v>
      </c>
      <c r="J831" s="2">
        <v>0</v>
      </c>
      <c r="K831" s="2">
        <v>0</v>
      </c>
      <c r="L831" s="2">
        <v>24.68</v>
      </c>
      <c r="M831" s="2">
        <v>27.08</v>
      </c>
      <c r="N831" s="244">
        <v>0.15592800000000001</v>
      </c>
      <c r="O831" s="2" t="s">
        <v>18</v>
      </c>
      <c r="P831" s="2">
        <v>50</v>
      </c>
      <c r="Q831" s="2">
        <v>0</v>
      </c>
      <c r="R831" s="2" t="s">
        <v>40</v>
      </c>
      <c r="S831" s="2"/>
      <c r="T831" s="2">
        <v>6.16</v>
      </c>
      <c r="U831" s="398">
        <v>295.68</v>
      </c>
      <c r="V831" s="7">
        <v>347.47036800000001</v>
      </c>
      <c r="W831" s="7" t="s">
        <v>660</v>
      </c>
    </row>
    <row r="832" spans="1:23" x14ac:dyDescent="0.35">
      <c r="A832" s="2">
        <v>104</v>
      </c>
      <c r="B832" s="109" t="s">
        <v>42</v>
      </c>
      <c r="C832" s="110" t="s">
        <v>43</v>
      </c>
      <c r="D832" s="2">
        <v>48</v>
      </c>
      <c r="E832" s="51">
        <v>7.2389660000000005</v>
      </c>
      <c r="F832" s="105"/>
      <c r="H832" s="2"/>
      <c r="I832" s="2">
        <v>4</v>
      </c>
      <c r="J832" s="2">
        <v>0</v>
      </c>
      <c r="K832" s="2">
        <v>0</v>
      </c>
      <c r="L832" s="2">
        <v>24.68</v>
      </c>
      <c r="M832" s="2">
        <v>27.08</v>
      </c>
      <c r="N832" s="244">
        <v>0.15592800000000001</v>
      </c>
      <c r="O832" s="2" t="s">
        <v>18</v>
      </c>
      <c r="P832" s="2">
        <v>50</v>
      </c>
      <c r="Q832" s="2">
        <v>0</v>
      </c>
      <c r="R832" s="2" t="s">
        <v>42</v>
      </c>
      <c r="S832" s="2"/>
      <c r="T832" s="2">
        <v>6.16</v>
      </c>
      <c r="U832" s="398">
        <v>295.68</v>
      </c>
      <c r="V832" s="7">
        <v>347.47036800000001</v>
      </c>
      <c r="W832" s="7" t="s">
        <v>660</v>
      </c>
    </row>
    <row r="833" spans="1:23" x14ac:dyDescent="0.35">
      <c r="A833" s="2">
        <v>104</v>
      </c>
      <c r="B833" s="109" t="s">
        <v>44</v>
      </c>
      <c r="C833" s="110" t="s">
        <v>45</v>
      </c>
      <c r="D833" s="2">
        <v>48</v>
      </c>
      <c r="E833" s="51">
        <v>7.2389660000000005</v>
      </c>
      <c r="F833" s="105"/>
      <c r="H833" s="2"/>
      <c r="I833" s="2">
        <v>4</v>
      </c>
      <c r="J833" s="2">
        <v>0</v>
      </c>
      <c r="K833" s="2">
        <v>0</v>
      </c>
      <c r="L833" s="2">
        <v>24.68</v>
      </c>
      <c r="M833" s="2">
        <v>27.08</v>
      </c>
      <c r="N833" s="244">
        <v>0.15592800000000001</v>
      </c>
      <c r="O833" s="2" t="s">
        <v>18</v>
      </c>
      <c r="P833" s="2">
        <v>50</v>
      </c>
      <c r="Q833" s="2">
        <v>0</v>
      </c>
      <c r="R833" s="2" t="s">
        <v>44</v>
      </c>
      <c r="S833" s="2"/>
      <c r="T833" s="2">
        <v>6.16</v>
      </c>
      <c r="U833" s="398">
        <v>295.68</v>
      </c>
      <c r="V833" s="7">
        <v>347.47036800000001</v>
      </c>
      <c r="W833" s="7" t="s">
        <v>660</v>
      </c>
    </row>
    <row r="834" spans="1:23" x14ac:dyDescent="0.35">
      <c r="A834" s="2">
        <v>104</v>
      </c>
      <c r="B834" s="109" t="s">
        <v>46</v>
      </c>
      <c r="C834" s="110" t="s">
        <v>47</v>
      </c>
      <c r="D834" s="2">
        <v>48</v>
      </c>
      <c r="E834" s="51">
        <v>7.2389660000000005</v>
      </c>
      <c r="F834" s="105"/>
      <c r="H834" s="2"/>
      <c r="I834" s="2">
        <v>4</v>
      </c>
      <c r="J834" s="2">
        <v>0</v>
      </c>
      <c r="K834" s="2">
        <v>0</v>
      </c>
      <c r="L834" s="2">
        <v>22.8</v>
      </c>
      <c r="M834" s="2">
        <v>25.2</v>
      </c>
      <c r="N834" s="244">
        <v>0.15592800000000001</v>
      </c>
      <c r="O834" s="2" t="s">
        <v>18</v>
      </c>
      <c r="P834" s="2">
        <v>50</v>
      </c>
      <c r="Q834" s="2">
        <v>0</v>
      </c>
      <c r="R834" s="2" t="s">
        <v>46</v>
      </c>
      <c r="S834" s="2"/>
      <c r="T834" s="2">
        <v>6.16</v>
      </c>
      <c r="U834" s="398">
        <v>295.68</v>
      </c>
      <c r="V834" s="7">
        <v>347.47036800000001</v>
      </c>
      <c r="W834" s="7" t="s">
        <v>660</v>
      </c>
    </row>
    <row r="835" spans="1:23" x14ac:dyDescent="0.35">
      <c r="A835" s="2">
        <v>104</v>
      </c>
      <c r="B835" s="109" t="s">
        <v>48</v>
      </c>
      <c r="C835" s="110" t="s">
        <v>49</v>
      </c>
      <c r="D835" s="2">
        <v>48</v>
      </c>
      <c r="E835" s="51">
        <v>7.2389660000000005</v>
      </c>
      <c r="F835" s="105"/>
      <c r="H835" s="2"/>
      <c r="I835" s="2">
        <v>4</v>
      </c>
      <c r="J835" s="2">
        <v>0</v>
      </c>
      <c r="K835" s="2">
        <v>0</v>
      </c>
      <c r="L835" s="2">
        <v>22.8</v>
      </c>
      <c r="M835" s="2">
        <v>25.2</v>
      </c>
      <c r="N835" s="244">
        <v>0.15592800000000001</v>
      </c>
      <c r="O835" s="2" t="s">
        <v>18</v>
      </c>
      <c r="P835" s="2">
        <v>50</v>
      </c>
      <c r="Q835" s="2">
        <v>0</v>
      </c>
      <c r="R835" s="2" t="s">
        <v>48</v>
      </c>
      <c r="S835" s="2"/>
      <c r="T835" s="2">
        <v>6.16</v>
      </c>
      <c r="U835" s="398">
        <v>295.68</v>
      </c>
      <c r="V835" s="7">
        <v>347.47036800000001</v>
      </c>
      <c r="W835" s="7" t="s">
        <v>660</v>
      </c>
    </row>
    <row r="836" spans="1:23" x14ac:dyDescent="0.35">
      <c r="A836" s="2">
        <v>104</v>
      </c>
      <c r="B836" s="109" t="s">
        <v>50</v>
      </c>
      <c r="C836" s="110" t="s">
        <v>51</v>
      </c>
      <c r="D836" s="2">
        <v>48</v>
      </c>
      <c r="E836" s="51">
        <v>7.2389660000000005</v>
      </c>
      <c r="F836" s="105"/>
      <c r="H836" s="2"/>
      <c r="I836" s="2">
        <v>4</v>
      </c>
      <c r="J836" s="2">
        <v>0</v>
      </c>
      <c r="K836" s="2">
        <v>0</v>
      </c>
      <c r="L836" s="2">
        <v>22.8</v>
      </c>
      <c r="M836" s="2">
        <v>25.2</v>
      </c>
      <c r="N836" s="244">
        <v>0.15592800000000001</v>
      </c>
      <c r="O836" s="2" t="s">
        <v>18</v>
      </c>
      <c r="P836" s="2">
        <v>50</v>
      </c>
      <c r="Q836" s="2">
        <v>0</v>
      </c>
      <c r="R836" s="2" t="s">
        <v>50</v>
      </c>
      <c r="S836" s="2"/>
      <c r="T836" s="2">
        <v>6.16</v>
      </c>
      <c r="U836" s="398">
        <v>295.68</v>
      </c>
      <c r="V836" s="7">
        <v>347.47036800000001</v>
      </c>
      <c r="W836" s="7" t="s">
        <v>660</v>
      </c>
    </row>
    <row r="837" spans="1:23" x14ac:dyDescent="0.35">
      <c r="A837" s="2">
        <v>104</v>
      </c>
      <c r="B837" s="109" t="s">
        <v>52</v>
      </c>
      <c r="C837" s="110" t="s">
        <v>53</v>
      </c>
      <c r="D837" s="2">
        <v>48</v>
      </c>
      <c r="E837" s="51">
        <v>7.2389660000000005</v>
      </c>
      <c r="F837" s="105"/>
      <c r="H837" s="2"/>
      <c r="I837" s="2">
        <v>4</v>
      </c>
      <c r="J837" s="2">
        <v>0</v>
      </c>
      <c r="K837" s="2">
        <v>0</v>
      </c>
      <c r="L837" s="2">
        <v>22.8</v>
      </c>
      <c r="M837" s="2">
        <v>25.2</v>
      </c>
      <c r="N837" s="244">
        <v>0.15592800000000001</v>
      </c>
      <c r="O837" s="2" t="s">
        <v>18</v>
      </c>
      <c r="P837" s="2">
        <v>50</v>
      </c>
      <c r="Q837" s="2">
        <v>0</v>
      </c>
      <c r="R837" s="2" t="s">
        <v>52</v>
      </c>
      <c r="S837" s="2"/>
      <c r="T837" s="2">
        <v>6.16</v>
      </c>
      <c r="U837" s="398">
        <v>295.68</v>
      </c>
      <c r="V837" s="7">
        <v>347.47036800000001</v>
      </c>
      <c r="W837" s="7" t="s">
        <v>660</v>
      </c>
    </row>
    <row r="838" spans="1:23" x14ac:dyDescent="0.35">
      <c r="A838" s="2">
        <v>104</v>
      </c>
      <c r="B838" s="109" t="s">
        <v>188</v>
      </c>
      <c r="C838" s="110" t="s">
        <v>189</v>
      </c>
      <c r="D838" s="2">
        <v>8</v>
      </c>
      <c r="E838" s="51">
        <v>3.618258</v>
      </c>
      <c r="F838" s="105"/>
      <c r="H838" s="2"/>
      <c r="I838" s="2" t="s">
        <v>861</v>
      </c>
      <c r="J838" s="2" t="s">
        <v>861</v>
      </c>
      <c r="K838" s="2" t="s">
        <v>861</v>
      </c>
      <c r="L838" s="2" t="s">
        <v>861</v>
      </c>
      <c r="M838" s="2" t="s">
        <v>861</v>
      </c>
      <c r="N838" s="244" t="s">
        <v>861</v>
      </c>
      <c r="O838" s="2" t="s">
        <v>18</v>
      </c>
      <c r="P838" s="2">
        <v>0</v>
      </c>
      <c r="Q838" s="2" t="s">
        <v>151</v>
      </c>
      <c r="R838" s="2" t="s">
        <v>188</v>
      </c>
      <c r="S838" s="2"/>
      <c r="T838" s="2">
        <v>0</v>
      </c>
      <c r="U838" s="398">
        <v>0</v>
      </c>
      <c r="V838" s="7">
        <v>28.946064</v>
      </c>
      <c r="W838" s="7" t="s">
        <v>660</v>
      </c>
    </row>
    <row r="839" spans="1:23" x14ac:dyDescent="0.35">
      <c r="A839" s="2">
        <v>104</v>
      </c>
      <c r="B839" s="109" t="s">
        <v>190</v>
      </c>
      <c r="C839" s="110" t="s">
        <v>191</v>
      </c>
      <c r="D839" s="2">
        <v>8</v>
      </c>
      <c r="E839" s="51">
        <v>3.618258</v>
      </c>
      <c r="F839" s="105"/>
      <c r="H839" s="2"/>
      <c r="I839" s="2" t="s">
        <v>861</v>
      </c>
      <c r="J839" s="2" t="s">
        <v>861</v>
      </c>
      <c r="K839" s="2" t="s">
        <v>861</v>
      </c>
      <c r="L839" s="2" t="s">
        <v>861</v>
      </c>
      <c r="M839" s="2" t="s">
        <v>861</v>
      </c>
      <c r="N839" s="244" t="s">
        <v>861</v>
      </c>
      <c r="O839" s="2" t="s">
        <v>18</v>
      </c>
      <c r="P839" s="2">
        <v>0</v>
      </c>
      <c r="Q839" s="2" t="s">
        <v>151</v>
      </c>
      <c r="R839" s="2" t="s">
        <v>190</v>
      </c>
      <c r="S839" s="2"/>
      <c r="T839" s="2">
        <v>0</v>
      </c>
      <c r="U839" s="398">
        <v>0</v>
      </c>
      <c r="V839" s="7">
        <v>28.946064</v>
      </c>
      <c r="W839" s="7" t="s">
        <v>660</v>
      </c>
    </row>
    <row r="840" spans="1:23" x14ac:dyDescent="0.35">
      <c r="A840" s="2">
        <v>104</v>
      </c>
      <c r="B840" s="109" t="s">
        <v>192</v>
      </c>
      <c r="C840" s="110" t="s">
        <v>193</v>
      </c>
      <c r="D840" s="2">
        <v>8</v>
      </c>
      <c r="E840" s="51">
        <v>3.618258</v>
      </c>
      <c r="F840" s="105"/>
      <c r="H840" s="2"/>
      <c r="I840" s="2" t="s">
        <v>861</v>
      </c>
      <c r="J840" s="2" t="s">
        <v>861</v>
      </c>
      <c r="K840" s="2" t="s">
        <v>861</v>
      </c>
      <c r="L840" s="2" t="s">
        <v>861</v>
      </c>
      <c r="M840" s="2" t="s">
        <v>861</v>
      </c>
      <c r="N840" s="244" t="s">
        <v>861</v>
      </c>
      <c r="O840" s="2" t="s">
        <v>18</v>
      </c>
      <c r="P840" s="2">
        <v>0</v>
      </c>
      <c r="Q840" s="2" t="s">
        <v>151</v>
      </c>
      <c r="R840" s="2" t="s">
        <v>192</v>
      </c>
      <c r="S840" s="2"/>
      <c r="T840" s="2">
        <v>0</v>
      </c>
      <c r="U840" s="398">
        <v>0</v>
      </c>
      <c r="V840" s="7">
        <v>28.946064</v>
      </c>
      <c r="W840" s="7" t="s">
        <v>660</v>
      </c>
    </row>
    <row r="841" spans="1:23" x14ac:dyDescent="0.35">
      <c r="A841" s="2">
        <v>104</v>
      </c>
      <c r="B841" s="109" t="s">
        <v>194</v>
      </c>
      <c r="C841" s="110" t="s">
        <v>195</v>
      </c>
      <c r="D841" s="2">
        <v>8</v>
      </c>
      <c r="E841" s="51">
        <v>3.618258</v>
      </c>
      <c r="F841" s="105"/>
      <c r="H841" s="2"/>
      <c r="I841" s="2" t="s">
        <v>861</v>
      </c>
      <c r="J841" s="2" t="s">
        <v>861</v>
      </c>
      <c r="K841" s="2" t="s">
        <v>861</v>
      </c>
      <c r="L841" s="2" t="s">
        <v>861</v>
      </c>
      <c r="M841" s="2" t="s">
        <v>861</v>
      </c>
      <c r="N841" s="244" t="s">
        <v>861</v>
      </c>
      <c r="O841" s="2" t="s">
        <v>18</v>
      </c>
      <c r="P841" s="2">
        <v>0</v>
      </c>
      <c r="Q841" s="2" t="s">
        <v>151</v>
      </c>
      <c r="R841" s="2" t="s">
        <v>194</v>
      </c>
      <c r="S841" s="2"/>
      <c r="T841" s="2">
        <v>0</v>
      </c>
      <c r="U841" s="398">
        <v>0</v>
      </c>
      <c r="V841" s="7">
        <v>28.946064</v>
      </c>
      <c r="W841" s="7" t="s">
        <v>660</v>
      </c>
    </row>
    <row r="842" spans="1:23" x14ac:dyDescent="0.35">
      <c r="A842" s="2">
        <v>104</v>
      </c>
      <c r="B842" s="109" t="s">
        <v>196</v>
      </c>
      <c r="C842" s="110" t="s">
        <v>197</v>
      </c>
      <c r="D842" s="2">
        <v>8</v>
      </c>
      <c r="E842" s="51">
        <v>3.618258</v>
      </c>
      <c r="F842" s="105"/>
      <c r="H842" s="2"/>
      <c r="I842" s="2" t="s">
        <v>861</v>
      </c>
      <c r="J842" s="2" t="s">
        <v>861</v>
      </c>
      <c r="K842" s="2" t="s">
        <v>861</v>
      </c>
      <c r="L842" s="2" t="s">
        <v>861</v>
      </c>
      <c r="M842" s="2" t="s">
        <v>861</v>
      </c>
      <c r="N842" s="244" t="s">
        <v>861</v>
      </c>
      <c r="O842" s="2" t="s">
        <v>18</v>
      </c>
      <c r="P842" s="2">
        <v>0</v>
      </c>
      <c r="Q842" s="2" t="s">
        <v>151</v>
      </c>
      <c r="R842" s="2" t="s">
        <v>196</v>
      </c>
      <c r="S842" s="2"/>
      <c r="T842" s="2">
        <v>0</v>
      </c>
      <c r="U842" s="398">
        <v>0</v>
      </c>
      <c r="V842" s="7">
        <v>28.946064</v>
      </c>
      <c r="W842" s="7" t="s">
        <v>660</v>
      </c>
    </row>
    <row r="843" spans="1:23" x14ac:dyDescent="0.35">
      <c r="A843" s="2">
        <v>104</v>
      </c>
      <c r="B843" s="109" t="s">
        <v>198</v>
      </c>
      <c r="C843" s="110" t="s">
        <v>199</v>
      </c>
      <c r="D843" s="2">
        <v>8</v>
      </c>
      <c r="E843" s="51">
        <v>3.618258</v>
      </c>
      <c r="F843" s="105"/>
      <c r="H843" s="2"/>
      <c r="I843" s="2" t="s">
        <v>861</v>
      </c>
      <c r="J843" s="2" t="s">
        <v>861</v>
      </c>
      <c r="K843" s="2" t="s">
        <v>861</v>
      </c>
      <c r="L843" s="2" t="s">
        <v>861</v>
      </c>
      <c r="M843" s="2" t="s">
        <v>861</v>
      </c>
      <c r="N843" s="244" t="s">
        <v>861</v>
      </c>
      <c r="O843" s="2" t="s">
        <v>18</v>
      </c>
      <c r="P843" s="2">
        <v>0</v>
      </c>
      <c r="Q843" s="2" t="s">
        <v>151</v>
      </c>
      <c r="R843" s="2" t="s">
        <v>198</v>
      </c>
      <c r="S843" s="2"/>
      <c r="T843" s="2">
        <v>0</v>
      </c>
      <c r="U843" s="398">
        <v>0</v>
      </c>
      <c r="V843" s="7">
        <v>28.946064</v>
      </c>
      <c r="W843" s="7" t="s">
        <v>660</v>
      </c>
    </row>
    <row r="844" spans="1:23" x14ac:dyDescent="0.35">
      <c r="A844" s="2">
        <v>104</v>
      </c>
      <c r="B844" s="109" t="s">
        <v>200</v>
      </c>
      <c r="C844" s="110" t="s">
        <v>201</v>
      </c>
      <c r="D844" s="2">
        <v>16</v>
      </c>
      <c r="E844" s="51">
        <v>3.618258</v>
      </c>
      <c r="F844" s="105"/>
      <c r="H844" s="2"/>
      <c r="I844" s="2" t="s">
        <v>861</v>
      </c>
      <c r="J844" s="2" t="s">
        <v>861</v>
      </c>
      <c r="K844" s="2" t="s">
        <v>861</v>
      </c>
      <c r="L844" s="2" t="s">
        <v>861</v>
      </c>
      <c r="M844" s="2" t="s">
        <v>861</v>
      </c>
      <c r="N844" s="244" t="s">
        <v>861</v>
      </c>
      <c r="O844" s="2" t="s">
        <v>18</v>
      </c>
      <c r="P844" s="2">
        <v>0</v>
      </c>
      <c r="Q844" s="2" t="s">
        <v>151</v>
      </c>
      <c r="R844" s="2" t="s">
        <v>200</v>
      </c>
      <c r="S844" s="2"/>
      <c r="T844" s="2">
        <v>0</v>
      </c>
      <c r="U844" s="398">
        <v>0</v>
      </c>
      <c r="V844" s="7">
        <v>57.892128</v>
      </c>
      <c r="W844" s="7" t="s">
        <v>660</v>
      </c>
    </row>
    <row r="845" spans="1:23" x14ac:dyDescent="0.35">
      <c r="A845" s="2">
        <v>104</v>
      </c>
      <c r="B845" s="109" t="s">
        <v>202</v>
      </c>
      <c r="C845" s="110" t="s">
        <v>203</v>
      </c>
      <c r="D845" s="2">
        <v>16</v>
      </c>
      <c r="E845" s="51">
        <v>3.618258</v>
      </c>
      <c r="F845" s="105"/>
      <c r="H845" s="2"/>
      <c r="I845" s="2" t="s">
        <v>861</v>
      </c>
      <c r="J845" s="2" t="s">
        <v>861</v>
      </c>
      <c r="K845" s="2" t="s">
        <v>861</v>
      </c>
      <c r="L845" s="2" t="s">
        <v>861</v>
      </c>
      <c r="M845" s="2" t="s">
        <v>861</v>
      </c>
      <c r="N845" s="244" t="s">
        <v>861</v>
      </c>
      <c r="O845" s="2" t="s">
        <v>18</v>
      </c>
      <c r="P845" s="2">
        <v>0</v>
      </c>
      <c r="Q845" s="2" t="s">
        <v>151</v>
      </c>
      <c r="R845" s="2" t="s">
        <v>202</v>
      </c>
      <c r="S845" s="2"/>
      <c r="T845" s="2">
        <v>0</v>
      </c>
      <c r="U845" s="398">
        <v>0</v>
      </c>
      <c r="V845" s="7">
        <v>57.892128</v>
      </c>
      <c r="W845" s="7" t="s">
        <v>660</v>
      </c>
    </row>
    <row r="846" spans="1:23" x14ac:dyDescent="0.35">
      <c r="A846" s="2">
        <v>104</v>
      </c>
      <c r="B846" s="109" t="s">
        <v>204</v>
      </c>
      <c r="C846" s="110" t="s">
        <v>205</v>
      </c>
      <c r="D846" s="2">
        <v>16</v>
      </c>
      <c r="E846" s="51">
        <v>3.618258</v>
      </c>
      <c r="F846" s="105"/>
      <c r="H846" s="2"/>
      <c r="I846" s="2" t="s">
        <v>861</v>
      </c>
      <c r="J846" s="2" t="s">
        <v>861</v>
      </c>
      <c r="K846" s="2" t="s">
        <v>861</v>
      </c>
      <c r="L846" s="2" t="s">
        <v>861</v>
      </c>
      <c r="M846" s="2" t="s">
        <v>861</v>
      </c>
      <c r="N846" s="244" t="s">
        <v>861</v>
      </c>
      <c r="O846" s="2" t="s">
        <v>18</v>
      </c>
      <c r="P846" s="2">
        <v>0</v>
      </c>
      <c r="Q846" s="2" t="s">
        <v>151</v>
      </c>
      <c r="R846" s="2" t="s">
        <v>204</v>
      </c>
      <c r="S846" s="2"/>
      <c r="T846" s="2">
        <v>0</v>
      </c>
      <c r="U846" s="398">
        <v>0</v>
      </c>
      <c r="V846" s="7">
        <v>57.892128</v>
      </c>
      <c r="W846" s="7" t="s">
        <v>660</v>
      </c>
    </row>
    <row r="847" spans="1:23" x14ac:dyDescent="0.35">
      <c r="A847" s="2">
        <v>104</v>
      </c>
      <c r="B847" s="109" t="s">
        <v>91</v>
      </c>
      <c r="C847" s="110" t="s">
        <v>92</v>
      </c>
      <c r="D847" s="2">
        <v>48</v>
      </c>
      <c r="E847" s="51">
        <v>6.2734700000000005</v>
      </c>
      <c r="F847" s="105"/>
      <c r="H847" s="2"/>
      <c r="I847" s="2">
        <v>2</v>
      </c>
      <c r="J847" s="2">
        <v>0</v>
      </c>
      <c r="K847" s="2">
        <v>0</v>
      </c>
      <c r="L847" s="2">
        <v>15.04</v>
      </c>
      <c r="M847" s="2">
        <v>16.46</v>
      </c>
      <c r="N847" s="244">
        <v>4.4892000000000001E-2</v>
      </c>
      <c r="O847" s="2" t="s">
        <v>934</v>
      </c>
      <c r="P847" s="2">
        <v>100</v>
      </c>
      <c r="Q847" s="2" t="s">
        <v>55</v>
      </c>
      <c r="R847" s="2" t="s">
        <v>91</v>
      </c>
      <c r="S847" s="2"/>
      <c r="T847" s="2">
        <v>5</v>
      </c>
      <c r="U847" s="398">
        <v>240</v>
      </c>
      <c r="V847" s="7">
        <v>301.12656000000004</v>
      </c>
      <c r="W847" s="7" t="s">
        <v>660</v>
      </c>
    </row>
    <row r="848" spans="1:23" x14ac:dyDescent="0.35">
      <c r="A848" s="2">
        <v>104</v>
      </c>
      <c r="B848" s="109" t="s">
        <v>91</v>
      </c>
      <c r="C848" s="110" t="s">
        <v>92</v>
      </c>
      <c r="D848" s="2"/>
      <c r="E848" s="51"/>
      <c r="F848" s="105"/>
      <c r="H848" s="2">
        <v>9</v>
      </c>
      <c r="I848" s="2">
        <v>0</v>
      </c>
      <c r="J848" s="2">
        <v>0</v>
      </c>
      <c r="K848" s="2">
        <v>1</v>
      </c>
      <c r="L848" s="2">
        <v>2.82</v>
      </c>
      <c r="M848" s="2">
        <v>3.0862500000000002</v>
      </c>
      <c r="N848" s="244">
        <v>8.4172499999999994E-3</v>
      </c>
      <c r="O848" s="2" t="s">
        <v>934</v>
      </c>
      <c r="P848" s="2">
        <v>100</v>
      </c>
      <c r="Q848" s="2" t="s">
        <v>55</v>
      </c>
      <c r="R848" s="2" t="s">
        <v>91</v>
      </c>
      <c r="S848" s="2"/>
      <c r="T848" s="2">
        <v>5</v>
      </c>
      <c r="U848" s="398">
        <v>0</v>
      </c>
      <c r="V848" s="7">
        <v>0</v>
      </c>
      <c r="W848" s="7" t="s">
        <v>660</v>
      </c>
    </row>
    <row r="849" spans="1:23" x14ac:dyDescent="0.35">
      <c r="A849" s="2">
        <v>104</v>
      </c>
      <c r="B849" s="109" t="s">
        <v>93</v>
      </c>
      <c r="C849" s="110" t="s">
        <v>94</v>
      </c>
      <c r="D849" s="2">
        <v>48</v>
      </c>
      <c r="E849" s="51">
        <v>6.2734700000000005</v>
      </c>
      <c r="F849" s="105"/>
      <c r="H849" s="2"/>
      <c r="I849" s="2">
        <v>2</v>
      </c>
      <c r="J849" s="2">
        <v>0</v>
      </c>
      <c r="K849" s="2">
        <v>0</v>
      </c>
      <c r="L849" s="2">
        <v>15.04</v>
      </c>
      <c r="M849" s="2">
        <v>16.46</v>
      </c>
      <c r="N849" s="244">
        <v>4.4892000000000001E-2</v>
      </c>
      <c r="O849" s="2" t="s">
        <v>934</v>
      </c>
      <c r="P849" s="2">
        <v>100</v>
      </c>
      <c r="Q849" s="2" t="s">
        <v>55</v>
      </c>
      <c r="R849" s="2" t="s">
        <v>93</v>
      </c>
      <c r="S849" s="2"/>
      <c r="T849" s="2">
        <v>5</v>
      </c>
      <c r="U849" s="398">
        <v>240</v>
      </c>
      <c r="V849" s="7">
        <v>301.12656000000004</v>
      </c>
      <c r="W849" s="7" t="s">
        <v>660</v>
      </c>
    </row>
    <row r="850" spans="1:23" x14ac:dyDescent="0.35">
      <c r="A850" s="2">
        <v>104</v>
      </c>
      <c r="B850" s="109" t="s">
        <v>93</v>
      </c>
      <c r="C850" s="110" t="s">
        <v>94</v>
      </c>
      <c r="D850" s="2"/>
      <c r="E850" s="51"/>
      <c r="F850" s="105"/>
      <c r="H850" s="2">
        <v>9</v>
      </c>
      <c r="I850" s="2">
        <v>0</v>
      </c>
      <c r="J850" s="2">
        <v>0</v>
      </c>
      <c r="K850" s="2">
        <v>1</v>
      </c>
      <c r="L850" s="2">
        <v>2.82</v>
      </c>
      <c r="M850" s="2">
        <v>3.0862500000000002</v>
      </c>
      <c r="N850" s="244">
        <v>8.4172499999999994E-3</v>
      </c>
      <c r="O850" s="2" t="s">
        <v>934</v>
      </c>
      <c r="P850" s="2">
        <v>100</v>
      </c>
      <c r="Q850" s="2" t="s">
        <v>55</v>
      </c>
      <c r="R850" s="2" t="s">
        <v>93</v>
      </c>
      <c r="S850" s="2"/>
      <c r="T850" s="2">
        <v>5</v>
      </c>
      <c r="U850" s="398">
        <v>0</v>
      </c>
      <c r="V850" s="7">
        <v>0</v>
      </c>
      <c r="W850" s="7" t="s">
        <v>660</v>
      </c>
    </row>
    <row r="851" spans="1:23" x14ac:dyDescent="0.35">
      <c r="A851" s="2">
        <v>104</v>
      </c>
      <c r="B851" s="109" t="s">
        <v>95</v>
      </c>
      <c r="C851" s="110" t="s">
        <v>96</v>
      </c>
      <c r="D851" s="2">
        <v>48</v>
      </c>
      <c r="E851" s="51">
        <v>6.2734700000000005</v>
      </c>
      <c r="F851" s="105"/>
      <c r="H851" s="2"/>
      <c r="I851" s="2">
        <v>2</v>
      </c>
      <c r="J851" s="2">
        <v>0</v>
      </c>
      <c r="K851" s="2">
        <v>0</v>
      </c>
      <c r="L851" s="2">
        <v>15.04</v>
      </c>
      <c r="M851" s="2">
        <v>16.46</v>
      </c>
      <c r="N851" s="244">
        <v>4.4892000000000001E-2</v>
      </c>
      <c r="O851" s="2" t="s">
        <v>934</v>
      </c>
      <c r="P851" s="2">
        <v>100</v>
      </c>
      <c r="Q851" s="2" t="s">
        <v>55</v>
      </c>
      <c r="R851" s="2" t="s">
        <v>95</v>
      </c>
      <c r="S851" s="2"/>
      <c r="T851" s="2">
        <v>5</v>
      </c>
      <c r="U851" s="398">
        <v>240</v>
      </c>
      <c r="V851" s="7">
        <v>301.12656000000004</v>
      </c>
      <c r="W851" s="7" t="s">
        <v>660</v>
      </c>
    </row>
    <row r="852" spans="1:23" x14ac:dyDescent="0.35">
      <c r="A852" s="2">
        <v>104</v>
      </c>
      <c r="B852" s="109" t="s">
        <v>95</v>
      </c>
      <c r="C852" s="110" t="s">
        <v>96</v>
      </c>
      <c r="D852" s="2"/>
      <c r="E852" s="51"/>
      <c r="F852" s="105"/>
      <c r="H852" s="2">
        <v>9</v>
      </c>
      <c r="I852" s="2">
        <v>0</v>
      </c>
      <c r="J852" s="2">
        <v>0</v>
      </c>
      <c r="K852" s="2">
        <v>1</v>
      </c>
      <c r="L852" s="2">
        <v>2.82</v>
      </c>
      <c r="M852" s="2">
        <v>3.0862500000000002</v>
      </c>
      <c r="N852" s="244">
        <v>8.4172499999999994E-3</v>
      </c>
      <c r="O852" s="2" t="s">
        <v>934</v>
      </c>
      <c r="P852" s="2">
        <v>100</v>
      </c>
      <c r="Q852" s="2" t="s">
        <v>55</v>
      </c>
      <c r="R852" s="2" t="s">
        <v>95</v>
      </c>
      <c r="S852" s="2"/>
      <c r="T852" s="2">
        <v>5</v>
      </c>
      <c r="U852" s="398">
        <v>0</v>
      </c>
      <c r="V852" s="7">
        <v>0</v>
      </c>
      <c r="W852" s="7" t="s">
        <v>660</v>
      </c>
    </row>
    <row r="853" spans="1:23" x14ac:dyDescent="0.35">
      <c r="A853" s="2">
        <v>104</v>
      </c>
      <c r="B853" s="109" t="s">
        <v>97</v>
      </c>
      <c r="C853" s="110" t="s">
        <v>98</v>
      </c>
      <c r="D853" s="2">
        <v>48</v>
      </c>
      <c r="E853" s="51">
        <v>6.2734700000000005</v>
      </c>
      <c r="F853" s="105"/>
      <c r="H853" s="2"/>
      <c r="I853" s="2">
        <v>2</v>
      </c>
      <c r="J853" s="2">
        <v>0</v>
      </c>
      <c r="K853" s="2">
        <v>0</v>
      </c>
      <c r="L853" s="2">
        <v>15.04</v>
      </c>
      <c r="M853" s="2">
        <v>16.46</v>
      </c>
      <c r="N853" s="244">
        <v>4.4892000000000001E-2</v>
      </c>
      <c r="O853" s="2" t="s">
        <v>934</v>
      </c>
      <c r="P853" s="2">
        <v>100</v>
      </c>
      <c r="Q853" s="2" t="s">
        <v>55</v>
      </c>
      <c r="R853" s="2" t="s">
        <v>97</v>
      </c>
      <c r="S853" s="2"/>
      <c r="T853" s="2">
        <v>5</v>
      </c>
      <c r="U853" s="398">
        <v>240</v>
      </c>
      <c r="V853" s="7">
        <v>301.12656000000004</v>
      </c>
      <c r="W853" s="7" t="s">
        <v>660</v>
      </c>
    </row>
    <row r="854" spans="1:23" x14ac:dyDescent="0.35">
      <c r="A854" s="2">
        <v>104</v>
      </c>
      <c r="B854" s="109" t="s">
        <v>97</v>
      </c>
      <c r="C854" s="110" t="s">
        <v>98</v>
      </c>
      <c r="D854" s="2"/>
      <c r="E854" s="51"/>
      <c r="F854" s="105"/>
      <c r="H854" s="2">
        <v>9</v>
      </c>
      <c r="I854" s="2">
        <v>0</v>
      </c>
      <c r="J854" s="2">
        <v>0</v>
      </c>
      <c r="K854" s="2">
        <v>1</v>
      </c>
      <c r="L854" s="2">
        <v>2.82</v>
      </c>
      <c r="M854" s="2">
        <v>3.0862500000000002</v>
      </c>
      <c r="N854" s="244">
        <v>8.4172499999999994E-3</v>
      </c>
      <c r="O854" s="2" t="s">
        <v>934</v>
      </c>
      <c r="P854" s="2">
        <v>100</v>
      </c>
      <c r="Q854" s="2" t="s">
        <v>55</v>
      </c>
      <c r="R854" s="2" t="s">
        <v>97</v>
      </c>
      <c r="S854" s="2"/>
      <c r="T854" s="2">
        <v>5</v>
      </c>
      <c r="U854" s="398">
        <v>0</v>
      </c>
      <c r="V854" s="7">
        <v>0</v>
      </c>
      <c r="W854" s="7" t="s">
        <v>660</v>
      </c>
    </row>
    <row r="855" spans="1:23" x14ac:dyDescent="0.35">
      <c r="A855" s="2">
        <v>104</v>
      </c>
      <c r="B855" s="109" t="s">
        <v>99</v>
      </c>
      <c r="C855" s="110" t="s">
        <v>100</v>
      </c>
      <c r="D855" s="2">
        <v>48</v>
      </c>
      <c r="E855" s="51">
        <v>6.2734700000000005</v>
      </c>
      <c r="F855" s="105"/>
      <c r="H855" s="2"/>
      <c r="I855" s="2">
        <v>2</v>
      </c>
      <c r="J855" s="2">
        <v>0</v>
      </c>
      <c r="K855" s="2">
        <v>0</v>
      </c>
      <c r="L855" s="2">
        <v>13.74</v>
      </c>
      <c r="M855" s="2">
        <v>15.12</v>
      </c>
      <c r="N855" s="244">
        <v>5.0310000000000001E-2</v>
      </c>
      <c r="O855" s="2" t="s">
        <v>934</v>
      </c>
      <c r="P855" s="2">
        <v>100</v>
      </c>
      <c r="Q855" s="2" t="s">
        <v>55</v>
      </c>
      <c r="R855" s="2" t="s">
        <v>99</v>
      </c>
      <c r="S855" s="2"/>
      <c r="T855" s="2">
        <v>5</v>
      </c>
      <c r="U855" s="398">
        <v>240</v>
      </c>
      <c r="V855" s="7">
        <v>301.12656000000004</v>
      </c>
      <c r="W855" s="7" t="s">
        <v>660</v>
      </c>
    </row>
    <row r="856" spans="1:23" x14ac:dyDescent="0.35">
      <c r="A856" s="2">
        <v>104</v>
      </c>
      <c r="B856" s="109" t="s">
        <v>99</v>
      </c>
      <c r="C856" s="110" t="s">
        <v>100</v>
      </c>
      <c r="D856" s="2"/>
      <c r="E856" s="51"/>
      <c r="F856" s="105"/>
      <c r="H856" s="2">
        <v>9</v>
      </c>
      <c r="I856" s="2">
        <v>0</v>
      </c>
      <c r="J856" s="2">
        <v>0</v>
      </c>
      <c r="K856" s="2">
        <v>1</v>
      </c>
      <c r="L856" s="2">
        <v>2.5762499999999999</v>
      </c>
      <c r="M856" s="2">
        <v>2.835</v>
      </c>
      <c r="N856" s="244">
        <v>9.4331250000000005E-3</v>
      </c>
      <c r="O856" s="2" t="s">
        <v>934</v>
      </c>
      <c r="P856" s="2">
        <v>100</v>
      </c>
      <c r="Q856" s="2" t="s">
        <v>55</v>
      </c>
      <c r="R856" s="2" t="s">
        <v>99</v>
      </c>
      <c r="S856" s="2"/>
      <c r="T856" s="2">
        <v>5</v>
      </c>
      <c r="U856" s="398">
        <v>0</v>
      </c>
      <c r="V856" s="7">
        <v>0</v>
      </c>
      <c r="W856" s="7" t="s">
        <v>660</v>
      </c>
    </row>
    <row r="857" spans="1:23" x14ac:dyDescent="0.35">
      <c r="A857" s="2">
        <v>104</v>
      </c>
      <c r="B857" s="109" t="s">
        <v>101</v>
      </c>
      <c r="C857" s="110" t="s">
        <v>102</v>
      </c>
      <c r="D857" s="2">
        <v>24</v>
      </c>
      <c r="E857" s="51">
        <v>6.2734700000000005</v>
      </c>
      <c r="F857" s="105"/>
      <c r="H857" s="2"/>
      <c r="I857" s="2">
        <v>1</v>
      </c>
      <c r="J857" s="2">
        <v>0</v>
      </c>
      <c r="K857" s="2">
        <v>0</v>
      </c>
      <c r="L857" s="2">
        <v>6.87</v>
      </c>
      <c r="M857" s="2">
        <v>7.56</v>
      </c>
      <c r="N857" s="244">
        <v>2.5155E-2</v>
      </c>
      <c r="O857" s="2" t="s">
        <v>934</v>
      </c>
      <c r="P857" s="2">
        <v>100</v>
      </c>
      <c r="Q857" s="2" t="s">
        <v>55</v>
      </c>
      <c r="R857" s="2" t="s">
        <v>101</v>
      </c>
      <c r="S857" s="2"/>
      <c r="T857" s="2">
        <v>5</v>
      </c>
      <c r="U857" s="398">
        <v>120</v>
      </c>
      <c r="V857" s="7">
        <v>150.56328000000002</v>
      </c>
      <c r="W857" s="7" t="s">
        <v>660</v>
      </c>
    </row>
    <row r="858" spans="1:23" x14ac:dyDescent="0.35">
      <c r="A858" s="2">
        <v>104</v>
      </c>
      <c r="B858" s="109" t="s">
        <v>101</v>
      </c>
      <c r="C858" s="110" t="s">
        <v>102</v>
      </c>
      <c r="D858" s="2"/>
      <c r="E858" s="51"/>
      <c r="F858" s="105"/>
      <c r="H858" s="2">
        <v>7</v>
      </c>
      <c r="I858" s="2">
        <v>0</v>
      </c>
      <c r="J858" s="2">
        <v>0</v>
      </c>
      <c r="K858" s="2">
        <v>1</v>
      </c>
      <c r="L858" s="2">
        <v>2.0037500000000001</v>
      </c>
      <c r="M858" s="2">
        <v>2.2050000000000001</v>
      </c>
      <c r="N858" s="244">
        <v>7.3368749999999996E-3</v>
      </c>
      <c r="O858" s="2" t="s">
        <v>934</v>
      </c>
      <c r="P858" s="2">
        <v>100</v>
      </c>
      <c r="Q858" s="2" t="s">
        <v>55</v>
      </c>
      <c r="R858" s="2" t="s">
        <v>101</v>
      </c>
      <c r="S858" s="2"/>
      <c r="T858" s="2">
        <v>5</v>
      </c>
      <c r="U858" s="398">
        <v>0</v>
      </c>
      <c r="V858" s="7">
        <v>0</v>
      </c>
      <c r="W858" s="7" t="s">
        <v>660</v>
      </c>
    </row>
    <row r="859" spans="1:23" x14ac:dyDescent="0.35">
      <c r="A859" s="2">
        <v>104</v>
      </c>
      <c r="B859" s="109" t="s">
        <v>103</v>
      </c>
      <c r="C859" s="110" t="s">
        <v>104</v>
      </c>
      <c r="D859" s="2">
        <v>48</v>
      </c>
      <c r="E859" s="51">
        <v>6.2734700000000005</v>
      </c>
      <c r="F859" s="105"/>
      <c r="H859" s="2"/>
      <c r="I859" s="2">
        <v>2</v>
      </c>
      <c r="J859" s="2">
        <v>0</v>
      </c>
      <c r="K859" s="2">
        <v>0</v>
      </c>
      <c r="L859" s="2">
        <v>13.74</v>
      </c>
      <c r="M859" s="2">
        <v>15.12</v>
      </c>
      <c r="N859" s="244">
        <v>5.0310000000000001E-2</v>
      </c>
      <c r="O859" s="2" t="s">
        <v>934</v>
      </c>
      <c r="P859" s="2">
        <v>100</v>
      </c>
      <c r="Q859" s="2" t="s">
        <v>55</v>
      </c>
      <c r="R859" s="2" t="s">
        <v>103</v>
      </c>
      <c r="S859" s="2"/>
      <c r="T859" s="2">
        <v>5</v>
      </c>
      <c r="U859" s="398">
        <v>240</v>
      </c>
      <c r="V859" s="7">
        <v>301.12656000000004</v>
      </c>
      <c r="W859" s="7" t="s">
        <v>660</v>
      </c>
    </row>
    <row r="860" spans="1:23" x14ac:dyDescent="0.35">
      <c r="A860" s="2">
        <v>104</v>
      </c>
      <c r="B860" s="109" t="s">
        <v>103</v>
      </c>
      <c r="C860" s="110" t="s">
        <v>104</v>
      </c>
      <c r="D860" s="2"/>
      <c r="E860" s="51"/>
      <c r="F860" s="105"/>
      <c r="H860" s="2">
        <v>9</v>
      </c>
      <c r="I860" s="2">
        <v>0</v>
      </c>
      <c r="J860" s="2">
        <v>0</v>
      </c>
      <c r="K860" s="2">
        <v>1</v>
      </c>
      <c r="L860" s="2">
        <v>2.5762499999999999</v>
      </c>
      <c r="M860" s="2">
        <v>2.835</v>
      </c>
      <c r="N860" s="244">
        <v>9.4331250000000005E-3</v>
      </c>
      <c r="O860" s="2" t="s">
        <v>934</v>
      </c>
      <c r="P860" s="2">
        <v>100</v>
      </c>
      <c r="Q860" s="2" t="s">
        <v>55</v>
      </c>
      <c r="R860" s="2" t="s">
        <v>103</v>
      </c>
      <c r="S860" s="2"/>
      <c r="T860" s="2">
        <v>5</v>
      </c>
      <c r="U860" s="398">
        <v>0</v>
      </c>
      <c r="V860" s="7">
        <v>0</v>
      </c>
      <c r="W860" s="7" t="s">
        <v>660</v>
      </c>
    </row>
    <row r="861" spans="1:23" x14ac:dyDescent="0.35">
      <c r="A861" s="2">
        <v>104</v>
      </c>
      <c r="B861" s="109" t="s">
        <v>105</v>
      </c>
      <c r="C861" s="110" t="s">
        <v>106</v>
      </c>
      <c r="D861" s="2">
        <v>48</v>
      </c>
      <c r="E861" s="51">
        <v>6.2734700000000005</v>
      </c>
      <c r="F861" s="105"/>
      <c r="H861" s="2"/>
      <c r="I861" s="2">
        <v>2</v>
      </c>
      <c r="J861" s="2">
        <v>0</v>
      </c>
      <c r="K861" s="2">
        <v>0</v>
      </c>
      <c r="L861" s="2">
        <v>13.74</v>
      </c>
      <c r="M861" s="2">
        <v>15.12</v>
      </c>
      <c r="N861" s="244">
        <v>5.0310000000000001E-2</v>
      </c>
      <c r="O861" s="2" t="s">
        <v>934</v>
      </c>
      <c r="P861" s="2">
        <v>100</v>
      </c>
      <c r="Q861" s="2" t="s">
        <v>55</v>
      </c>
      <c r="R861" s="2" t="s">
        <v>105</v>
      </c>
      <c r="S861" s="2"/>
      <c r="T861" s="2">
        <v>5</v>
      </c>
      <c r="U861" s="398">
        <v>240</v>
      </c>
      <c r="V861" s="7">
        <v>301.12656000000004</v>
      </c>
      <c r="W861" s="7" t="s">
        <v>660</v>
      </c>
    </row>
    <row r="862" spans="1:23" x14ac:dyDescent="0.35">
      <c r="A862" s="2">
        <v>104</v>
      </c>
      <c r="B862" s="109" t="s">
        <v>105</v>
      </c>
      <c r="C862" s="110" t="s">
        <v>106</v>
      </c>
      <c r="D862" s="2"/>
      <c r="E862" s="51"/>
      <c r="F862" s="105"/>
      <c r="H862" s="2">
        <v>9</v>
      </c>
      <c r="I862" s="2">
        <v>0</v>
      </c>
      <c r="J862" s="2">
        <v>0</v>
      </c>
      <c r="K862" s="2">
        <v>1</v>
      </c>
      <c r="L862" s="2">
        <v>2.5762499999999999</v>
      </c>
      <c r="M862" s="2">
        <v>2.835</v>
      </c>
      <c r="N862" s="244">
        <v>9.4331250000000005E-3</v>
      </c>
      <c r="O862" s="2" t="s">
        <v>934</v>
      </c>
      <c r="P862" s="2">
        <v>100</v>
      </c>
      <c r="Q862" s="2" t="s">
        <v>55</v>
      </c>
      <c r="R862" s="2" t="s">
        <v>105</v>
      </c>
      <c r="S862" s="2"/>
      <c r="T862" s="2">
        <v>5</v>
      </c>
      <c r="U862" s="398">
        <v>0</v>
      </c>
      <c r="V862" s="7">
        <v>0</v>
      </c>
      <c r="W862" s="7" t="s">
        <v>660</v>
      </c>
    </row>
    <row r="863" spans="1:23" x14ac:dyDescent="0.35">
      <c r="A863" s="2">
        <v>104</v>
      </c>
      <c r="B863" s="109" t="s">
        <v>107</v>
      </c>
      <c r="C863" s="110" t="s">
        <v>109</v>
      </c>
      <c r="D863" s="2">
        <v>24</v>
      </c>
      <c r="E863" s="51">
        <v>15.553286</v>
      </c>
      <c r="F863" s="105"/>
      <c r="H863" s="2"/>
      <c r="I863" s="2">
        <v>1</v>
      </c>
      <c r="J863" s="2">
        <v>0</v>
      </c>
      <c r="K863" s="2">
        <v>0</v>
      </c>
      <c r="L863" s="2">
        <v>9.48</v>
      </c>
      <c r="M863" s="2">
        <v>9.9</v>
      </c>
      <c r="N863" s="244">
        <v>1.72975E-2</v>
      </c>
      <c r="O863" s="2" t="s">
        <v>108</v>
      </c>
      <c r="P863" s="2">
        <v>100</v>
      </c>
      <c r="Q863" s="2" t="s">
        <v>55</v>
      </c>
      <c r="R863" s="2" t="s">
        <v>107</v>
      </c>
      <c r="S863" s="2"/>
      <c r="T863" s="2">
        <v>11.68</v>
      </c>
      <c r="U863" s="398">
        <v>280.32</v>
      </c>
      <c r="V863" s="7">
        <v>373.278864</v>
      </c>
      <c r="W863" s="7" t="s">
        <v>660</v>
      </c>
    </row>
    <row r="864" spans="1:23" x14ac:dyDescent="0.35">
      <c r="A864" s="2">
        <v>104</v>
      </c>
      <c r="B864" s="109" t="s">
        <v>107</v>
      </c>
      <c r="C864" s="110" t="s">
        <v>109</v>
      </c>
      <c r="D864" s="2"/>
      <c r="E864" s="51"/>
      <c r="F864" s="105"/>
      <c r="H864" s="2">
        <v>5</v>
      </c>
      <c r="I864" s="2">
        <v>0</v>
      </c>
      <c r="J864" s="2">
        <v>0</v>
      </c>
      <c r="K864" s="2">
        <v>1</v>
      </c>
      <c r="L864" s="2">
        <v>1.9750000000000001</v>
      </c>
      <c r="M864" s="2">
        <v>2.0625</v>
      </c>
      <c r="N864" s="244">
        <v>3.6036458333333337E-3</v>
      </c>
      <c r="O864" s="2" t="s">
        <v>108</v>
      </c>
      <c r="P864" s="2">
        <v>100</v>
      </c>
      <c r="Q864" s="2" t="s">
        <v>55</v>
      </c>
      <c r="R864" s="2" t="s">
        <v>107</v>
      </c>
      <c r="S864" s="2"/>
      <c r="T864" s="2">
        <v>11.68</v>
      </c>
      <c r="U864" s="398">
        <v>0</v>
      </c>
      <c r="V864" s="7">
        <v>0</v>
      </c>
      <c r="W864" s="7" t="s">
        <v>660</v>
      </c>
    </row>
    <row r="865" spans="1:23" x14ac:dyDescent="0.35">
      <c r="A865" s="2">
        <v>104</v>
      </c>
      <c r="B865" s="109" t="s">
        <v>110</v>
      </c>
      <c r="C865" s="110" t="s">
        <v>111</v>
      </c>
      <c r="D865" s="2">
        <v>24</v>
      </c>
      <c r="E865" s="51">
        <v>15.553286</v>
      </c>
      <c r="F865" s="105"/>
      <c r="H865" s="2"/>
      <c r="I865" s="2">
        <v>1</v>
      </c>
      <c r="J865" s="2">
        <v>0</v>
      </c>
      <c r="K865" s="2">
        <v>0</v>
      </c>
      <c r="L865" s="2">
        <v>9.48</v>
      </c>
      <c r="M865" s="2">
        <v>9.9</v>
      </c>
      <c r="N865" s="244">
        <v>1.72975E-2</v>
      </c>
      <c r="O865" s="2" t="s">
        <v>108</v>
      </c>
      <c r="P865" s="2">
        <v>100</v>
      </c>
      <c r="Q865" s="2" t="s">
        <v>55</v>
      </c>
      <c r="R865" s="2" t="s">
        <v>110</v>
      </c>
      <c r="S865" s="2"/>
      <c r="T865" s="2">
        <v>11.68</v>
      </c>
      <c r="U865" s="398">
        <v>280.32</v>
      </c>
      <c r="V865" s="7">
        <v>373.278864</v>
      </c>
      <c r="W865" s="7" t="s">
        <v>660</v>
      </c>
    </row>
    <row r="866" spans="1:23" x14ac:dyDescent="0.35">
      <c r="A866" s="2">
        <v>104</v>
      </c>
      <c r="B866" s="109" t="s">
        <v>110</v>
      </c>
      <c r="C866" s="110" t="s">
        <v>111</v>
      </c>
      <c r="D866" s="2"/>
      <c r="E866" s="51"/>
      <c r="F866" s="105"/>
      <c r="H866" s="2">
        <v>5</v>
      </c>
      <c r="I866" s="2">
        <v>0</v>
      </c>
      <c r="J866" s="2">
        <v>0</v>
      </c>
      <c r="K866" s="2">
        <v>1</v>
      </c>
      <c r="L866" s="2">
        <v>1.9750000000000001</v>
      </c>
      <c r="M866" s="2">
        <v>2.0625</v>
      </c>
      <c r="N866" s="244">
        <v>3.6036458333333337E-3</v>
      </c>
      <c r="O866" s="2" t="s">
        <v>108</v>
      </c>
      <c r="P866" s="2">
        <v>100</v>
      </c>
      <c r="Q866" s="2" t="s">
        <v>55</v>
      </c>
      <c r="R866" s="2" t="s">
        <v>110</v>
      </c>
      <c r="S866" s="2"/>
      <c r="T866" s="2">
        <v>11.68</v>
      </c>
      <c r="U866" s="398">
        <v>0</v>
      </c>
      <c r="V866" s="7">
        <v>0</v>
      </c>
      <c r="W866" s="7" t="s">
        <v>660</v>
      </c>
    </row>
    <row r="867" spans="1:23" x14ac:dyDescent="0.35">
      <c r="A867" s="2">
        <v>104</v>
      </c>
      <c r="B867" s="109" t="s">
        <v>112</v>
      </c>
      <c r="C867" s="110" t="s">
        <v>113</v>
      </c>
      <c r="D867" s="2">
        <v>24</v>
      </c>
      <c r="E867" s="51">
        <v>15.553286</v>
      </c>
      <c r="F867" s="105"/>
      <c r="H867" s="2"/>
      <c r="I867" s="2">
        <v>1</v>
      </c>
      <c r="J867" s="2">
        <v>0</v>
      </c>
      <c r="K867" s="2">
        <v>0</v>
      </c>
      <c r="L867" s="2">
        <v>9.48</v>
      </c>
      <c r="M867" s="2">
        <v>9.9</v>
      </c>
      <c r="N867" s="244">
        <v>1.72975E-2</v>
      </c>
      <c r="O867" s="2" t="s">
        <v>108</v>
      </c>
      <c r="P867" s="2">
        <v>100</v>
      </c>
      <c r="Q867" s="2" t="s">
        <v>55</v>
      </c>
      <c r="R867" s="2" t="s">
        <v>112</v>
      </c>
      <c r="S867" s="2"/>
      <c r="T867" s="2">
        <v>11.68</v>
      </c>
      <c r="U867" s="398">
        <v>280.32</v>
      </c>
      <c r="V867" s="7">
        <v>373.278864</v>
      </c>
      <c r="W867" s="7" t="s">
        <v>660</v>
      </c>
    </row>
    <row r="868" spans="1:23" x14ac:dyDescent="0.35">
      <c r="A868" s="2">
        <v>104</v>
      </c>
      <c r="B868" s="109" t="s">
        <v>112</v>
      </c>
      <c r="C868" s="110" t="s">
        <v>113</v>
      </c>
      <c r="D868" s="2"/>
      <c r="E868" s="51"/>
      <c r="F868" s="105"/>
      <c r="H868" s="2">
        <v>7</v>
      </c>
      <c r="I868" s="2">
        <v>0</v>
      </c>
      <c r="J868" s="2">
        <v>0</v>
      </c>
      <c r="K868" s="2">
        <v>1</v>
      </c>
      <c r="L868" s="2">
        <v>2.7650000000000001</v>
      </c>
      <c r="M868" s="2">
        <v>2.8875000000000002</v>
      </c>
      <c r="N868" s="244">
        <v>5.0451041666666674E-3</v>
      </c>
      <c r="O868" s="2" t="s">
        <v>108</v>
      </c>
      <c r="P868" s="2">
        <v>100</v>
      </c>
      <c r="Q868" s="2" t="s">
        <v>55</v>
      </c>
      <c r="R868" s="2" t="s">
        <v>112</v>
      </c>
      <c r="S868" s="2"/>
      <c r="T868" s="2">
        <v>11.68</v>
      </c>
      <c r="U868" s="398">
        <v>0</v>
      </c>
      <c r="V868" s="7">
        <v>0</v>
      </c>
      <c r="W868" s="7" t="s">
        <v>660</v>
      </c>
    </row>
    <row r="869" spans="1:23" x14ac:dyDescent="0.35">
      <c r="A869" s="2">
        <v>104</v>
      </c>
      <c r="B869" s="109" t="s">
        <v>114</v>
      </c>
      <c r="C869" s="110" t="s">
        <v>115</v>
      </c>
      <c r="D869" s="2">
        <v>24</v>
      </c>
      <c r="E869" s="51">
        <v>15.553286</v>
      </c>
      <c r="F869" s="105"/>
      <c r="H869" s="2"/>
      <c r="I869" s="2">
        <v>1</v>
      </c>
      <c r="J869" s="2">
        <v>0</v>
      </c>
      <c r="K869" s="2">
        <v>0</v>
      </c>
      <c r="L869" s="2">
        <v>9.48</v>
      </c>
      <c r="M869" s="2">
        <v>9.9</v>
      </c>
      <c r="N869" s="244">
        <v>1.72975E-2</v>
      </c>
      <c r="O869" s="2" t="s">
        <v>108</v>
      </c>
      <c r="P869" s="2">
        <v>100</v>
      </c>
      <c r="Q869" s="2" t="s">
        <v>55</v>
      </c>
      <c r="R869" s="2" t="s">
        <v>114</v>
      </c>
      <c r="S869" s="2"/>
      <c r="T869" s="2">
        <v>11.68</v>
      </c>
      <c r="U869" s="398">
        <v>280.32</v>
      </c>
      <c r="V869" s="7">
        <v>373.278864</v>
      </c>
      <c r="W869" s="7" t="s">
        <v>660</v>
      </c>
    </row>
    <row r="870" spans="1:23" x14ac:dyDescent="0.35">
      <c r="A870" s="2">
        <v>104</v>
      </c>
      <c r="B870" s="109" t="s">
        <v>116</v>
      </c>
      <c r="C870" s="110" t="s">
        <v>117</v>
      </c>
      <c r="D870" s="2">
        <v>24</v>
      </c>
      <c r="E870" s="51">
        <v>15.553286</v>
      </c>
      <c r="F870" s="105"/>
      <c r="H870" s="2"/>
      <c r="I870" s="2">
        <v>1</v>
      </c>
      <c r="J870" s="2">
        <v>0</v>
      </c>
      <c r="K870" s="2">
        <v>0</v>
      </c>
      <c r="L870" s="2">
        <v>9.1199999999999992</v>
      </c>
      <c r="M870" s="2">
        <v>9.5</v>
      </c>
      <c r="N870" s="244">
        <v>1.7531250000000002E-2</v>
      </c>
      <c r="O870" s="2" t="s">
        <v>108</v>
      </c>
      <c r="P870" s="2">
        <v>100</v>
      </c>
      <c r="Q870" s="2" t="s">
        <v>55</v>
      </c>
      <c r="R870" s="2" t="s">
        <v>116</v>
      </c>
      <c r="S870" s="2"/>
      <c r="T870" s="2">
        <v>11.68</v>
      </c>
      <c r="U870" s="398">
        <v>280.32</v>
      </c>
      <c r="V870" s="7">
        <v>373.278864</v>
      </c>
      <c r="W870" s="7" t="s">
        <v>660</v>
      </c>
    </row>
    <row r="871" spans="1:23" x14ac:dyDescent="0.35">
      <c r="A871" s="2">
        <v>104</v>
      </c>
      <c r="B871" s="109" t="s">
        <v>116</v>
      </c>
      <c r="C871" s="110" t="s">
        <v>117</v>
      </c>
      <c r="D871" s="2"/>
      <c r="E871" s="51"/>
      <c r="F871" s="105"/>
      <c r="H871" s="2">
        <v>7</v>
      </c>
      <c r="I871" s="2">
        <v>0</v>
      </c>
      <c r="J871" s="2">
        <v>0</v>
      </c>
      <c r="K871" s="2">
        <v>1</v>
      </c>
      <c r="L871" s="2">
        <v>2.66</v>
      </c>
      <c r="M871" s="2">
        <v>2.7708333333333335</v>
      </c>
      <c r="N871" s="244">
        <v>5.1132812499999998E-3</v>
      </c>
      <c r="O871" s="2" t="s">
        <v>108</v>
      </c>
      <c r="P871" s="2">
        <v>100</v>
      </c>
      <c r="Q871" s="2" t="s">
        <v>55</v>
      </c>
      <c r="R871" s="2" t="s">
        <v>116</v>
      </c>
      <c r="S871" s="2"/>
      <c r="T871" s="2">
        <v>11.68</v>
      </c>
      <c r="U871" s="398">
        <v>0</v>
      </c>
      <c r="V871" s="7">
        <v>0</v>
      </c>
      <c r="W871" s="7" t="s">
        <v>660</v>
      </c>
    </row>
    <row r="872" spans="1:23" x14ac:dyDescent="0.35">
      <c r="A872" s="2">
        <v>104</v>
      </c>
      <c r="B872" s="109" t="s">
        <v>118</v>
      </c>
      <c r="C872" s="110" t="s">
        <v>119</v>
      </c>
      <c r="D872" s="2">
        <v>24</v>
      </c>
      <c r="E872" s="51">
        <v>15.553286</v>
      </c>
      <c r="F872" s="105"/>
      <c r="H872" s="2"/>
      <c r="I872" s="2">
        <v>1</v>
      </c>
      <c r="J872" s="2">
        <v>0</v>
      </c>
      <c r="K872" s="2">
        <v>0</v>
      </c>
      <c r="L872" s="2">
        <v>9.1199999999999992</v>
      </c>
      <c r="M872" s="2">
        <v>9.5</v>
      </c>
      <c r="N872" s="244">
        <v>1.7531250000000002E-2</v>
      </c>
      <c r="O872" s="2" t="s">
        <v>108</v>
      </c>
      <c r="P872" s="2">
        <v>100</v>
      </c>
      <c r="Q872" s="2" t="s">
        <v>55</v>
      </c>
      <c r="R872" s="2" t="s">
        <v>118</v>
      </c>
      <c r="S872" s="2"/>
      <c r="T872" s="2">
        <v>11.68</v>
      </c>
      <c r="U872" s="398">
        <v>280.32</v>
      </c>
      <c r="V872" s="7">
        <v>373.278864</v>
      </c>
      <c r="W872" s="7" t="s">
        <v>660</v>
      </c>
    </row>
    <row r="873" spans="1:23" x14ac:dyDescent="0.35">
      <c r="A873" s="2">
        <v>104</v>
      </c>
      <c r="B873" s="109" t="s">
        <v>118</v>
      </c>
      <c r="C873" s="110" t="s">
        <v>119</v>
      </c>
      <c r="D873" s="2"/>
      <c r="E873" s="51"/>
      <c r="F873" s="105"/>
      <c r="H873" s="2">
        <v>7</v>
      </c>
      <c r="I873" s="2">
        <v>0</v>
      </c>
      <c r="J873" s="2">
        <v>0</v>
      </c>
      <c r="K873" s="2">
        <v>1</v>
      </c>
      <c r="L873" s="2">
        <v>2.66</v>
      </c>
      <c r="M873" s="2">
        <v>2.7708333333333335</v>
      </c>
      <c r="N873" s="244">
        <v>5.1132812499999998E-3</v>
      </c>
      <c r="O873" s="2" t="s">
        <v>108</v>
      </c>
      <c r="P873" s="2">
        <v>100</v>
      </c>
      <c r="Q873" s="2" t="s">
        <v>55</v>
      </c>
      <c r="R873" s="2" t="s">
        <v>118</v>
      </c>
      <c r="S873" s="2"/>
      <c r="T873" s="2">
        <v>11.68</v>
      </c>
      <c r="U873" s="398">
        <v>0</v>
      </c>
      <c r="V873" s="7">
        <v>0</v>
      </c>
      <c r="W873" s="7" t="s">
        <v>660</v>
      </c>
    </row>
    <row r="874" spans="1:23" x14ac:dyDescent="0.35">
      <c r="A874" s="2">
        <v>104</v>
      </c>
      <c r="B874" s="109" t="s">
        <v>120</v>
      </c>
      <c r="C874" s="110" t="s">
        <v>121</v>
      </c>
      <c r="D874" s="2">
        <v>24</v>
      </c>
      <c r="E874" s="51">
        <v>15.553286</v>
      </c>
      <c r="F874" s="105"/>
      <c r="H874" s="2"/>
      <c r="I874" s="2">
        <v>1</v>
      </c>
      <c r="J874" s="2">
        <v>0</v>
      </c>
      <c r="K874" s="2">
        <v>0</v>
      </c>
      <c r="L874" s="2">
        <v>9.1199999999999992</v>
      </c>
      <c r="M874" s="2">
        <v>9.5</v>
      </c>
      <c r="N874" s="244">
        <v>1.7531250000000002E-2</v>
      </c>
      <c r="O874" s="2" t="s">
        <v>108</v>
      </c>
      <c r="P874" s="2">
        <v>100</v>
      </c>
      <c r="Q874" s="2" t="s">
        <v>55</v>
      </c>
      <c r="R874" s="2" t="s">
        <v>120</v>
      </c>
      <c r="S874" s="2"/>
      <c r="T874" s="2">
        <v>11.68</v>
      </c>
      <c r="U874" s="398">
        <v>280.32</v>
      </c>
      <c r="V874" s="7">
        <v>373.278864</v>
      </c>
      <c r="W874" s="7" t="s">
        <v>660</v>
      </c>
    </row>
    <row r="875" spans="1:23" x14ac:dyDescent="0.35">
      <c r="A875" s="2">
        <v>104</v>
      </c>
      <c r="B875" s="109" t="s">
        <v>120</v>
      </c>
      <c r="C875" s="110" t="s">
        <v>121</v>
      </c>
      <c r="D875" s="2"/>
      <c r="E875" s="51"/>
      <c r="F875" s="105"/>
      <c r="H875" s="2">
        <v>7</v>
      </c>
      <c r="I875" s="2">
        <v>0</v>
      </c>
      <c r="J875" s="2">
        <v>0</v>
      </c>
      <c r="K875" s="2">
        <v>1</v>
      </c>
      <c r="L875" s="2">
        <v>2.66</v>
      </c>
      <c r="M875" s="2">
        <v>2.7708333333333335</v>
      </c>
      <c r="N875" s="244">
        <v>5.1132812499999998E-3</v>
      </c>
      <c r="O875" s="2" t="s">
        <v>108</v>
      </c>
      <c r="P875" s="2">
        <v>100</v>
      </c>
      <c r="Q875" s="2" t="s">
        <v>55</v>
      </c>
      <c r="R875" s="2" t="s">
        <v>120</v>
      </c>
      <c r="S875" s="2"/>
      <c r="T875" s="2">
        <v>11.68</v>
      </c>
      <c r="U875" s="398">
        <v>0</v>
      </c>
      <c r="V875" s="7">
        <v>0</v>
      </c>
      <c r="W875" s="7" t="s">
        <v>660</v>
      </c>
    </row>
    <row r="876" spans="1:23" x14ac:dyDescent="0.35">
      <c r="A876" s="2">
        <v>104</v>
      </c>
      <c r="B876" s="109" t="s">
        <v>122</v>
      </c>
      <c r="C876" s="110" t="s">
        <v>123</v>
      </c>
      <c r="D876" s="2">
        <v>24</v>
      </c>
      <c r="E876" s="51">
        <v>15.553286</v>
      </c>
      <c r="F876" s="105"/>
      <c r="H876" s="2"/>
      <c r="I876" s="2">
        <v>1</v>
      </c>
      <c r="J876" s="2">
        <v>0</v>
      </c>
      <c r="K876" s="2">
        <v>0</v>
      </c>
      <c r="L876" s="2">
        <v>9.1199999999999992</v>
      </c>
      <c r="M876" s="2">
        <v>9.5</v>
      </c>
      <c r="N876" s="244">
        <v>1.7531250000000002E-2</v>
      </c>
      <c r="O876" s="2" t="s">
        <v>108</v>
      </c>
      <c r="P876" s="2">
        <v>100</v>
      </c>
      <c r="Q876" s="2" t="s">
        <v>55</v>
      </c>
      <c r="R876" s="2" t="s">
        <v>122</v>
      </c>
      <c r="S876" s="2"/>
      <c r="T876" s="2">
        <v>11.68</v>
      </c>
      <c r="U876" s="398">
        <v>280.32</v>
      </c>
      <c r="V876" s="7">
        <v>373.278864</v>
      </c>
      <c r="W876" s="7" t="s">
        <v>660</v>
      </c>
    </row>
    <row r="877" spans="1:23" x14ac:dyDescent="0.35">
      <c r="A877" s="2">
        <v>104</v>
      </c>
      <c r="B877" s="109" t="s">
        <v>122</v>
      </c>
      <c r="C877" s="110" t="s">
        <v>123</v>
      </c>
      <c r="D877" s="2"/>
      <c r="E877" s="51"/>
      <c r="F877" s="105"/>
      <c r="H877" s="2">
        <v>7</v>
      </c>
      <c r="I877" s="2">
        <v>0</v>
      </c>
      <c r="J877" s="2">
        <v>0</v>
      </c>
      <c r="K877" s="2">
        <v>1</v>
      </c>
      <c r="L877" s="2">
        <v>2.66</v>
      </c>
      <c r="M877" s="2">
        <v>2.7708333333333335</v>
      </c>
      <c r="N877" s="244">
        <v>5.1132812499999998E-3</v>
      </c>
      <c r="O877" s="2" t="s">
        <v>108</v>
      </c>
      <c r="P877" s="2">
        <v>100</v>
      </c>
      <c r="Q877" s="2" t="s">
        <v>55</v>
      </c>
      <c r="R877" s="2" t="s">
        <v>122</v>
      </c>
      <c r="S877" s="2"/>
      <c r="T877" s="2">
        <v>11.68</v>
      </c>
      <c r="U877" s="398">
        <v>0</v>
      </c>
      <c r="V877" s="7">
        <v>0</v>
      </c>
      <c r="W877" s="7" t="s">
        <v>660</v>
      </c>
    </row>
    <row r="878" spans="1:23" x14ac:dyDescent="0.35">
      <c r="A878" s="2">
        <v>104</v>
      </c>
      <c r="B878" s="109" t="s">
        <v>168</v>
      </c>
      <c r="C878" s="110" t="s">
        <v>171</v>
      </c>
      <c r="D878" s="2">
        <v>48</v>
      </c>
      <c r="E878" s="51">
        <v>2.4113879999999996</v>
      </c>
      <c r="F878" s="105"/>
      <c r="H878" s="2"/>
      <c r="I878" s="2">
        <v>2</v>
      </c>
      <c r="J878" s="2">
        <v>0</v>
      </c>
      <c r="K878" s="2">
        <v>0</v>
      </c>
      <c r="L878" s="2">
        <v>12.7</v>
      </c>
      <c r="M878" s="2">
        <v>14</v>
      </c>
      <c r="N878" s="244">
        <v>3.1877999999999997E-2</v>
      </c>
      <c r="O878" s="2" t="s">
        <v>169</v>
      </c>
      <c r="P878" s="2">
        <v>200</v>
      </c>
      <c r="Q878" s="2" t="s">
        <v>170</v>
      </c>
      <c r="R878" s="2" t="s">
        <v>168</v>
      </c>
      <c r="S878" s="2"/>
      <c r="T878" s="2">
        <v>2.0499999999999998</v>
      </c>
      <c r="U878" s="398">
        <v>98.399999999999991</v>
      </c>
      <c r="V878" s="7">
        <v>115.74662399999998</v>
      </c>
      <c r="W878" s="7" t="s">
        <v>660</v>
      </c>
    </row>
    <row r="879" spans="1:23" x14ac:dyDescent="0.35">
      <c r="A879" s="2">
        <v>104</v>
      </c>
      <c r="B879" s="109" t="s">
        <v>173</v>
      </c>
      <c r="C879" s="110" t="s">
        <v>174</v>
      </c>
      <c r="D879" s="2">
        <v>48</v>
      </c>
      <c r="E879" s="51">
        <v>2.4113879999999996</v>
      </c>
      <c r="F879" s="105"/>
      <c r="H879" s="2"/>
      <c r="I879" s="2">
        <v>2</v>
      </c>
      <c r="J879" s="2">
        <v>0</v>
      </c>
      <c r="K879" s="2">
        <v>0</v>
      </c>
      <c r="L879" s="2">
        <v>12.7</v>
      </c>
      <c r="M879" s="2">
        <v>14</v>
      </c>
      <c r="N879" s="244">
        <v>3.1877999999999997E-2</v>
      </c>
      <c r="O879" s="2" t="s">
        <v>169</v>
      </c>
      <c r="P879" s="2">
        <v>200</v>
      </c>
      <c r="Q879" s="2" t="s">
        <v>170</v>
      </c>
      <c r="R879" s="2" t="s">
        <v>173</v>
      </c>
      <c r="S879" s="2"/>
      <c r="T879" s="2">
        <v>2.0499999999999998</v>
      </c>
      <c r="U879" s="398">
        <v>98.399999999999991</v>
      </c>
      <c r="V879" s="7">
        <v>115.74662399999998</v>
      </c>
      <c r="W879" s="7" t="s">
        <v>660</v>
      </c>
    </row>
    <row r="880" spans="1:23" x14ac:dyDescent="0.35">
      <c r="A880" s="2">
        <v>104</v>
      </c>
      <c r="B880" s="109" t="s">
        <v>175</v>
      </c>
      <c r="C880" s="110" t="s">
        <v>176</v>
      </c>
      <c r="D880" s="2">
        <v>48</v>
      </c>
      <c r="E880" s="51">
        <v>2.4113879999999996</v>
      </c>
      <c r="F880" s="105"/>
      <c r="H880" s="2"/>
      <c r="I880" s="2">
        <v>2</v>
      </c>
      <c r="J880" s="2">
        <v>0</v>
      </c>
      <c r="K880" s="2">
        <v>0</v>
      </c>
      <c r="L880" s="2">
        <v>12.7</v>
      </c>
      <c r="M880" s="2">
        <v>14</v>
      </c>
      <c r="N880" s="244">
        <v>3.1877999999999997E-2</v>
      </c>
      <c r="O880" s="2" t="s">
        <v>169</v>
      </c>
      <c r="P880" s="2">
        <v>200</v>
      </c>
      <c r="Q880" s="2" t="s">
        <v>170</v>
      </c>
      <c r="R880" s="2" t="s">
        <v>175</v>
      </c>
      <c r="S880" s="2"/>
      <c r="T880" s="2">
        <v>2.0499999999999998</v>
      </c>
      <c r="U880" s="398">
        <v>98.399999999999991</v>
      </c>
      <c r="V880" s="7">
        <v>115.74662399999998</v>
      </c>
      <c r="W880" s="7" t="s">
        <v>660</v>
      </c>
    </row>
    <row r="881" spans="1:23" x14ac:dyDescent="0.35">
      <c r="A881" s="2">
        <v>104</v>
      </c>
      <c r="B881" s="109" t="s">
        <v>177</v>
      </c>
      <c r="C881" s="110" t="s">
        <v>178</v>
      </c>
      <c r="D881" s="2">
        <v>48</v>
      </c>
      <c r="E881" s="51">
        <v>2.4113879999999996</v>
      </c>
      <c r="F881" s="105"/>
      <c r="H881" s="2"/>
      <c r="I881" s="2">
        <v>2</v>
      </c>
      <c r="J881" s="2">
        <v>0</v>
      </c>
      <c r="K881" s="2">
        <v>0</v>
      </c>
      <c r="L881" s="2">
        <v>12.7</v>
      </c>
      <c r="M881" s="2">
        <v>14</v>
      </c>
      <c r="N881" s="244">
        <v>3.1877999999999997E-2</v>
      </c>
      <c r="O881" s="2" t="s">
        <v>169</v>
      </c>
      <c r="P881" s="2">
        <v>200</v>
      </c>
      <c r="Q881" s="2" t="s">
        <v>170</v>
      </c>
      <c r="R881" s="2" t="s">
        <v>177</v>
      </c>
      <c r="S881" s="2"/>
      <c r="T881" s="2">
        <v>2.0499999999999998</v>
      </c>
      <c r="U881" s="398">
        <v>98.399999999999991</v>
      </c>
      <c r="V881" s="7">
        <v>115.74662399999998</v>
      </c>
      <c r="W881" s="7" t="s">
        <v>660</v>
      </c>
    </row>
    <row r="882" spans="1:23" x14ac:dyDescent="0.35">
      <c r="A882" s="2">
        <v>104</v>
      </c>
      <c r="B882" s="109" t="s">
        <v>124</v>
      </c>
      <c r="C882" s="110" t="s">
        <v>126</v>
      </c>
      <c r="D882" s="2"/>
      <c r="E882" s="51"/>
      <c r="F882" s="105"/>
      <c r="H882" s="2">
        <v>2</v>
      </c>
      <c r="I882" s="2">
        <v>0</v>
      </c>
      <c r="J882" s="2">
        <v>0</v>
      </c>
      <c r="K882" s="2">
        <v>1</v>
      </c>
      <c r="L882" s="2">
        <v>0.7599999999999999</v>
      </c>
      <c r="M882" s="2">
        <v>0.79166666666666663</v>
      </c>
      <c r="N882" s="244">
        <v>1.4609375E-3</v>
      </c>
      <c r="O882" s="2" t="s">
        <v>125</v>
      </c>
      <c r="P882" s="2">
        <v>100</v>
      </c>
      <c r="Q882" s="2" t="s">
        <v>55</v>
      </c>
      <c r="R882" s="2" t="s">
        <v>124</v>
      </c>
      <c r="S882" s="2"/>
      <c r="T882" s="2">
        <v>0</v>
      </c>
      <c r="U882" s="398">
        <v>0</v>
      </c>
      <c r="V882" s="7">
        <v>0</v>
      </c>
      <c r="W882" s="7" t="s">
        <v>660</v>
      </c>
    </row>
    <row r="883" spans="1:23" x14ac:dyDescent="0.35">
      <c r="A883" s="2">
        <v>104</v>
      </c>
      <c r="B883" s="109" t="s">
        <v>127</v>
      </c>
      <c r="C883" s="110" t="s">
        <v>128</v>
      </c>
      <c r="D883" s="2"/>
      <c r="E883" s="51"/>
      <c r="F883" s="105"/>
      <c r="H883" s="2">
        <v>2</v>
      </c>
      <c r="I883" s="2">
        <v>0</v>
      </c>
      <c r="J883" s="2">
        <v>0</v>
      </c>
      <c r="K883" s="2">
        <v>1</v>
      </c>
      <c r="L883" s="2">
        <v>0.7599999999999999</v>
      </c>
      <c r="M883" s="2">
        <v>0.79166666666666663</v>
      </c>
      <c r="N883" s="244">
        <v>1.4609375E-3</v>
      </c>
      <c r="O883" s="2" t="s">
        <v>125</v>
      </c>
      <c r="P883" s="2">
        <v>100</v>
      </c>
      <c r="Q883" s="2" t="s">
        <v>55</v>
      </c>
      <c r="R883" s="2" t="s">
        <v>127</v>
      </c>
      <c r="S883" s="2"/>
      <c r="T883" s="2">
        <v>0</v>
      </c>
      <c r="U883" s="398">
        <v>0</v>
      </c>
      <c r="V883" s="7">
        <v>0</v>
      </c>
      <c r="W883" s="7" t="s">
        <v>660</v>
      </c>
    </row>
    <row r="884" spans="1:23" x14ac:dyDescent="0.35">
      <c r="A884" s="2">
        <v>104</v>
      </c>
      <c r="B884" s="109" t="s">
        <v>131</v>
      </c>
      <c r="C884" s="110" t="s">
        <v>132</v>
      </c>
      <c r="D884" s="2"/>
      <c r="E884" s="51"/>
      <c r="F884" s="105"/>
      <c r="H884" s="2">
        <v>7</v>
      </c>
      <c r="I884" s="2">
        <v>0</v>
      </c>
      <c r="J884" s="2">
        <v>0</v>
      </c>
      <c r="K884" s="2">
        <v>1</v>
      </c>
      <c r="L884" s="2">
        <v>2.66</v>
      </c>
      <c r="M884" s="2">
        <v>2.7708333333333335</v>
      </c>
      <c r="N884" s="244">
        <v>5.1132812499999998E-3</v>
      </c>
      <c r="O884" s="2" t="s">
        <v>125</v>
      </c>
      <c r="P884" s="2">
        <v>100</v>
      </c>
      <c r="Q884" s="2" t="s">
        <v>55</v>
      </c>
      <c r="R884" s="2" t="s">
        <v>131</v>
      </c>
      <c r="S884" s="2"/>
      <c r="T884" s="2">
        <v>0</v>
      </c>
      <c r="U884" s="398">
        <v>0</v>
      </c>
      <c r="V884" s="7">
        <v>0</v>
      </c>
      <c r="W884" s="7" t="s">
        <v>660</v>
      </c>
    </row>
    <row r="885" spans="1:23" x14ac:dyDescent="0.35">
      <c r="A885" s="2">
        <v>105</v>
      </c>
      <c r="B885" s="109" t="s">
        <v>395</v>
      </c>
      <c r="C885" s="110" t="s">
        <v>1362</v>
      </c>
      <c r="D885" s="2">
        <v>150</v>
      </c>
      <c r="E885" s="51">
        <v>7.5</v>
      </c>
      <c r="F885" s="105"/>
      <c r="H885" s="2"/>
      <c r="I885" s="2" t="s">
        <v>861</v>
      </c>
      <c r="J885" s="2" t="s">
        <v>861</v>
      </c>
      <c r="K885" s="2">
        <v>0</v>
      </c>
      <c r="L885" s="2" t="s">
        <v>861</v>
      </c>
      <c r="M885" s="2" t="s">
        <v>861</v>
      </c>
      <c r="N885" s="244" t="s">
        <v>861</v>
      </c>
      <c r="O885" s="2" t="s">
        <v>18</v>
      </c>
      <c r="P885" s="2">
        <v>0</v>
      </c>
      <c r="Q885" s="2">
        <v>0</v>
      </c>
      <c r="R885" s="2">
        <v>0</v>
      </c>
      <c r="S885" s="2"/>
      <c r="T885" s="2">
        <v>0</v>
      </c>
      <c r="U885" s="398">
        <v>0</v>
      </c>
      <c r="V885" s="7">
        <v>1125</v>
      </c>
      <c r="W885" s="7" t="s">
        <v>660</v>
      </c>
    </row>
    <row r="886" spans="1:23" x14ac:dyDescent="0.35">
      <c r="A886" s="2">
        <v>105</v>
      </c>
      <c r="B886" s="109" t="s">
        <v>91</v>
      </c>
      <c r="C886" s="110" t="s">
        <v>92</v>
      </c>
      <c r="D886" s="2">
        <v>210</v>
      </c>
      <c r="E886" s="51">
        <v>6.5</v>
      </c>
      <c r="F886" s="105"/>
      <c r="H886" s="2">
        <v>30</v>
      </c>
      <c r="I886" s="2">
        <v>9</v>
      </c>
      <c r="J886" s="2">
        <v>0</v>
      </c>
      <c r="K886" s="2">
        <v>2</v>
      </c>
      <c r="L886" s="2">
        <v>75.199999999999989</v>
      </c>
      <c r="M886" s="2">
        <v>82.300000000000011</v>
      </c>
      <c r="N886" s="244">
        <v>0.22445999999999999</v>
      </c>
      <c r="O886" s="2" t="s">
        <v>934</v>
      </c>
      <c r="P886" s="2">
        <v>100</v>
      </c>
      <c r="Q886" s="2" t="s">
        <v>55</v>
      </c>
      <c r="R886" s="2" t="s">
        <v>91</v>
      </c>
      <c r="S886" s="2"/>
      <c r="T886" s="2">
        <v>5</v>
      </c>
      <c r="U886" s="398">
        <v>1050</v>
      </c>
      <c r="V886" s="7">
        <v>1365</v>
      </c>
      <c r="W886" s="7" t="s">
        <v>660</v>
      </c>
    </row>
    <row r="887" spans="1:23" x14ac:dyDescent="0.35">
      <c r="A887" s="2">
        <v>105</v>
      </c>
      <c r="B887" s="109" t="s">
        <v>93</v>
      </c>
      <c r="C887" s="110" t="s">
        <v>94</v>
      </c>
      <c r="D887" s="2">
        <v>77</v>
      </c>
      <c r="E887" s="51">
        <v>6.5</v>
      </c>
      <c r="F887" s="105">
        <v>9</v>
      </c>
      <c r="G887" s="51">
        <v>3.25</v>
      </c>
      <c r="H887" s="2">
        <v>11</v>
      </c>
      <c r="I887" s="2">
        <v>4</v>
      </c>
      <c r="J887" s="2">
        <v>1</v>
      </c>
      <c r="K887" s="2">
        <v>1</v>
      </c>
      <c r="L887" s="2">
        <v>30.393333333333334</v>
      </c>
      <c r="M887" s="2">
        <v>33.262916666666669</v>
      </c>
      <c r="N887" s="244">
        <v>9.0719250000000001E-2</v>
      </c>
      <c r="O887" s="2" t="s">
        <v>934</v>
      </c>
      <c r="P887" s="2">
        <v>100</v>
      </c>
      <c r="Q887" s="2" t="s">
        <v>55</v>
      </c>
      <c r="R887" s="2" t="s">
        <v>93</v>
      </c>
      <c r="S887" s="2"/>
      <c r="T887" s="2">
        <v>5</v>
      </c>
      <c r="U887" s="398">
        <v>430</v>
      </c>
      <c r="V887" s="7">
        <v>529.75</v>
      </c>
      <c r="W887" s="7" t="s">
        <v>660</v>
      </c>
    </row>
    <row r="888" spans="1:23" x14ac:dyDescent="0.35">
      <c r="A888" s="2">
        <v>105</v>
      </c>
      <c r="B888" s="109" t="s">
        <v>95</v>
      </c>
      <c r="C888" s="110" t="s">
        <v>96</v>
      </c>
      <c r="D888" s="2">
        <v>210</v>
      </c>
      <c r="E888" s="51">
        <v>6.5</v>
      </c>
      <c r="F888" s="105"/>
      <c r="H888" s="2">
        <v>30</v>
      </c>
      <c r="I888" s="2">
        <v>9</v>
      </c>
      <c r="J888" s="2">
        <v>0</v>
      </c>
      <c r="K888" s="2">
        <v>2</v>
      </c>
      <c r="L888" s="2">
        <v>75.199999999999989</v>
      </c>
      <c r="M888" s="2">
        <v>82.300000000000011</v>
      </c>
      <c r="N888" s="244">
        <v>0.22445999999999999</v>
      </c>
      <c r="O888" s="2" t="s">
        <v>934</v>
      </c>
      <c r="P888" s="2">
        <v>100</v>
      </c>
      <c r="Q888" s="2" t="s">
        <v>55</v>
      </c>
      <c r="R888" s="2" t="s">
        <v>95</v>
      </c>
      <c r="S888" s="2"/>
      <c r="T888" s="2">
        <v>5</v>
      </c>
      <c r="U888" s="398">
        <v>1050</v>
      </c>
      <c r="V888" s="7">
        <v>1365</v>
      </c>
      <c r="W888" s="7" t="s">
        <v>660</v>
      </c>
    </row>
    <row r="889" spans="1:23" x14ac:dyDescent="0.35">
      <c r="A889" s="2">
        <v>105</v>
      </c>
      <c r="B889" s="109" t="s">
        <v>97</v>
      </c>
      <c r="C889" s="110" t="s">
        <v>98</v>
      </c>
      <c r="D889" s="2">
        <v>150</v>
      </c>
      <c r="E889" s="51">
        <v>6.5</v>
      </c>
      <c r="F889" s="105">
        <v>9</v>
      </c>
      <c r="G889" s="51">
        <v>3.25</v>
      </c>
      <c r="H889" s="2">
        <v>21</v>
      </c>
      <c r="I889" s="2">
        <v>7</v>
      </c>
      <c r="J889" s="2">
        <v>1</v>
      </c>
      <c r="K889" s="2">
        <v>1</v>
      </c>
      <c r="L889" s="2">
        <v>56.4</v>
      </c>
      <c r="M889" s="2">
        <v>61.725000000000001</v>
      </c>
      <c r="N889" s="244">
        <v>0.16834499999999999</v>
      </c>
      <c r="O889" s="2" t="s">
        <v>934</v>
      </c>
      <c r="P889" s="2">
        <v>100</v>
      </c>
      <c r="Q889" s="2" t="s">
        <v>55</v>
      </c>
      <c r="R889" s="2" t="s">
        <v>97</v>
      </c>
      <c r="S889" s="2"/>
      <c r="T889" s="2">
        <v>5</v>
      </c>
      <c r="U889" s="398">
        <v>795</v>
      </c>
      <c r="V889" s="7">
        <v>1004.25</v>
      </c>
      <c r="W889" s="7" t="s">
        <v>660</v>
      </c>
    </row>
    <row r="890" spans="1:23" x14ac:dyDescent="0.35">
      <c r="A890" s="2">
        <v>105</v>
      </c>
      <c r="B890" s="109" t="s">
        <v>99</v>
      </c>
      <c r="C890" s="110" t="s">
        <v>100</v>
      </c>
      <c r="D890" s="2">
        <v>150</v>
      </c>
      <c r="E890" s="51">
        <v>6.5</v>
      </c>
      <c r="F890" s="105">
        <v>9</v>
      </c>
      <c r="G890" s="51">
        <v>3.25</v>
      </c>
      <c r="H890" s="2">
        <v>21</v>
      </c>
      <c r="I890" s="2">
        <v>7</v>
      </c>
      <c r="J890" s="2">
        <v>1</v>
      </c>
      <c r="K890" s="2">
        <v>1</v>
      </c>
      <c r="L890" s="2">
        <v>51.524999999999999</v>
      </c>
      <c r="M890" s="2">
        <v>56.699999999999996</v>
      </c>
      <c r="N890" s="244">
        <v>0.18866250000000001</v>
      </c>
      <c r="O890" s="2" t="s">
        <v>934</v>
      </c>
      <c r="P890" s="2">
        <v>100</v>
      </c>
      <c r="Q890" s="2" t="s">
        <v>55</v>
      </c>
      <c r="R890" s="2" t="s">
        <v>99</v>
      </c>
      <c r="S890" s="2"/>
      <c r="T890" s="2">
        <v>5</v>
      </c>
      <c r="U890" s="398">
        <v>795</v>
      </c>
      <c r="V890" s="7">
        <v>1004.25</v>
      </c>
      <c r="W890" s="7" t="s">
        <v>660</v>
      </c>
    </row>
    <row r="891" spans="1:23" x14ac:dyDescent="0.35">
      <c r="A891" s="2">
        <v>105</v>
      </c>
      <c r="B891" s="109" t="s">
        <v>101</v>
      </c>
      <c r="C891" s="110" t="s">
        <v>102</v>
      </c>
      <c r="D891" s="2">
        <v>120</v>
      </c>
      <c r="E891" s="51">
        <v>6.5</v>
      </c>
      <c r="F891" s="105">
        <v>13</v>
      </c>
      <c r="G891" s="51">
        <v>3.25</v>
      </c>
      <c r="H891" s="2">
        <v>17</v>
      </c>
      <c r="I891" s="2">
        <v>5</v>
      </c>
      <c r="J891" s="2">
        <v>1</v>
      </c>
      <c r="K891" s="2">
        <v>1</v>
      </c>
      <c r="L891" s="2">
        <v>42.9375</v>
      </c>
      <c r="M891" s="2">
        <v>47.25</v>
      </c>
      <c r="N891" s="244">
        <v>0.15721874999999999</v>
      </c>
      <c r="O891" s="2" t="s">
        <v>934</v>
      </c>
      <c r="P891" s="2">
        <v>100</v>
      </c>
      <c r="Q891" s="2" t="s">
        <v>55</v>
      </c>
      <c r="R891" s="2" t="s">
        <v>101</v>
      </c>
      <c r="S891" s="2"/>
      <c r="T891" s="2">
        <v>5</v>
      </c>
      <c r="U891" s="398">
        <v>665</v>
      </c>
      <c r="V891" s="7">
        <v>822.25</v>
      </c>
      <c r="W891" s="7" t="s">
        <v>660</v>
      </c>
    </row>
    <row r="892" spans="1:23" x14ac:dyDescent="0.35">
      <c r="A892" s="2">
        <v>105</v>
      </c>
      <c r="B892" s="109" t="s">
        <v>103</v>
      </c>
      <c r="C892" s="110" t="s">
        <v>104</v>
      </c>
      <c r="D892" s="2">
        <v>120</v>
      </c>
      <c r="E892" s="51">
        <v>6.5</v>
      </c>
      <c r="F892" s="105">
        <v>13</v>
      </c>
      <c r="G892" s="51">
        <v>3.25</v>
      </c>
      <c r="H892" s="2">
        <v>17</v>
      </c>
      <c r="I892" s="2">
        <v>5</v>
      </c>
      <c r="J892" s="2">
        <v>1</v>
      </c>
      <c r="K892" s="2">
        <v>1</v>
      </c>
      <c r="L892" s="2">
        <v>42.9375</v>
      </c>
      <c r="M892" s="2">
        <v>47.25</v>
      </c>
      <c r="N892" s="244">
        <v>0.15721874999999999</v>
      </c>
      <c r="O892" s="2" t="s">
        <v>934</v>
      </c>
      <c r="P892" s="2">
        <v>100</v>
      </c>
      <c r="Q892" s="2" t="s">
        <v>55</v>
      </c>
      <c r="R892" s="2" t="s">
        <v>103</v>
      </c>
      <c r="S892" s="2"/>
      <c r="T892" s="2">
        <v>5</v>
      </c>
      <c r="U892" s="398">
        <v>665</v>
      </c>
      <c r="V892" s="7">
        <v>822.25</v>
      </c>
      <c r="W892" s="7" t="s">
        <v>660</v>
      </c>
    </row>
    <row r="893" spans="1:23" x14ac:dyDescent="0.35">
      <c r="A893" s="2">
        <v>105</v>
      </c>
      <c r="B893" s="109" t="s">
        <v>105</v>
      </c>
      <c r="C893" s="110" t="s">
        <v>106</v>
      </c>
      <c r="D893" s="2">
        <v>180</v>
      </c>
      <c r="E893" s="51">
        <v>6.5</v>
      </c>
      <c r="F893" s="105">
        <v>4</v>
      </c>
      <c r="G893" s="51">
        <v>3.25</v>
      </c>
      <c r="H893" s="2">
        <v>26</v>
      </c>
      <c r="I893" s="2">
        <v>8</v>
      </c>
      <c r="J893" s="2">
        <v>1</v>
      </c>
      <c r="K893" s="2">
        <v>2</v>
      </c>
      <c r="L893" s="2">
        <v>60.112500000000004</v>
      </c>
      <c r="M893" s="2">
        <v>66.149999999999991</v>
      </c>
      <c r="N893" s="244">
        <v>0.22010625</v>
      </c>
      <c r="O893" s="2" t="s">
        <v>934</v>
      </c>
      <c r="P893" s="2">
        <v>100</v>
      </c>
      <c r="Q893" s="2" t="s">
        <v>55</v>
      </c>
      <c r="R893" s="2" t="s">
        <v>105</v>
      </c>
      <c r="S893" s="2"/>
      <c r="T893" s="2">
        <v>5</v>
      </c>
      <c r="U893" s="398">
        <v>920</v>
      </c>
      <c r="V893" s="7">
        <v>1183</v>
      </c>
      <c r="W893" s="7" t="s">
        <v>660</v>
      </c>
    </row>
    <row r="894" spans="1:23" x14ac:dyDescent="0.35">
      <c r="A894" s="2">
        <v>105</v>
      </c>
      <c r="B894" s="109" t="s">
        <v>107</v>
      </c>
      <c r="C894" s="110" t="s">
        <v>109</v>
      </c>
      <c r="D894" s="2">
        <v>105</v>
      </c>
      <c r="E894" s="51">
        <v>17.5</v>
      </c>
      <c r="F894" s="105">
        <v>3</v>
      </c>
      <c r="G894" s="51">
        <v>8.75</v>
      </c>
      <c r="H894" s="2">
        <v>15</v>
      </c>
      <c r="I894" s="2">
        <v>5</v>
      </c>
      <c r="J894" s="2">
        <v>1</v>
      </c>
      <c r="K894" s="2">
        <v>1</v>
      </c>
      <c r="L894" s="2">
        <v>48.585000000000001</v>
      </c>
      <c r="M894" s="2">
        <v>50.737500000000004</v>
      </c>
      <c r="N894" s="244">
        <v>8.8649687500000005E-2</v>
      </c>
      <c r="O894" s="2" t="s">
        <v>108</v>
      </c>
      <c r="P894" s="2">
        <v>100</v>
      </c>
      <c r="Q894" s="2" t="s">
        <v>55</v>
      </c>
      <c r="R894" s="2" t="s">
        <v>107</v>
      </c>
      <c r="S894" s="2"/>
      <c r="T894" s="2">
        <v>11.68</v>
      </c>
      <c r="U894" s="398">
        <v>1261.44</v>
      </c>
      <c r="V894" s="7">
        <v>1863.75</v>
      </c>
      <c r="W894" s="7" t="s">
        <v>660</v>
      </c>
    </row>
    <row r="895" spans="1:23" x14ac:dyDescent="0.35">
      <c r="A895" s="2">
        <v>105</v>
      </c>
      <c r="B895" s="109" t="s">
        <v>110</v>
      </c>
      <c r="C895" s="110" t="s">
        <v>111</v>
      </c>
      <c r="D895" s="2">
        <v>60</v>
      </c>
      <c r="E895" s="51">
        <v>17.5</v>
      </c>
      <c r="F895" s="105">
        <v>11</v>
      </c>
      <c r="G895" s="51">
        <v>8.75</v>
      </c>
      <c r="H895" s="2">
        <v>9</v>
      </c>
      <c r="I895" s="2">
        <v>3</v>
      </c>
      <c r="J895" s="2">
        <v>1</v>
      </c>
      <c r="K895" s="2">
        <v>1</v>
      </c>
      <c r="L895" s="2">
        <v>31.6</v>
      </c>
      <c r="M895" s="2">
        <v>33</v>
      </c>
      <c r="N895" s="244">
        <v>5.7658333333333339E-2</v>
      </c>
      <c r="O895" s="2" t="s">
        <v>108</v>
      </c>
      <c r="P895" s="2">
        <v>100</v>
      </c>
      <c r="Q895" s="2" t="s">
        <v>55</v>
      </c>
      <c r="R895" s="2" t="s">
        <v>110</v>
      </c>
      <c r="S895" s="2"/>
      <c r="T895" s="2">
        <v>11.68</v>
      </c>
      <c r="U895" s="398">
        <v>829.28</v>
      </c>
      <c r="V895" s="7">
        <v>1146.25</v>
      </c>
      <c r="W895" s="7" t="s">
        <v>660</v>
      </c>
    </row>
    <row r="896" spans="1:23" x14ac:dyDescent="0.35">
      <c r="A896" s="2">
        <v>105</v>
      </c>
      <c r="B896" s="109" t="s">
        <v>112</v>
      </c>
      <c r="C896" s="110" t="s">
        <v>113</v>
      </c>
      <c r="D896" s="2">
        <v>60</v>
      </c>
      <c r="E896" s="51">
        <v>17.5</v>
      </c>
      <c r="F896" s="105">
        <v>11</v>
      </c>
      <c r="G896" s="51">
        <v>8.75</v>
      </c>
      <c r="H896" s="2">
        <v>9</v>
      </c>
      <c r="I896" s="2">
        <v>3</v>
      </c>
      <c r="J896" s="2">
        <v>1</v>
      </c>
      <c r="K896" s="2">
        <v>1</v>
      </c>
      <c r="L896" s="2">
        <v>31.6</v>
      </c>
      <c r="M896" s="2">
        <v>33</v>
      </c>
      <c r="N896" s="244">
        <v>5.7658333333333339E-2</v>
      </c>
      <c r="O896" s="2" t="s">
        <v>108</v>
      </c>
      <c r="P896" s="2">
        <v>100</v>
      </c>
      <c r="Q896" s="2" t="s">
        <v>55</v>
      </c>
      <c r="R896" s="2" t="s">
        <v>112</v>
      </c>
      <c r="S896" s="2"/>
      <c r="T896" s="2">
        <v>11.68</v>
      </c>
      <c r="U896" s="398">
        <v>829.28</v>
      </c>
      <c r="V896" s="7">
        <v>1146.25</v>
      </c>
      <c r="W896" s="7" t="s">
        <v>660</v>
      </c>
    </row>
    <row r="897" spans="1:23" x14ac:dyDescent="0.35">
      <c r="A897" s="2">
        <v>105</v>
      </c>
      <c r="B897" s="109" t="s">
        <v>114</v>
      </c>
      <c r="C897" s="110" t="s">
        <v>115</v>
      </c>
      <c r="D897" s="2">
        <v>90</v>
      </c>
      <c r="E897" s="51">
        <v>17.5</v>
      </c>
      <c r="F897" s="105"/>
      <c r="H897" s="2">
        <v>13</v>
      </c>
      <c r="I897" s="2">
        <v>4</v>
      </c>
      <c r="J897" s="2">
        <v>0</v>
      </c>
      <c r="K897" s="2">
        <v>1</v>
      </c>
      <c r="L897" s="2">
        <v>40.685000000000002</v>
      </c>
      <c r="M897" s="2">
        <v>42.487500000000004</v>
      </c>
      <c r="N897" s="244">
        <v>7.4235104166666677E-2</v>
      </c>
      <c r="O897" s="2" t="s">
        <v>108</v>
      </c>
      <c r="P897" s="2">
        <v>100</v>
      </c>
      <c r="Q897" s="2" t="s">
        <v>55</v>
      </c>
      <c r="R897" s="2" t="s">
        <v>114</v>
      </c>
      <c r="S897" s="2"/>
      <c r="T897" s="2">
        <v>11.68</v>
      </c>
      <c r="U897" s="398">
        <v>1051.2</v>
      </c>
      <c r="V897" s="7">
        <v>1575</v>
      </c>
      <c r="W897" s="7" t="s">
        <v>660</v>
      </c>
    </row>
    <row r="898" spans="1:23" x14ac:dyDescent="0.35">
      <c r="A898" s="2">
        <v>105</v>
      </c>
      <c r="B898" s="109" t="s">
        <v>116</v>
      </c>
      <c r="C898" s="110" t="s">
        <v>117</v>
      </c>
      <c r="D898" s="2">
        <v>60</v>
      </c>
      <c r="E898" s="51">
        <v>17.5</v>
      </c>
      <c r="F898" s="105">
        <v>11</v>
      </c>
      <c r="G898" s="51">
        <v>8.75</v>
      </c>
      <c r="H898" s="2">
        <v>9</v>
      </c>
      <c r="I898" s="2">
        <v>3</v>
      </c>
      <c r="J898" s="2">
        <v>1</v>
      </c>
      <c r="K898" s="2">
        <v>1</v>
      </c>
      <c r="L898" s="2">
        <v>30.4</v>
      </c>
      <c r="M898" s="2">
        <v>31.666666666666668</v>
      </c>
      <c r="N898" s="244">
        <v>5.8437500000000003E-2</v>
      </c>
      <c r="O898" s="2" t="s">
        <v>108</v>
      </c>
      <c r="P898" s="2">
        <v>100</v>
      </c>
      <c r="Q898" s="2" t="s">
        <v>55</v>
      </c>
      <c r="R898" s="2" t="s">
        <v>116</v>
      </c>
      <c r="S898" s="2"/>
      <c r="T898" s="2">
        <v>11.68</v>
      </c>
      <c r="U898" s="398">
        <v>829.28</v>
      </c>
      <c r="V898" s="7">
        <v>1146.25</v>
      </c>
      <c r="W898" s="7" t="s">
        <v>660</v>
      </c>
    </row>
    <row r="899" spans="1:23" x14ac:dyDescent="0.35">
      <c r="A899" s="2">
        <v>105</v>
      </c>
      <c r="B899" s="109" t="s">
        <v>118</v>
      </c>
      <c r="C899" s="110" t="s">
        <v>119</v>
      </c>
      <c r="D899" s="2">
        <v>60</v>
      </c>
      <c r="E899" s="51">
        <v>17.5</v>
      </c>
      <c r="F899" s="105">
        <v>11</v>
      </c>
      <c r="G899" s="51">
        <v>8.75</v>
      </c>
      <c r="H899" s="2">
        <v>9</v>
      </c>
      <c r="I899" s="2">
        <v>3</v>
      </c>
      <c r="J899" s="2">
        <v>1</v>
      </c>
      <c r="K899" s="2">
        <v>1</v>
      </c>
      <c r="L899" s="2">
        <v>30.4</v>
      </c>
      <c r="M899" s="2">
        <v>31.666666666666668</v>
      </c>
      <c r="N899" s="244">
        <v>5.8437500000000003E-2</v>
      </c>
      <c r="O899" s="2" t="s">
        <v>108</v>
      </c>
      <c r="P899" s="2">
        <v>100</v>
      </c>
      <c r="Q899" s="2" t="s">
        <v>55</v>
      </c>
      <c r="R899" s="2" t="s">
        <v>118</v>
      </c>
      <c r="S899" s="2"/>
      <c r="T899" s="2">
        <v>11.68</v>
      </c>
      <c r="U899" s="398">
        <v>829.28</v>
      </c>
      <c r="V899" s="7">
        <v>1146.25</v>
      </c>
      <c r="W899" s="7" t="s">
        <v>660</v>
      </c>
    </row>
    <row r="900" spans="1:23" x14ac:dyDescent="0.35">
      <c r="A900" s="2">
        <v>105</v>
      </c>
      <c r="B900" s="109" t="s">
        <v>120</v>
      </c>
      <c r="C900" s="110" t="s">
        <v>121</v>
      </c>
      <c r="D900" s="2">
        <v>110</v>
      </c>
      <c r="E900" s="51">
        <v>17.5</v>
      </c>
      <c r="F900" s="105">
        <v>4</v>
      </c>
      <c r="G900" s="51">
        <v>8.75</v>
      </c>
      <c r="H900" s="2">
        <v>16</v>
      </c>
      <c r="I900" s="2">
        <v>5</v>
      </c>
      <c r="J900" s="2">
        <v>1</v>
      </c>
      <c r="K900" s="2">
        <v>1</v>
      </c>
      <c r="L900" s="2">
        <v>49.4</v>
      </c>
      <c r="M900" s="2">
        <v>51.458333333333336</v>
      </c>
      <c r="N900" s="244">
        <v>9.4960937499999995E-2</v>
      </c>
      <c r="O900" s="2" t="s">
        <v>108</v>
      </c>
      <c r="P900" s="2">
        <v>100</v>
      </c>
      <c r="Q900" s="2" t="s">
        <v>55</v>
      </c>
      <c r="R900" s="2" t="s">
        <v>120</v>
      </c>
      <c r="S900" s="2"/>
      <c r="T900" s="2">
        <v>11.68</v>
      </c>
      <c r="U900" s="398">
        <v>1331.52</v>
      </c>
      <c r="V900" s="7">
        <v>1960</v>
      </c>
      <c r="W900" s="7" t="s">
        <v>660</v>
      </c>
    </row>
    <row r="901" spans="1:23" x14ac:dyDescent="0.35">
      <c r="A901" s="2">
        <v>105</v>
      </c>
      <c r="B901" s="109" t="s">
        <v>122</v>
      </c>
      <c r="C901" s="110" t="s">
        <v>123</v>
      </c>
      <c r="D901" s="2">
        <v>110</v>
      </c>
      <c r="E901" s="51">
        <v>17.5</v>
      </c>
      <c r="F901" s="105">
        <v>4</v>
      </c>
      <c r="G901" s="51">
        <v>8.75</v>
      </c>
      <c r="H901" s="2">
        <v>16</v>
      </c>
      <c r="I901" s="2">
        <v>5</v>
      </c>
      <c r="J901" s="2">
        <v>1</v>
      </c>
      <c r="K901" s="2">
        <v>1</v>
      </c>
      <c r="L901" s="2">
        <v>49.4</v>
      </c>
      <c r="M901" s="2">
        <v>51.458333333333336</v>
      </c>
      <c r="N901" s="244">
        <v>9.4960937499999995E-2</v>
      </c>
      <c r="O901" s="2" t="s">
        <v>108</v>
      </c>
      <c r="P901" s="2">
        <v>100</v>
      </c>
      <c r="Q901" s="2" t="s">
        <v>55</v>
      </c>
      <c r="R901" s="2" t="s">
        <v>122</v>
      </c>
      <c r="S901" s="2"/>
      <c r="T901" s="2">
        <v>11.68</v>
      </c>
      <c r="U901" s="398">
        <v>1331.52</v>
      </c>
      <c r="V901" s="7">
        <v>1960</v>
      </c>
      <c r="W901" s="7" t="s">
        <v>660</v>
      </c>
    </row>
    <row r="902" spans="1:23" x14ac:dyDescent="0.35">
      <c r="A902" s="2">
        <v>105</v>
      </c>
      <c r="B902" s="109" t="s">
        <v>131</v>
      </c>
      <c r="C902" s="110" t="s">
        <v>132</v>
      </c>
      <c r="D902" s="2"/>
      <c r="E902" s="51"/>
      <c r="F902" s="105">
        <v>7</v>
      </c>
      <c r="G902" s="51">
        <v>8.75</v>
      </c>
      <c r="H902" s="2"/>
      <c r="I902" s="2">
        <v>0</v>
      </c>
      <c r="J902" s="2">
        <v>1</v>
      </c>
      <c r="K902" s="2">
        <v>0</v>
      </c>
      <c r="L902" s="2">
        <v>2.66</v>
      </c>
      <c r="M902" s="2">
        <v>2.7708333333333335</v>
      </c>
      <c r="N902" s="244">
        <v>5.1132812499999998E-3</v>
      </c>
      <c r="O902" s="2" t="s">
        <v>125</v>
      </c>
      <c r="P902" s="2">
        <v>100</v>
      </c>
      <c r="Q902" s="2" t="s">
        <v>55</v>
      </c>
      <c r="R902" s="2" t="s">
        <v>131</v>
      </c>
      <c r="S902" s="2"/>
      <c r="T902" s="2">
        <v>0</v>
      </c>
      <c r="U902" s="398">
        <v>0</v>
      </c>
      <c r="V902" s="7">
        <v>61.25</v>
      </c>
      <c r="W902" s="7" t="s">
        <v>660</v>
      </c>
    </row>
    <row r="903" spans="1:23" x14ac:dyDescent="0.35">
      <c r="A903" s="2">
        <v>106</v>
      </c>
      <c r="B903" s="109" t="s">
        <v>154</v>
      </c>
      <c r="C903" s="110" t="s">
        <v>155</v>
      </c>
      <c r="D903" s="2">
        <v>10032</v>
      </c>
      <c r="E903" s="51">
        <v>1.06</v>
      </c>
      <c r="F903" s="105"/>
      <c r="H903" s="2"/>
      <c r="I903" s="2">
        <v>209</v>
      </c>
      <c r="J903" s="2">
        <v>0</v>
      </c>
      <c r="K903" s="2" t="s">
        <v>861</v>
      </c>
      <c r="L903" s="2">
        <v>1314.192</v>
      </c>
      <c r="M903" s="2">
        <v>1470.5239999999999</v>
      </c>
      <c r="N903" s="244">
        <v>5.4841600000000001</v>
      </c>
      <c r="O903" s="2" t="s">
        <v>150</v>
      </c>
      <c r="P903" s="2">
        <v>150</v>
      </c>
      <c r="Q903" s="2" t="s">
        <v>151</v>
      </c>
      <c r="R903" s="2" t="s">
        <v>154</v>
      </c>
      <c r="S903" s="2"/>
      <c r="T903" s="2">
        <v>0.81599999999999995</v>
      </c>
      <c r="U903" s="398">
        <v>8186.1119999999992</v>
      </c>
      <c r="V903" s="7">
        <v>10633.92</v>
      </c>
      <c r="W903" s="7" t="s">
        <v>660</v>
      </c>
    </row>
    <row r="904" spans="1:23" x14ac:dyDescent="0.35">
      <c r="A904" s="2">
        <v>107</v>
      </c>
      <c r="B904" s="109" t="s">
        <v>91</v>
      </c>
      <c r="C904" s="110" t="s">
        <v>92</v>
      </c>
      <c r="D904" s="2">
        <v>5000</v>
      </c>
      <c r="E904" s="51">
        <v>5</v>
      </c>
      <c r="F904" s="105"/>
      <c r="H904" s="2"/>
      <c r="I904" s="2">
        <v>209</v>
      </c>
      <c r="J904" s="2">
        <v>0</v>
      </c>
      <c r="K904" s="2">
        <v>0</v>
      </c>
      <c r="L904" s="2">
        <v>1566.6666666666667</v>
      </c>
      <c r="M904" s="2">
        <v>1714.5833333333335</v>
      </c>
      <c r="N904" s="244">
        <v>4.6762500000000014</v>
      </c>
      <c r="O904" s="2" t="s">
        <v>934</v>
      </c>
      <c r="P904" s="2">
        <v>100</v>
      </c>
      <c r="Q904" s="2" t="s">
        <v>55</v>
      </c>
      <c r="R904" s="2" t="s">
        <v>91</v>
      </c>
      <c r="S904" s="2"/>
      <c r="T904" s="2" t="s">
        <v>861</v>
      </c>
      <c r="U904" s="398" t="s">
        <v>861</v>
      </c>
      <c r="V904" s="7">
        <v>25000</v>
      </c>
      <c r="W904" s="7" t="s">
        <v>1084</v>
      </c>
    </row>
    <row r="905" spans="1:23" x14ac:dyDescent="0.35">
      <c r="A905" s="2">
        <v>107</v>
      </c>
      <c r="B905" s="109" t="s">
        <v>93</v>
      </c>
      <c r="C905" s="110" t="s">
        <v>94</v>
      </c>
      <c r="D905" s="2">
        <v>5000</v>
      </c>
      <c r="E905" s="51">
        <v>5</v>
      </c>
      <c r="F905" s="105"/>
      <c r="H905" s="2"/>
      <c r="I905" s="2">
        <v>209</v>
      </c>
      <c r="J905" s="2">
        <v>0</v>
      </c>
      <c r="K905" s="2">
        <v>0</v>
      </c>
      <c r="L905" s="2">
        <v>1566.6666666666667</v>
      </c>
      <c r="M905" s="2">
        <v>1714.5833333333335</v>
      </c>
      <c r="N905" s="244">
        <v>4.6762500000000014</v>
      </c>
      <c r="O905" s="2" t="s">
        <v>934</v>
      </c>
      <c r="P905" s="2">
        <v>100</v>
      </c>
      <c r="Q905" s="2" t="s">
        <v>55</v>
      </c>
      <c r="R905" s="2" t="s">
        <v>93</v>
      </c>
      <c r="S905" s="2"/>
      <c r="T905" s="2" t="s">
        <v>861</v>
      </c>
      <c r="U905" s="398" t="s">
        <v>861</v>
      </c>
      <c r="V905" s="7">
        <v>25000</v>
      </c>
      <c r="W905" s="7" t="s">
        <v>1084</v>
      </c>
    </row>
    <row r="906" spans="1:23" x14ac:dyDescent="0.35">
      <c r="A906" s="2">
        <v>107</v>
      </c>
      <c r="B906" s="109" t="s">
        <v>95</v>
      </c>
      <c r="C906" s="110" t="s">
        <v>96</v>
      </c>
      <c r="D906" s="2">
        <v>5000</v>
      </c>
      <c r="E906" s="51">
        <v>5</v>
      </c>
      <c r="F906" s="105"/>
      <c r="H906" s="2"/>
      <c r="I906" s="2">
        <v>209</v>
      </c>
      <c r="J906" s="2">
        <v>0</v>
      </c>
      <c r="K906" s="2">
        <v>0</v>
      </c>
      <c r="L906" s="2">
        <v>1566.6666666666667</v>
      </c>
      <c r="M906" s="2">
        <v>1714.5833333333335</v>
      </c>
      <c r="N906" s="244">
        <v>4.6762500000000014</v>
      </c>
      <c r="O906" s="2" t="s">
        <v>934</v>
      </c>
      <c r="P906" s="2">
        <v>100</v>
      </c>
      <c r="Q906" s="2" t="s">
        <v>55</v>
      </c>
      <c r="R906" s="2" t="s">
        <v>95</v>
      </c>
      <c r="S906" s="2"/>
      <c r="T906" s="2" t="s">
        <v>861</v>
      </c>
      <c r="U906" s="398" t="s">
        <v>861</v>
      </c>
      <c r="V906" s="7">
        <v>25000</v>
      </c>
      <c r="W906" s="7" t="s">
        <v>1084</v>
      </c>
    </row>
    <row r="907" spans="1:23" x14ac:dyDescent="0.35">
      <c r="A907" s="2">
        <v>107</v>
      </c>
      <c r="B907" s="109" t="s">
        <v>97</v>
      </c>
      <c r="C907" s="110" t="s">
        <v>98</v>
      </c>
      <c r="D907" s="2">
        <v>5000</v>
      </c>
      <c r="E907" s="51">
        <v>5</v>
      </c>
      <c r="F907" s="105"/>
      <c r="H907" s="2"/>
      <c r="I907" s="2">
        <v>209</v>
      </c>
      <c r="J907" s="2">
        <v>0</v>
      </c>
      <c r="K907" s="2">
        <v>0</v>
      </c>
      <c r="L907" s="2">
        <v>1566.6666666666667</v>
      </c>
      <c r="M907" s="2">
        <v>1714.5833333333335</v>
      </c>
      <c r="N907" s="244">
        <v>4.6762500000000014</v>
      </c>
      <c r="O907" s="2" t="s">
        <v>934</v>
      </c>
      <c r="P907" s="2">
        <v>100</v>
      </c>
      <c r="Q907" s="2" t="s">
        <v>55</v>
      </c>
      <c r="R907" s="2" t="s">
        <v>97</v>
      </c>
      <c r="S907" s="2"/>
      <c r="T907" s="2" t="s">
        <v>861</v>
      </c>
      <c r="U907" s="398" t="s">
        <v>861</v>
      </c>
      <c r="V907" s="7">
        <v>25000</v>
      </c>
      <c r="W907" s="7" t="s">
        <v>1084</v>
      </c>
    </row>
    <row r="908" spans="1:23" x14ac:dyDescent="0.35">
      <c r="A908" s="2">
        <v>107</v>
      </c>
      <c r="B908" s="109" t="s">
        <v>99</v>
      </c>
      <c r="C908" s="110" t="s">
        <v>100</v>
      </c>
      <c r="D908" s="2">
        <v>5000</v>
      </c>
      <c r="E908" s="51">
        <v>5</v>
      </c>
      <c r="F908" s="105"/>
      <c r="H908" s="2"/>
      <c r="I908" s="2">
        <v>209</v>
      </c>
      <c r="J908" s="2">
        <v>0</v>
      </c>
      <c r="K908" s="2">
        <v>0</v>
      </c>
      <c r="L908" s="2">
        <v>1431.25</v>
      </c>
      <c r="M908" s="2">
        <v>1575</v>
      </c>
      <c r="N908" s="244">
        <v>5.2406250000000005</v>
      </c>
      <c r="O908" s="2" t="s">
        <v>934</v>
      </c>
      <c r="P908" s="2">
        <v>100</v>
      </c>
      <c r="Q908" s="2" t="s">
        <v>55</v>
      </c>
      <c r="R908" s="2" t="s">
        <v>99</v>
      </c>
      <c r="S908" s="2"/>
      <c r="T908" s="2" t="s">
        <v>861</v>
      </c>
      <c r="U908" s="398" t="s">
        <v>861</v>
      </c>
      <c r="V908" s="7">
        <v>25000</v>
      </c>
      <c r="W908" s="7" t="s">
        <v>1084</v>
      </c>
    </row>
    <row r="909" spans="1:23" x14ac:dyDescent="0.35">
      <c r="A909" s="2">
        <v>107</v>
      </c>
      <c r="B909" s="109" t="s">
        <v>101</v>
      </c>
      <c r="C909" s="110" t="s">
        <v>102</v>
      </c>
      <c r="D909" s="2">
        <v>5000</v>
      </c>
      <c r="E909" s="51">
        <v>5</v>
      </c>
      <c r="F909" s="105"/>
      <c r="H909" s="2"/>
      <c r="I909" s="2">
        <v>209</v>
      </c>
      <c r="J909" s="2">
        <v>0</v>
      </c>
      <c r="K909" s="2">
        <v>0</v>
      </c>
      <c r="L909" s="2">
        <v>1431.25</v>
      </c>
      <c r="M909" s="2">
        <v>1575</v>
      </c>
      <c r="N909" s="244">
        <v>5.2406250000000005</v>
      </c>
      <c r="O909" s="2" t="s">
        <v>934</v>
      </c>
      <c r="P909" s="2">
        <v>100</v>
      </c>
      <c r="Q909" s="2" t="s">
        <v>55</v>
      </c>
      <c r="R909" s="2" t="s">
        <v>101</v>
      </c>
      <c r="S909" s="2"/>
      <c r="T909" s="2" t="s">
        <v>861</v>
      </c>
      <c r="U909" s="398" t="s">
        <v>861</v>
      </c>
      <c r="V909" s="7">
        <v>25000</v>
      </c>
      <c r="W909" s="7" t="s">
        <v>1084</v>
      </c>
    </row>
    <row r="910" spans="1:23" x14ac:dyDescent="0.35">
      <c r="A910" s="2">
        <v>107</v>
      </c>
      <c r="B910" s="109" t="s">
        <v>103</v>
      </c>
      <c r="C910" s="110" t="s">
        <v>104</v>
      </c>
      <c r="D910" s="2">
        <v>5000</v>
      </c>
      <c r="E910" s="51">
        <v>5</v>
      </c>
      <c r="F910" s="105"/>
      <c r="H910" s="2"/>
      <c r="I910" s="2">
        <v>209</v>
      </c>
      <c r="J910" s="2">
        <v>0</v>
      </c>
      <c r="K910" s="2">
        <v>0</v>
      </c>
      <c r="L910" s="2">
        <v>1431.25</v>
      </c>
      <c r="M910" s="2">
        <v>1575</v>
      </c>
      <c r="N910" s="244">
        <v>5.2406250000000005</v>
      </c>
      <c r="O910" s="2" t="s">
        <v>934</v>
      </c>
      <c r="P910" s="2">
        <v>100</v>
      </c>
      <c r="Q910" s="2" t="s">
        <v>55</v>
      </c>
      <c r="R910" s="2" t="s">
        <v>103</v>
      </c>
      <c r="S910" s="2"/>
      <c r="T910" s="2" t="s">
        <v>861</v>
      </c>
      <c r="U910" s="398" t="s">
        <v>861</v>
      </c>
      <c r="V910" s="7">
        <v>25000</v>
      </c>
      <c r="W910" s="7" t="s">
        <v>1084</v>
      </c>
    </row>
    <row r="911" spans="1:23" x14ac:dyDescent="0.35">
      <c r="A911" s="2">
        <v>107</v>
      </c>
      <c r="B911" s="109" t="s">
        <v>105</v>
      </c>
      <c r="C911" s="110" t="s">
        <v>106</v>
      </c>
      <c r="D911" s="2">
        <v>5000</v>
      </c>
      <c r="E911" s="51">
        <v>5</v>
      </c>
      <c r="F911" s="105"/>
      <c r="H911" s="2"/>
      <c r="I911" s="2">
        <v>209</v>
      </c>
      <c r="J911" s="2">
        <v>0</v>
      </c>
      <c r="K911" s="2">
        <v>0</v>
      </c>
      <c r="L911" s="2">
        <v>1431.25</v>
      </c>
      <c r="M911" s="2">
        <v>1575</v>
      </c>
      <c r="N911" s="244">
        <v>5.2406250000000005</v>
      </c>
      <c r="O911" s="2" t="s">
        <v>934</v>
      </c>
      <c r="P911" s="2">
        <v>100</v>
      </c>
      <c r="Q911" s="2" t="s">
        <v>55</v>
      </c>
      <c r="R911" s="2" t="s">
        <v>105</v>
      </c>
      <c r="S911" s="2"/>
      <c r="T911" s="2" t="s">
        <v>861</v>
      </c>
      <c r="U911" s="398" t="s">
        <v>861</v>
      </c>
      <c r="V911" s="7">
        <v>25000</v>
      </c>
      <c r="W911" s="7" t="s">
        <v>1084</v>
      </c>
    </row>
    <row r="912" spans="1:23" x14ac:dyDescent="0.35">
      <c r="A912" s="2">
        <v>108</v>
      </c>
      <c r="B912" s="109" t="s">
        <v>107</v>
      </c>
      <c r="C912" s="110" t="s">
        <v>109</v>
      </c>
      <c r="D912" s="2">
        <v>400</v>
      </c>
      <c r="E912" s="51">
        <v>13.5</v>
      </c>
      <c r="F912" s="105"/>
      <c r="H912" s="2">
        <v>34</v>
      </c>
      <c r="I912" s="2">
        <v>17</v>
      </c>
      <c r="J912" s="2">
        <v>0</v>
      </c>
      <c r="K912" s="2">
        <v>2</v>
      </c>
      <c r="L912" s="2">
        <v>171.43</v>
      </c>
      <c r="M912" s="2">
        <v>179.02500000000001</v>
      </c>
      <c r="N912" s="244">
        <v>0.3127964583333333</v>
      </c>
      <c r="O912" s="2" t="s">
        <v>108</v>
      </c>
      <c r="P912" s="2">
        <v>100</v>
      </c>
      <c r="Q912" s="2" t="s">
        <v>55</v>
      </c>
      <c r="R912" s="2" t="s">
        <v>107</v>
      </c>
      <c r="S912" s="2"/>
      <c r="T912" s="2">
        <v>11.68</v>
      </c>
      <c r="U912" s="398">
        <v>4672</v>
      </c>
      <c r="V912" s="7">
        <v>5400</v>
      </c>
      <c r="W912" s="7" t="s">
        <v>660</v>
      </c>
    </row>
    <row r="913" spans="1:23" x14ac:dyDescent="0.35">
      <c r="A913" s="2">
        <v>108</v>
      </c>
      <c r="B913" s="109" t="s">
        <v>110</v>
      </c>
      <c r="C913" s="110" t="s">
        <v>111</v>
      </c>
      <c r="D913" s="2">
        <v>240</v>
      </c>
      <c r="E913" s="51">
        <v>13.5</v>
      </c>
      <c r="F913" s="105"/>
      <c r="H913" s="2">
        <v>20</v>
      </c>
      <c r="I913" s="2">
        <v>10</v>
      </c>
      <c r="J913" s="2">
        <v>0</v>
      </c>
      <c r="K913" s="2">
        <v>1</v>
      </c>
      <c r="L913" s="2">
        <v>102.70000000000002</v>
      </c>
      <c r="M913" s="2">
        <v>107.25000000000001</v>
      </c>
      <c r="N913" s="244">
        <v>0.18738958333333333</v>
      </c>
      <c r="O913" s="2" t="s">
        <v>108</v>
      </c>
      <c r="P913" s="2">
        <v>100</v>
      </c>
      <c r="Q913" s="2" t="s">
        <v>55</v>
      </c>
      <c r="R913" s="2" t="s">
        <v>110</v>
      </c>
      <c r="S913" s="2"/>
      <c r="T913" s="2">
        <v>11.68</v>
      </c>
      <c r="U913" s="398">
        <v>2803.2</v>
      </c>
      <c r="V913" s="7">
        <v>3240</v>
      </c>
      <c r="W913" s="7" t="s">
        <v>660</v>
      </c>
    </row>
    <row r="914" spans="1:23" x14ac:dyDescent="0.35">
      <c r="A914" s="2">
        <v>108</v>
      </c>
      <c r="B914" s="109" t="s">
        <v>112</v>
      </c>
      <c r="C914" s="110" t="s">
        <v>113</v>
      </c>
      <c r="D914" s="2">
        <v>240</v>
      </c>
      <c r="E914" s="51">
        <v>13.5</v>
      </c>
      <c r="F914" s="105"/>
      <c r="H914" s="2">
        <v>20</v>
      </c>
      <c r="I914" s="2">
        <v>10</v>
      </c>
      <c r="J914" s="2">
        <v>0</v>
      </c>
      <c r="K914" s="2">
        <v>1</v>
      </c>
      <c r="L914" s="2">
        <v>102.70000000000002</v>
      </c>
      <c r="M914" s="2">
        <v>107.25000000000001</v>
      </c>
      <c r="N914" s="244">
        <v>0.18738958333333333</v>
      </c>
      <c r="O914" s="2" t="s">
        <v>108</v>
      </c>
      <c r="P914" s="2">
        <v>100</v>
      </c>
      <c r="Q914" s="2" t="s">
        <v>55</v>
      </c>
      <c r="R914" s="2" t="s">
        <v>112</v>
      </c>
      <c r="S914" s="2"/>
      <c r="T914" s="2">
        <v>11.68</v>
      </c>
      <c r="U914" s="398">
        <v>2803.2</v>
      </c>
      <c r="V914" s="7">
        <v>3240</v>
      </c>
      <c r="W914" s="7" t="s">
        <v>660</v>
      </c>
    </row>
    <row r="915" spans="1:23" x14ac:dyDescent="0.35">
      <c r="A915" s="2">
        <v>108</v>
      </c>
      <c r="B915" s="109" t="s">
        <v>114</v>
      </c>
      <c r="C915" s="110" t="s">
        <v>115</v>
      </c>
      <c r="D915" s="2">
        <v>300</v>
      </c>
      <c r="E915" s="51">
        <v>13.5</v>
      </c>
      <c r="F915" s="105"/>
      <c r="H915" s="2"/>
      <c r="I915" s="2">
        <v>13</v>
      </c>
      <c r="J915" s="2">
        <v>0</v>
      </c>
      <c r="K915" s="2">
        <v>0</v>
      </c>
      <c r="L915" s="2">
        <v>118.5</v>
      </c>
      <c r="M915" s="2">
        <v>123.75</v>
      </c>
      <c r="N915" s="244">
        <v>0.21621874999999999</v>
      </c>
      <c r="O915" s="2" t="s">
        <v>108</v>
      </c>
      <c r="P915" s="2">
        <v>100</v>
      </c>
      <c r="Q915" s="2" t="s">
        <v>55</v>
      </c>
      <c r="R915" s="2" t="s">
        <v>114</v>
      </c>
      <c r="S915" s="2"/>
      <c r="T915" s="2">
        <v>11.68</v>
      </c>
      <c r="U915" s="398">
        <v>3504</v>
      </c>
      <c r="V915" s="7">
        <v>4050</v>
      </c>
      <c r="W915" s="7" t="s">
        <v>660</v>
      </c>
    </row>
    <row r="916" spans="1:23" x14ac:dyDescent="0.35">
      <c r="A916" s="2">
        <v>108</v>
      </c>
      <c r="B916" s="109" t="s">
        <v>118</v>
      </c>
      <c r="C916" s="110" t="s">
        <v>119</v>
      </c>
      <c r="D916" s="2">
        <v>300</v>
      </c>
      <c r="E916" s="51">
        <v>13.5</v>
      </c>
      <c r="F916" s="105"/>
      <c r="H916" s="2">
        <v>25</v>
      </c>
      <c r="I916" s="2">
        <v>13</v>
      </c>
      <c r="J916" s="2">
        <v>0</v>
      </c>
      <c r="K916" s="2">
        <v>2</v>
      </c>
      <c r="L916" s="2">
        <v>123.49999999999999</v>
      </c>
      <c r="M916" s="2">
        <v>128.64583333333331</v>
      </c>
      <c r="N916" s="244">
        <v>0.23740234374999999</v>
      </c>
      <c r="O916" s="2" t="s">
        <v>108</v>
      </c>
      <c r="P916" s="2">
        <v>100</v>
      </c>
      <c r="Q916" s="2" t="s">
        <v>55</v>
      </c>
      <c r="R916" s="2" t="s">
        <v>118</v>
      </c>
      <c r="S916" s="2"/>
      <c r="T916" s="2">
        <v>11.68</v>
      </c>
      <c r="U916" s="398">
        <v>3504</v>
      </c>
      <c r="V916" s="7">
        <v>4050</v>
      </c>
      <c r="W916" s="7" t="s">
        <v>660</v>
      </c>
    </row>
    <row r="917" spans="1:23" x14ac:dyDescent="0.35">
      <c r="A917" s="2">
        <v>108</v>
      </c>
      <c r="B917" s="109" t="s">
        <v>120</v>
      </c>
      <c r="C917" s="110" t="s">
        <v>121</v>
      </c>
      <c r="D917" s="2">
        <v>300</v>
      </c>
      <c r="E917" s="51">
        <v>13.5</v>
      </c>
      <c r="F917" s="105"/>
      <c r="H917" s="2">
        <v>25</v>
      </c>
      <c r="I917" s="2">
        <v>13</v>
      </c>
      <c r="J917" s="2">
        <v>0</v>
      </c>
      <c r="K917" s="2">
        <v>2</v>
      </c>
      <c r="L917" s="2">
        <v>123.49999999999999</v>
      </c>
      <c r="M917" s="2">
        <v>128.64583333333331</v>
      </c>
      <c r="N917" s="244">
        <v>0.23740234374999999</v>
      </c>
      <c r="O917" s="2" t="s">
        <v>108</v>
      </c>
      <c r="P917" s="2">
        <v>100</v>
      </c>
      <c r="Q917" s="2" t="s">
        <v>55</v>
      </c>
      <c r="R917" s="2" t="s">
        <v>120</v>
      </c>
      <c r="S917" s="2"/>
      <c r="T917" s="2">
        <v>11.68</v>
      </c>
      <c r="U917" s="398">
        <v>3504</v>
      </c>
      <c r="V917" s="7">
        <v>4050</v>
      </c>
      <c r="W917" s="7" t="s">
        <v>660</v>
      </c>
    </row>
    <row r="918" spans="1:23" x14ac:dyDescent="0.35">
      <c r="A918" s="2">
        <v>108</v>
      </c>
      <c r="B918" s="109" t="s">
        <v>91</v>
      </c>
      <c r="C918" s="110" t="s">
        <v>92</v>
      </c>
      <c r="D918" s="2">
        <v>300</v>
      </c>
      <c r="E918" s="51">
        <v>8.33</v>
      </c>
      <c r="F918" s="105"/>
      <c r="H918" s="2">
        <v>25</v>
      </c>
      <c r="I918" s="2">
        <v>13</v>
      </c>
      <c r="J918" s="2">
        <v>0</v>
      </c>
      <c r="K918" s="2">
        <v>2</v>
      </c>
      <c r="L918" s="2">
        <v>101.83333333333333</v>
      </c>
      <c r="M918" s="2">
        <v>111.44791666666667</v>
      </c>
      <c r="N918" s="244">
        <v>0.30395624999999993</v>
      </c>
      <c r="O918" s="2" t="s">
        <v>934</v>
      </c>
      <c r="P918" s="2">
        <v>100</v>
      </c>
      <c r="Q918" s="2" t="s">
        <v>55</v>
      </c>
      <c r="R918" s="2" t="s">
        <v>91</v>
      </c>
      <c r="S918" s="2"/>
      <c r="T918" s="2">
        <v>5</v>
      </c>
      <c r="U918" s="398">
        <v>1500</v>
      </c>
      <c r="V918" s="7">
        <v>2499</v>
      </c>
      <c r="W918" s="7" t="s">
        <v>660</v>
      </c>
    </row>
    <row r="919" spans="1:23" x14ac:dyDescent="0.35">
      <c r="A919" s="2">
        <v>108</v>
      </c>
      <c r="B919" s="109" t="s">
        <v>93</v>
      </c>
      <c r="C919" s="110" t="s">
        <v>94</v>
      </c>
      <c r="D919" s="2">
        <v>300</v>
      </c>
      <c r="E919" s="51">
        <v>8.33</v>
      </c>
      <c r="F919" s="105"/>
      <c r="H919" s="2">
        <v>25</v>
      </c>
      <c r="I919" s="2">
        <v>13</v>
      </c>
      <c r="J919" s="2">
        <v>0</v>
      </c>
      <c r="K919" s="2">
        <v>2</v>
      </c>
      <c r="L919" s="2">
        <v>101.83333333333333</v>
      </c>
      <c r="M919" s="2">
        <v>111.44791666666667</v>
      </c>
      <c r="N919" s="244">
        <v>0.30395624999999993</v>
      </c>
      <c r="O919" s="2" t="s">
        <v>934</v>
      </c>
      <c r="P919" s="2">
        <v>100</v>
      </c>
      <c r="Q919" s="2" t="s">
        <v>55</v>
      </c>
      <c r="R919" s="2" t="s">
        <v>93</v>
      </c>
      <c r="S919" s="2"/>
      <c r="T919" s="2">
        <v>5</v>
      </c>
      <c r="U919" s="398">
        <v>1500</v>
      </c>
      <c r="V919" s="7">
        <v>2499</v>
      </c>
      <c r="W919" s="7" t="s">
        <v>660</v>
      </c>
    </row>
    <row r="920" spans="1:23" x14ac:dyDescent="0.35">
      <c r="A920" s="2">
        <v>108</v>
      </c>
      <c r="B920" s="109" t="s">
        <v>95</v>
      </c>
      <c r="C920" s="110" t="s">
        <v>96</v>
      </c>
      <c r="D920" s="2">
        <v>300</v>
      </c>
      <c r="E920" s="51">
        <v>8.33</v>
      </c>
      <c r="F920" s="105"/>
      <c r="H920" s="2">
        <v>25</v>
      </c>
      <c r="I920" s="2">
        <v>13</v>
      </c>
      <c r="J920" s="2">
        <v>0</v>
      </c>
      <c r="K920" s="2">
        <v>2</v>
      </c>
      <c r="L920" s="2">
        <v>101.83333333333333</v>
      </c>
      <c r="M920" s="2">
        <v>111.44791666666667</v>
      </c>
      <c r="N920" s="244">
        <v>0.30395624999999993</v>
      </c>
      <c r="O920" s="2" t="s">
        <v>934</v>
      </c>
      <c r="P920" s="2">
        <v>100</v>
      </c>
      <c r="Q920" s="2" t="s">
        <v>55</v>
      </c>
      <c r="R920" s="2" t="s">
        <v>95</v>
      </c>
      <c r="S920" s="2"/>
      <c r="T920" s="2">
        <v>5</v>
      </c>
      <c r="U920" s="398">
        <v>1500</v>
      </c>
      <c r="V920" s="7">
        <v>2499</v>
      </c>
      <c r="W920" s="7" t="s">
        <v>660</v>
      </c>
    </row>
    <row r="921" spans="1:23" x14ac:dyDescent="0.35">
      <c r="A921" s="2">
        <v>108</v>
      </c>
      <c r="B921" s="109" t="s">
        <v>97</v>
      </c>
      <c r="C921" s="110" t="s">
        <v>98</v>
      </c>
      <c r="D921" s="2">
        <v>300</v>
      </c>
      <c r="E921" s="51">
        <v>8.33</v>
      </c>
      <c r="F921" s="105"/>
      <c r="H921" s="2">
        <v>25</v>
      </c>
      <c r="I921" s="2">
        <v>13</v>
      </c>
      <c r="J921" s="2">
        <v>0</v>
      </c>
      <c r="K921" s="2">
        <v>2</v>
      </c>
      <c r="L921" s="2">
        <v>101.83333333333333</v>
      </c>
      <c r="M921" s="2">
        <v>111.44791666666667</v>
      </c>
      <c r="N921" s="244">
        <v>0.30395624999999993</v>
      </c>
      <c r="O921" s="2" t="s">
        <v>934</v>
      </c>
      <c r="P921" s="2">
        <v>100</v>
      </c>
      <c r="Q921" s="2" t="s">
        <v>55</v>
      </c>
      <c r="R921" s="2" t="s">
        <v>97</v>
      </c>
      <c r="S921" s="2"/>
      <c r="T921" s="2">
        <v>5</v>
      </c>
      <c r="U921" s="398">
        <v>1500</v>
      </c>
      <c r="V921" s="7">
        <v>2499</v>
      </c>
      <c r="W921" s="7" t="s">
        <v>660</v>
      </c>
    </row>
    <row r="922" spans="1:23" x14ac:dyDescent="0.35">
      <c r="A922" s="2">
        <v>108</v>
      </c>
      <c r="B922" s="109" t="s">
        <v>99</v>
      </c>
      <c r="C922" s="110" t="s">
        <v>100</v>
      </c>
      <c r="D922" s="2">
        <v>300</v>
      </c>
      <c r="E922" s="51">
        <v>8.33</v>
      </c>
      <c r="F922" s="105"/>
      <c r="H922" s="2">
        <v>25</v>
      </c>
      <c r="I922" s="2">
        <v>13</v>
      </c>
      <c r="J922" s="2">
        <v>0</v>
      </c>
      <c r="K922" s="2">
        <v>2</v>
      </c>
      <c r="L922" s="2">
        <v>93.03125</v>
      </c>
      <c r="M922" s="2">
        <v>102.37499999999999</v>
      </c>
      <c r="N922" s="244">
        <v>0.34064062499999992</v>
      </c>
      <c r="O922" s="2" t="s">
        <v>934</v>
      </c>
      <c r="P922" s="2">
        <v>100</v>
      </c>
      <c r="Q922" s="2" t="s">
        <v>55</v>
      </c>
      <c r="R922" s="2" t="s">
        <v>99</v>
      </c>
      <c r="S922" s="2"/>
      <c r="T922" s="2">
        <v>5</v>
      </c>
      <c r="U922" s="398">
        <v>1500</v>
      </c>
      <c r="V922" s="7">
        <v>2499</v>
      </c>
      <c r="W922" s="7" t="s">
        <v>660</v>
      </c>
    </row>
    <row r="923" spans="1:23" x14ac:dyDescent="0.35">
      <c r="A923" s="2">
        <v>108</v>
      </c>
      <c r="B923" s="109" t="s">
        <v>101</v>
      </c>
      <c r="C923" s="110" t="s">
        <v>102</v>
      </c>
      <c r="D923" s="2">
        <v>300</v>
      </c>
      <c r="E923" s="51">
        <v>8.33</v>
      </c>
      <c r="F923" s="105"/>
      <c r="H923" s="2">
        <v>25</v>
      </c>
      <c r="I923" s="2">
        <v>13</v>
      </c>
      <c r="J923" s="2">
        <v>0</v>
      </c>
      <c r="K923" s="2">
        <v>2</v>
      </c>
      <c r="L923" s="2">
        <v>93.03125</v>
      </c>
      <c r="M923" s="2">
        <v>102.37499999999999</v>
      </c>
      <c r="N923" s="244">
        <v>0.34064062499999992</v>
      </c>
      <c r="O923" s="2" t="s">
        <v>934</v>
      </c>
      <c r="P923" s="2">
        <v>100</v>
      </c>
      <c r="Q923" s="2" t="s">
        <v>55</v>
      </c>
      <c r="R923" s="2" t="s">
        <v>101</v>
      </c>
      <c r="S923" s="2"/>
      <c r="T923" s="2">
        <v>5</v>
      </c>
      <c r="U923" s="398">
        <v>1500</v>
      </c>
      <c r="V923" s="7">
        <v>2499</v>
      </c>
      <c r="W923" s="7" t="s">
        <v>660</v>
      </c>
    </row>
    <row r="924" spans="1:23" x14ac:dyDescent="0.35">
      <c r="A924" s="2">
        <v>108</v>
      </c>
      <c r="B924" s="109" t="s">
        <v>103</v>
      </c>
      <c r="C924" s="110" t="s">
        <v>104</v>
      </c>
      <c r="D924" s="2">
        <v>300</v>
      </c>
      <c r="E924" s="51">
        <v>8.33</v>
      </c>
      <c r="F924" s="105"/>
      <c r="H924" s="2">
        <v>25</v>
      </c>
      <c r="I924" s="2">
        <v>13</v>
      </c>
      <c r="J924" s="2">
        <v>0</v>
      </c>
      <c r="K924" s="2">
        <v>2</v>
      </c>
      <c r="L924" s="2">
        <v>93.03125</v>
      </c>
      <c r="M924" s="2">
        <v>102.37499999999999</v>
      </c>
      <c r="N924" s="244">
        <v>0.34064062499999992</v>
      </c>
      <c r="O924" s="2" t="s">
        <v>934</v>
      </c>
      <c r="P924" s="2">
        <v>100</v>
      </c>
      <c r="Q924" s="2" t="s">
        <v>55</v>
      </c>
      <c r="R924" s="2" t="s">
        <v>103</v>
      </c>
      <c r="S924" s="2"/>
      <c r="T924" s="2">
        <v>5</v>
      </c>
      <c r="U924" s="398">
        <v>1500</v>
      </c>
      <c r="V924" s="7">
        <v>2499</v>
      </c>
      <c r="W924" s="7" t="s">
        <v>660</v>
      </c>
    </row>
    <row r="925" spans="1:23" x14ac:dyDescent="0.35">
      <c r="A925" s="2">
        <v>108</v>
      </c>
      <c r="B925" s="109" t="s">
        <v>105</v>
      </c>
      <c r="C925" s="110" t="s">
        <v>106</v>
      </c>
      <c r="D925" s="2">
        <v>300</v>
      </c>
      <c r="E925" s="51">
        <v>8.33</v>
      </c>
      <c r="F925" s="105"/>
      <c r="H925" s="2">
        <v>25</v>
      </c>
      <c r="I925" s="2">
        <v>13</v>
      </c>
      <c r="J925" s="2">
        <v>0</v>
      </c>
      <c r="K925" s="2">
        <v>2</v>
      </c>
      <c r="L925" s="2">
        <v>93.03125</v>
      </c>
      <c r="M925" s="2">
        <v>102.37499999999999</v>
      </c>
      <c r="N925" s="244">
        <v>0.34064062499999992</v>
      </c>
      <c r="O925" s="2" t="s">
        <v>934</v>
      </c>
      <c r="P925" s="2">
        <v>100</v>
      </c>
      <c r="Q925" s="2" t="s">
        <v>55</v>
      </c>
      <c r="R925" s="2" t="s">
        <v>105</v>
      </c>
      <c r="S925" s="2"/>
      <c r="T925" s="2">
        <v>5</v>
      </c>
      <c r="U925" s="398">
        <v>1500</v>
      </c>
      <c r="V925" s="7">
        <v>2499</v>
      </c>
      <c r="W925" s="7" t="s">
        <v>660</v>
      </c>
    </row>
    <row r="926" spans="1:23" x14ac:dyDescent="0.35">
      <c r="A926" s="2">
        <v>108</v>
      </c>
      <c r="B926" s="109" t="s">
        <v>131</v>
      </c>
      <c r="C926" s="110" t="s">
        <v>132</v>
      </c>
      <c r="D926" s="2"/>
      <c r="E926" s="51"/>
      <c r="F926" s="105"/>
      <c r="H926" s="2">
        <v>25</v>
      </c>
      <c r="I926" s="2">
        <v>0</v>
      </c>
      <c r="J926" s="2">
        <v>0</v>
      </c>
      <c r="K926" s="2">
        <v>2</v>
      </c>
      <c r="L926" s="2">
        <v>9.5</v>
      </c>
      <c r="M926" s="2">
        <v>9.8958333333333339</v>
      </c>
      <c r="N926" s="244">
        <v>1.8261718749999999E-2</v>
      </c>
      <c r="O926" s="2" t="s">
        <v>125</v>
      </c>
      <c r="P926" s="2">
        <v>100</v>
      </c>
      <c r="Q926" s="2" t="s">
        <v>55</v>
      </c>
      <c r="R926" s="2" t="s">
        <v>131</v>
      </c>
      <c r="S926" s="2"/>
      <c r="T926" s="2">
        <v>0</v>
      </c>
      <c r="U926" s="398">
        <v>0</v>
      </c>
      <c r="V926" s="7">
        <v>0</v>
      </c>
      <c r="W926" s="7" t="s">
        <v>660</v>
      </c>
    </row>
    <row r="927" spans="1:23" x14ac:dyDescent="0.35">
      <c r="A927" s="2">
        <v>109</v>
      </c>
      <c r="B927" s="109" t="s">
        <v>17</v>
      </c>
      <c r="C927" s="110" t="s">
        <v>20</v>
      </c>
      <c r="D927" s="2"/>
      <c r="E927" s="51"/>
      <c r="F927" s="105"/>
      <c r="H927" s="2">
        <v>1</v>
      </c>
      <c r="I927" s="2">
        <v>0</v>
      </c>
      <c r="J927" s="2">
        <v>0</v>
      </c>
      <c r="K927" s="2">
        <v>1</v>
      </c>
      <c r="L927" s="2">
        <v>0.42</v>
      </c>
      <c r="M927" s="2">
        <v>0.48249999999999998</v>
      </c>
      <c r="N927" s="244">
        <v>2.3402499999999999E-3</v>
      </c>
      <c r="O927" s="2" t="s">
        <v>18</v>
      </c>
      <c r="P927" s="2">
        <v>50</v>
      </c>
      <c r="Q927" s="2">
        <v>0</v>
      </c>
      <c r="R927" s="2" t="s">
        <v>17</v>
      </c>
      <c r="S927" s="2"/>
      <c r="T927" s="2" t="s">
        <v>861</v>
      </c>
      <c r="U927" s="398" t="s">
        <v>861</v>
      </c>
      <c r="V927" s="7">
        <v>0</v>
      </c>
      <c r="W927" s="7" t="s">
        <v>1084</v>
      </c>
    </row>
    <row r="928" spans="1:23" x14ac:dyDescent="0.35">
      <c r="A928" s="2">
        <v>109</v>
      </c>
      <c r="B928" s="109" t="s">
        <v>23</v>
      </c>
      <c r="C928" s="110" t="s">
        <v>24</v>
      </c>
      <c r="D928" s="2"/>
      <c r="E928" s="51"/>
      <c r="F928" s="105"/>
      <c r="H928" s="2">
        <v>119</v>
      </c>
      <c r="I928" s="2">
        <v>0</v>
      </c>
      <c r="J928" s="2">
        <v>0</v>
      </c>
      <c r="K928" s="2">
        <v>10</v>
      </c>
      <c r="L928" s="2">
        <v>49.98</v>
      </c>
      <c r="M928" s="2">
        <v>57.417499999999997</v>
      </c>
      <c r="N928" s="244">
        <v>0.27848974999999998</v>
      </c>
      <c r="O928" s="2" t="s">
        <v>18</v>
      </c>
      <c r="P928" s="2">
        <v>50</v>
      </c>
      <c r="Q928" s="2">
        <v>0</v>
      </c>
      <c r="R928" s="2" t="s">
        <v>23</v>
      </c>
      <c r="S928" s="2"/>
      <c r="T928" s="2" t="s">
        <v>861</v>
      </c>
      <c r="U928" s="398" t="s">
        <v>861</v>
      </c>
      <c r="V928" s="7">
        <v>0</v>
      </c>
      <c r="W928" s="7" t="s">
        <v>1084</v>
      </c>
    </row>
    <row r="929" spans="1:23" x14ac:dyDescent="0.35">
      <c r="A929" s="2">
        <v>109</v>
      </c>
      <c r="B929" s="109" t="s">
        <v>25</v>
      </c>
      <c r="C929" s="110" t="s">
        <v>26</v>
      </c>
      <c r="D929" s="2"/>
      <c r="E929" s="51"/>
      <c r="F929" s="105"/>
      <c r="H929" s="2">
        <v>112</v>
      </c>
      <c r="I929" s="2">
        <v>0</v>
      </c>
      <c r="J929" s="2">
        <v>0</v>
      </c>
      <c r="K929" s="2">
        <v>10</v>
      </c>
      <c r="L929" s="2">
        <v>47.040000000000006</v>
      </c>
      <c r="M929" s="2">
        <v>54.040000000000006</v>
      </c>
      <c r="N929" s="244">
        <v>0.26210800000000001</v>
      </c>
      <c r="O929" s="2" t="s">
        <v>18</v>
      </c>
      <c r="P929" s="2">
        <v>50</v>
      </c>
      <c r="Q929" s="2">
        <v>0</v>
      </c>
      <c r="R929" s="2" t="s">
        <v>25</v>
      </c>
      <c r="S929" s="2"/>
      <c r="T929" s="2" t="s">
        <v>861</v>
      </c>
      <c r="U929" s="398" t="s">
        <v>861</v>
      </c>
      <c r="V929" s="7">
        <v>0</v>
      </c>
      <c r="W929" s="7" t="s">
        <v>1084</v>
      </c>
    </row>
    <row r="930" spans="1:23" x14ac:dyDescent="0.35">
      <c r="A930" s="2">
        <v>109</v>
      </c>
      <c r="B930" s="109" t="s">
        <v>27</v>
      </c>
      <c r="C930" s="110" t="s">
        <v>28</v>
      </c>
      <c r="D930" s="2"/>
      <c r="E930" s="51"/>
      <c r="F930" s="105"/>
      <c r="H930" s="2">
        <v>108</v>
      </c>
      <c r="I930" s="2">
        <v>0</v>
      </c>
      <c r="J930" s="2">
        <v>0</v>
      </c>
      <c r="K930" s="2">
        <v>9</v>
      </c>
      <c r="L930" s="2">
        <v>45.36</v>
      </c>
      <c r="M930" s="2">
        <v>52.11</v>
      </c>
      <c r="N930" s="244">
        <v>0.252747</v>
      </c>
      <c r="O930" s="2" t="s">
        <v>18</v>
      </c>
      <c r="P930" s="2">
        <v>50</v>
      </c>
      <c r="Q930" s="2">
        <v>0</v>
      </c>
      <c r="R930" s="2" t="s">
        <v>27</v>
      </c>
      <c r="S930" s="2"/>
      <c r="T930" s="2" t="s">
        <v>861</v>
      </c>
      <c r="U930" s="398" t="s">
        <v>861</v>
      </c>
      <c r="V930" s="7">
        <v>0</v>
      </c>
      <c r="W930" s="7" t="s">
        <v>1084</v>
      </c>
    </row>
    <row r="931" spans="1:23" x14ac:dyDescent="0.35">
      <c r="A931" s="2">
        <v>109</v>
      </c>
      <c r="B931" s="109" t="s">
        <v>29</v>
      </c>
      <c r="C931" s="110" t="s">
        <v>31</v>
      </c>
      <c r="D931" s="2"/>
      <c r="E931" s="51"/>
      <c r="F931" s="105"/>
      <c r="H931" s="2">
        <v>112</v>
      </c>
      <c r="I931" s="2">
        <v>0</v>
      </c>
      <c r="J931" s="2">
        <v>0</v>
      </c>
      <c r="K931" s="2">
        <v>10</v>
      </c>
      <c r="L931" s="2">
        <v>44.613333333333337</v>
      </c>
      <c r="M931" s="2">
        <v>49</v>
      </c>
      <c r="N931" s="244">
        <v>0.26210800000000001</v>
      </c>
      <c r="O931" s="2" t="s">
        <v>18</v>
      </c>
      <c r="P931" s="2">
        <v>50</v>
      </c>
      <c r="Q931" s="2">
        <v>0</v>
      </c>
      <c r="R931" s="2" t="s">
        <v>29</v>
      </c>
      <c r="S931" s="2"/>
      <c r="T931" s="2" t="s">
        <v>861</v>
      </c>
      <c r="U931" s="398" t="s">
        <v>861</v>
      </c>
      <c r="V931" s="7">
        <v>0</v>
      </c>
      <c r="W931" s="7" t="s">
        <v>1084</v>
      </c>
    </row>
    <row r="932" spans="1:23" x14ac:dyDescent="0.35">
      <c r="A932" s="2">
        <v>109</v>
      </c>
      <c r="B932" s="109" t="s">
        <v>32</v>
      </c>
      <c r="C932" s="110" t="s">
        <v>33</v>
      </c>
      <c r="D932" s="2"/>
      <c r="E932" s="51"/>
      <c r="F932" s="105"/>
      <c r="H932" s="2">
        <v>113</v>
      </c>
      <c r="I932" s="2">
        <v>0</v>
      </c>
      <c r="J932" s="2">
        <v>0</v>
      </c>
      <c r="K932" s="2">
        <v>10</v>
      </c>
      <c r="L932" s="2">
        <v>45.011666666666663</v>
      </c>
      <c r="M932" s="2">
        <v>49.4375</v>
      </c>
      <c r="N932" s="244">
        <v>0.26444825</v>
      </c>
      <c r="O932" s="2" t="s">
        <v>18</v>
      </c>
      <c r="P932" s="2">
        <v>50</v>
      </c>
      <c r="Q932" s="2">
        <v>0</v>
      </c>
      <c r="R932" s="2" t="s">
        <v>32</v>
      </c>
      <c r="S932" s="2"/>
      <c r="T932" s="2" t="s">
        <v>861</v>
      </c>
      <c r="U932" s="398" t="s">
        <v>861</v>
      </c>
      <c r="V932" s="7">
        <v>0</v>
      </c>
      <c r="W932" s="7" t="s">
        <v>1084</v>
      </c>
    </row>
    <row r="933" spans="1:23" x14ac:dyDescent="0.35">
      <c r="A933" s="2">
        <v>109</v>
      </c>
      <c r="B933" s="109" t="s">
        <v>34</v>
      </c>
      <c r="C933" s="110" t="s">
        <v>35</v>
      </c>
      <c r="D933" s="2"/>
      <c r="E933" s="51"/>
      <c r="F933" s="105"/>
      <c r="H933" s="2">
        <v>142</v>
      </c>
      <c r="I933" s="2">
        <v>0</v>
      </c>
      <c r="J933" s="2">
        <v>0</v>
      </c>
      <c r="K933" s="2">
        <v>12</v>
      </c>
      <c r="L933" s="2">
        <v>56.56333333333334</v>
      </c>
      <c r="M933" s="2">
        <v>62.125</v>
      </c>
      <c r="N933" s="244">
        <v>0.33231550000000004</v>
      </c>
      <c r="O933" s="2" t="s">
        <v>18</v>
      </c>
      <c r="P933" s="2">
        <v>50</v>
      </c>
      <c r="Q933" s="2">
        <v>0</v>
      </c>
      <c r="R933" s="2" t="s">
        <v>34</v>
      </c>
      <c r="S933" s="2"/>
      <c r="T933" s="2" t="s">
        <v>861</v>
      </c>
      <c r="U933" s="398" t="s">
        <v>861</v>
      </c>
      <c r="V933" s="7">
        <v>0</v>
      </c>
      <c r="W933" s="7" t="s">
        <v>1084</v>
      </c>
    </row>
    <row r="934" spans="1:23" x14ac:dyDescent="0.35">
      <c r="A934" s="2">
        <v>109</v>
      </c>
      <c r="B934" s="109" t="s">
        <v>36</v>
      </c>
      <c r="C934" s="110" t="s">
        <v>37</v>
      </c>
      <c r="D934" s="2"/>
      <c r="E934" s="51"/>
      <c r="F934" s="105"/>
      <c r="H934" s="2">
        <v>134</v>
      </c>
      <c r="I934" s="2">
        <v>0</v>
      </c>
      <c r="J934" s="2">
        <v>0</v>
      </c>
      <c r="K934" s="2">
        <v>12</v>
      </c>
      <c r="L934" s="2">
        <v>53.376666666666665</v>
      </c>
      <c r="M934" s="2">
        <v>58.625</v>
      </c>
      <c r="N934" s="244">
        <v>0.31359349999999991</v>
      </c>
      <c r="O934" s="2" t="s">
        <v>18</v>
      </c>
      <c r="P934" s="2">
        <v>50</v>
      </c>
      <c r="Q934" s="2">
        <v>0</v>
      </c>
      <c r="R934" s="2" t="s">
        <v>36</v>
      </c>
      <c r="S934" s="2"/>
      <c r="T934" s="2" t="s">
        <v>861</v>
      </c>
      <c r="U934" s="398" t="s">
        <v>861</v>
      </c>
      <c r="V934" s="7">
        <v>0</v>
      </c>
      <c r="W934" s="7" t="s">
        <v>1084</v>
      </c>
    </row>
    <row r="935" spans="1:23" x14ac:dyDescent="0.35">
      <c r="A935" s="2">
        <v>109</v>
      </c>
      <c r="B935" s="109" t="s">
        <v>182</v>
      </c>
      <c r="C935" s="110" t="s">
        <v>183</v>
      </c>
      <c r="D935" s="2"/>
      <c r="E935" s="51"/>
      <c r="F935" s="105"/>
      <c r="H935" s="2">
        <v>63</v>
      </c>
      <c r="I935" s="2">
        <v>0</v>
      </c>
      <c r="J935" s="2">
        <v>0</v>
      </c>
      <c r="K935" s="2">
        <v>6</v>
      </c>
      <c r="L935" s="2">
        <v>6.6150000000000002</v>
      </c>
      <c r="M935" s="2">
        <v>6.6150000000000002</v>
      </c>
      <c r="N935" s="244">
        <v>1.6124062500000001E-2</v>
      </c>
      <c r="O935" s="2" t="s">
        <v>180</v>
      </c>
      <c r="P935" s="2">
        <v>0</v>
      </c>
      <c r="Q935" s="2" t="s">
        <v>151</v>
      </c>
      <c r="R935" s="2" t="s">
        <v>182</v>
      </c>
      <c r="S935" s="2"/>
      <c r="T935" s="2" t="s">
        <v>861</v>
      </c>
      <c r="U935" s="398" t="s">
        <v>861</v>
      </c>
      <c r="V935" s="7">
        <v>0</v>
      </c>
      <c r="W935" s="7" t="s">
        <v>1084</v>
      </c>
    </row>
    <row r="936" spans="1:23" x14ac:dyDescent="0.35">
      <c r="A936" s="2">
        <v>109</v>
      </c>
      <c r="B936" s="109" t="s">
        <v>184</v>
      </c>
      <c r="C936" s="110" t="s">
        <v>185</v>
      </c>
      <c r="D936" s="2"/>
      <c r="E936" s="51"/>
      <c r="F936" s="105"/>
      <c r="H936" s="2">
        <v>63</v>
      </c>
      <c r="I936" s="2">
        <v>0</v>
      </c>
      <c r="J936" s="2">
        <v>0</v>
      </c>
      <c r="K936" s="2">
        <v>6</v>
      </c>
      <c r="L936" s="2">
        <v>6.6150000000000002</v>
      </c>
      <c r="M936" s="2">
        <v>6.6150000000000002</v>
      </c>
      <c r="N936" s="244">
        <v>1.6124062500000001E-2</v>
      </c>
      <c r="O936" s="2" t="s">
        <v>180</v>
      </c>
      <c r="P936" s="2">
        <v>0</v>
      </c>
      <c r="Q936" s="2" t="s">
        <v>151</v>
      </c>
      <c r="R936" s="2" t="s">
        <v>184</v>
      </c>
      <c r="S936" s="2"/>
      <c r="T936" s="2" t="s">
        <v>861</v>
      </c>
      <c r="U936" s="398" t="s">
        <v>861</v>
      </c>
      <c r="V936" s="7">
        <v>0</v>
      </c>
      <c r="W936" s="7" t="s">
        <v>1084</v>
      </c>
    </row>
    <row r="937" spans="1:23" x14ac:dyDescent="0.35">
      <c r="A937" s="2">
        <v>109</v>
      </c>
      <c r="B937" s="109" t="s">
        <v>99</v>
      </c>
      <c r="C937" s="110" t="s">
        <v>100</v>
      </c>
      <c r="D937" s="2"/>
      <c r="E937" s="51"/>
      <c r="F937" s="105"/>
      <c r="H937" s="2">
        <v>120</v>
      </c>
      <c r="I937" s="2">
        <v>0</v>
      </c>
      <c r="J937" s="2">
        <v>0</v>
      </c>
      <c r="K937" s="2">
        <v>5</v>
      </c>
      <c r="L937" s="2">
        <v>34.35</v>
      </c>
      <c r="M937" s="2">
        <v>37.799999999999997</v>
      </c>
      <c r="N937" s="244">
        <v>0.125775</v>
      </c>
      <c r="O937" s="2" t="s">
        <v>934</v>
      </c>
      <c r="P937" s="2">
        <v>100</v>
      </c>
      <c r="Q937" s="2" t="s">
        <v>55</v>
      </c>
      <c r="R937" s="2" t="s">
        <v>99</v>
      </c>
      <c r="S937" s="2"/>
      <c r="T937" s="2" t="s">
        <v>861</v>
      </c>
      <c r="U937" s="398" t="s">
        <v>861</v>
      </c>
      <c r="V937" s="7">
        <v>0</v>
      </c>
      <c r="W937" s="7" t="s">
        <v>1084</v>
      </c>
    </row>
    <row r="938" spans="1:23" x14ac:dyDescent="0.35">
      <c r="A938" s="2">
        <v>109</v>
      </c>
      <c r="B938" s="109" t="s">
        <v>101</v>
      </c>
      <c r="C938" s="110" t="s">
        <v>102</v>
      </c>
      <c r="D938" s="2"/>
      <c r="E938" s="51"/>
      <c r="F938" s="105"/>
      <c r="H938" s="2">
        <v>135</v>
      </c>
      <c r="I938" s="2">
        <v>0</v>
      </c>
      <c r="J938" s="2">
        <v>0</v>
      </c>
      <c r="K938" s="2">
        <v>6</v>
      </c>
      <c r="L938" s="2">
        <v>38.643749999999997</v>
      </c>
      <c r="M938" s="2">
        <v>42.524999999999999</v>
      </c>
      <c r="N938" s="244">
        <v>0.14149687499999999</v>
      </c>
      <c r="O938" s="2" t="s">
        <v>934</v>
      </c>
      <c r="P938" s="2">
        <v>100</v>
      </c>
      <c r="Q938" s="2" t="s">
        <v>55</v>
      </c>
      <c r="R938" s="2" t="s">
        <v>101</v>
      </c>
      <c r="S938" s="2"/>
      <c r="T938" s="2" t="s">
        <v>861</v>
      </c>
      <c r="U938" s="398" t="s">
        <v>861</v>
      </c>
      <c r="V938" s="7">
        <v>0</v>
      </c>
      <c r="W938" s="7" t="s">
        <v>1084</v>
      </c>
    </row>
    <row r="939" spans="1:23" x14ac:dyDescent="0.35">
      <c r="A939" s="2">
        <v>109</v>
      </c>
      <c r="B939" s="109" t="s">
        <v>103</v>
      </c>
      <c r="C939" s="110" t="s">
        <v>104</v>
      </c>
      <c r="D939" s="2"/>
      <c r="E939" s="51"/>
      <c r="F939" s="105"/>
      <c r="H939" s="2">
        <v>144</v>
      </c>
      <c r="I939" s="2">
        <v>0</v>
      </c>
      <c r="J939" s="2">
        <v>0</v>
      </c>
      <c r="K939" s="2">
        <v>6</v>
      </c>
      <c r="L939" s="2">
        <v>41.22</v>
      </c>
      <c r="M939" s="2">
        <v>45.36</v>
      </c>
      <c r="N939" s="244">
        <v>0.15093000000000001</v>
      </c>
      <c r="O939" s="2" t="s">
        <v>934</v>
      </c>
      <c r="P939" s="2">
        <v>100</v>
      </c>
      <c r="Q939" s="2" t="s">
        <v>55</v>
      </c>
      <c r="R939" s="2" t="s">
        <v>103</v>
      </c>
      <c r="S939" s="2"/>
      <c r="T939" s="2" t="s">
        <v>861</v>
      </c>
      <c r="U939" s="398" t="s">
        <v>861</v>
      </c>
      <c r="V939" s="7">
        <v>0</v>
      </c>
      <c r="W939" s="7" t="s">
        <v>1084</v>
      </c>
    </row>
    <row r="940" spans="1:23" x14ac:dyDescent="0.35">
      <c r="A940" s="2">
        <v>109</v>
      </c>
      <c r="B940" s="109" t="s">
        <v>105</v>
      </c>
      <c r="C940" s="110" t="s">
        <v>106</v>
      </c>
      <c r="D940" s="2"/>
      <c r="E940" s="51"/>
      <c r="F940" s="105"/>
      <c r="H940" s="2">
        <v>119</v>
      </c>
      <c r="I940" s="2">
        <v>0</v>
      </c>
      <c r="J940" s="2">
        <v>0</v>
      </c>
      <c r="K940" s="2">
        <v>5</v>
      </c>
      <c r="L940" s="2">
        <v>34.063749999999999</v>
      </c>
      <c r="M940" s="2">
        <v>37.484999999999992</v>
      </c>
      <c r="N940" s="244">
        <v>0.12472687499999997</v>
      </c>
      <c r="O940" s="2" t="s">
        <v>934</v>
      </c>
      <c r="P940" s="2">
        <v>100</v>
      </c>
      <c r="Q940" s="2" t="s">
        <v>55</v>
      </c>
      <c r="R940" s="2" t="s">
        <v>105</v>
      </c>
      <c r="S940" s="2"/>
      <c r="T940" s="2" t="s">
        <v>861</v>
      </c>
      <c r="U940" s="398" t="s">
        <v>861</v>
      </c>
      <c r="V940" s="7">
        <v>0</v>
      </c>
      <c r="W940" s="7" t="s">
        <v>1084</v>
      </c>
    </row>
    <row r="941" spans="1:23" x14ac:dyDescent="0.35">
      <c r="A941" s="2">
        <v>109</v>
      </c>
      <c r="B941" s="109" t="s">
        <v>160</v>
      </c>
      <c r="C941" s="110" t="s">
        <v>161</v>
      </c>
      <c r="D941" s="2"/>
      <c r="E941" s="51"/>
      <c r="F941" s="105"/>
      <c r="H941" s="2">
        <v>52</v>
      </c>
      <c r="I941" s="2">
        <v>0</v>
      </c>
      <c r="J941" s="2">
        <v>0</v>
      </c>
      <c r="K941" s="2">
        <v>2</v>
      </c>
      <c r="L941" s="2">
        <v>8.1033333333333335</v>
      </c>
      <c r="M941" s="2">
        <v>8.3416666666666668</v>
      </c>
      <c r="N941" s="244">
        <v>3.688425E-2</v>
      </c>
      <c r="O941" s="2" t="s">
        <v>150</v>
      </c>
      <c r="P941" s="2">
        <v>175</v>
      </c>
      <c r="Q941" s="2" t="s">
        <v>151</v>
      </c>
      <c r="R941" s="2" t="s">
        <v>160</v>
      </c>
      <c r="S941" s="2"/>
      <c r="T941" s="2" t="s">
        <v>861</v>
      </c>
      <c r="U941" s="398" t="s">
        <v>861</v>
      </c>
      <c r="V941" s="7">
        <v>0</v>
      </c>
      <c r="W941" s="7" t="s">
        <v>1084</v>
      </c>
    </row>
    <row r="942" spans="1:23" x14ac:dyDescent="0.35">
      <c r="A942" s="2">
        <v>109</v>
      </c>
      <c r="B942" s="109" t="s">
        <v>162</v>
      </c>
      <c r="C942" s="110" t="s">
        <v>163</v>
      </c>
      <c r="D942" s="2"/>
      <c r="E942" s="51"/>
      <c r="F942" s="105"/>
      <c r="H942" s="2">
        <v>62</v>
      </c>
      <c r="I942" s="2">
        <v>0</v>
      </c>
      <c r="J942" s="2">
        <v>0</v>
      </c>
      <c r="K942" s="2">
        <v>2</v>
      </c>
      <c r="L942" s="2">
        <v>9.6616666666666671</v>
      </c>
      <c r="M942" s="2">
        <v>9.9458333333333346</v>
      </c>
      <c r="N942" s="244">
        <v>4.3977374999999999E-2</v>
      </c>
      <c r="O942" s="2" t="s">
        <v>150</v>
      </c>
      <c r="P942" s="2">
        <v>175</v>
      </c>
      <c r="Q942" s="2" t="s">
        <v>151</v>
      </c>
      <c r="R942" s="2" t="s">
        <v>162</v>
      </c>
      <c r="S942" s="2"/>
      <c r="T942" s="2" t="s">
        <v>861</v>
      </c>
      <c r="U942" s="398" t="s">
        <v>861</v>
      </c>
      <c r="V942" s="7">
        <v>0</v>
      </c>
      <c r="W942" s="7" t="s">
        <v>1084</v>
      </c>
    </row>
    <row r="943" spans="1:23" x14ac:dyDescent="0.35">
      <c r="A943" s="2">
        <v>109</v>
      </c>
      <c r="B943" s="109" t="s">
        <v>164</v>
      </c>
      <c r="C943" s="110" t="s">
        <v>165</v>
      </c>
      <c r="D943" s="2"/>
      <c r="E943" s="51"/>
      <c r="F943" s="105"/>
      <c r="H943" s="2">
        <v>46</v>
      </c>
      <c r="I943" s="2">
        <v>0</v>
      </c>
      <c r="J943" s="2">
        <v>0</v>
      </c>
      <c r="K943" s="2">
        <v>1</v>
      </c>
      <c r="L943" s="2">
        <v>7.1683333333333339</v>
      </c>
      <c r="M943" s="2">
        <v>7.3791666666666673</v>
      </c>
      <c r="N943" s="244">
        <v>3.2628375000000001E-2</v>
      </c>
      <c r="O943" s="2" t="s">
        <v>150</v>
      </c>
      <c r="P943" s="2">
        <v>175</v>
      </c>
      <c r="Q943" s="2" t="s">
        <v>151</v>
      </c>
      <c r="R943" s="2" t="s">
        <v>164</v>
      </c>
      <c r="S943" s="2"/>
      <c r="T943" s="2" t="s">
        <v>861</v>
      </c>
      <c r="U943" s="398" t="s">
        <v>861</v>
      </c>
      <c r="V943" s="7">
        <v>0</v>
      </c>
      <c r="W943" s="7" t="s">
        <v>1084</v>
      </c>
    </row>
    <row r="944" spans="1:23" x14ac:dyDescent="0.35">
      <c r="A944" s="2">
        <v>109</v>
      </c>
      <c r="B944" s="109" t="s">
        <v>166</v>
      </c>
      <c r="C944" s="110" t="s">
        <v>167</v>
      </c>
      <c r="D944" s="2"/>
      <c r="E944" s="51"/>
      <c r="F944" s="105"/>
      <c r="H944" s="2">
        <v>49</v>
      </c>
      <c r="I944" s="2">
        <v>0</v>
      </c>
      <c r="J944" s="2">
        <v>0</v>
      </c>
      <c r="K944" s="2">
        <v>2</v>
      </c>
      <c r="L944" s="2">
        <v>7.6358333333333333</v>
      </c>
      <c r="M944" s="2">
        <v>7.8604166666666666</v>
      </c>
      <c r="N944" s="244">
        <v>3.4756312499999997E-2</v>
      </c>
      <c r="O944" s="2" t="s">
        <v>150</v>
      </c>
      <c r="P944" s="2">
        <v>175</v>
      </c>
      <c r="Q944" s="2" t="s">
        <v>151</v>
      </c>
      <c r="R944" s="2" t="s">
        <v>166</v>
      </c>
      <c r="S944" s="2"/>
      <c r="T944" s="2" t="s">
        <v>861</v>
      </c>
      <c r="U944" s="398" t="s">
        <v>861</v>
      </c>
      <c r="V944" s="7">
        <v>0</v>
      </c>
      <c r="W944" s="7" t="s">
        <v>1084</v>
      </c>
    </row>
    <row r="945" spans="1:23" x14ac:dyDescent="0.35">
      <c r="A945" s="2">
        <v>109</v>
      </c>
      <c r="B945" s="109" t="s">
        <v>91</v>
      </c>
      <c r="C945" s="110" t="s">
        <v>92</v>
      </c>
      <c r="D945" s="2"/>
      <c r="E945" s="51"/>
      <c r="F945" s="105"/>
      <c r="H945" s="2">
        <v>84</v>
      </c>
      <c r="I945" s="2">
        <v>0</v>
      </c>
      <c r="J945" s="2">
        <v>0</v>
      </c>
      <c r="K945" s="2">
        <v>4</v>
      </c>
      <c r="L945" s="2">
        <v>26.32</v>
      </c>
      <c r="M945" s="2">
        <v>28.805</v>
      </c>
      <c r="N945" s="244">
        <v>7.8561000000000006E-2</v>
      </c>
      <c r="O945" s="2" t="s">
        <v>934</v>
      </c>
      <c r="P945" s="2">
        <v>100</v>
      </c>
      <c r="Q945" s="2" t="s">
        <v>55</v>
      </c>
      <c r="R945" s="2" t="s">
        <v>91</v>
      </c>
      <c r="S945" s="2"/>
      <c r="T945" s="2" t="s">
        <v>861</v>
      </c>
      <c r="U945" s="398" t="s">
        <v>861</v>
      </c>
      <c r="V945" s="7">
        <v>0</v>
      </c>
      <c r="W945" s="7" t="s">
        <v>1084</v>
      </c>
    </row>
    <row r="946" spans="1:23" x14ac:dyDescent="0.35">
      <c r="A946" s="2">
        <v>109</v>
      </c>
      <c r="B946" s="109" t="s">
        <v>93</v>
      </c>
      <c r="C946" s="110" t="s">
        <v>94</v>
      </c>
      <c r="D946" s="2"/>
      <c r="E946" s="51"/>
      <c r="F946" s="105"/>
      <c r="H946" s="2">
        <v>1</v>
      </c>
      <c r="I946" s="2">
        <v>0</v>
      </c>
      <c r="J946" s="2">
        <v>0</v>
      </c>
      <c r="K946" s="2">
        <v>1</v>
      </c>
      <c r="L946" s="2">
        <v>0.3133333333333333</v>
      </c>
      <c r="M946" s="2">
        <v>0.34291666666666665</v>
      </c>
      <c r="N946" s="244">
        <v>9.3524999999999988E-4</v>
      </c>
      <c r="O946" s="2" t="s">
        <v>934</v>
      </c>
      <c r="P946" s="2">
        <v>100</v>
      </c>
      <c r="Q946" s="2" t="s">
        <v>55</v>
      </c>
      <c r="R946" s="2" t="s">
        <v>93</v>
      </c>
      <c r="S946" s="2"/>
      <c r="T946" s="2" t="s">
        <v>861</v>
      </c>
      <c r="U946" s="398" t="s">
        <v>861</v>
      </c>
      <c r="V946" s="7">
        <v>0</v>
      </c>
      <c r="W946" s="7" t="s">
        <v>1084</v>
      </c>
    </row>
    <row r="947" spans="1:23" x14ac:dyDescent="0.35">
      <c r="A947" s="2">
        <v>109</v>
      </c>
      <c r="B947" s="109" t="s">
        <v>95</v>
      </c>
      <c r="C947" s="110" t="s">
        <v>96</v>
      </c>
      <c r="D947" s="2"/>
      <c r="E947" s="51"/>
      <c r="F947" s="105"/>
      <c r="H947" s="2">
        <v>73</v>
      </c>
      <c r="I947" s="2">
        <v>0</v>
      </c>
      <c r="J947" s="2">
        <v>0</v>
      </c>
      <c r="K947" s="2">
        <v>4</v>
      </c>
      <c r="L947" s="2">
        <v>22.873333333333331</v>
      </c>
      <c r="M947" s="2">
        <v>25.032916666666665</v>
      </c>
      <c r="N947" s="244">
        <v>6.827324999999998E-2</v>
      </c>
      <c r="O947" s="2" t="s">
        <v>934</v>
      </c>
      <c r="P947" s="2">
        <v>100</v>
      </c>
      <c r="Q947" s="2" t="s">
        <v>55</v>
      </c>
      <c r="R947" s="2" t="s">
        <v>95</v>
      </c>
      <c r="S947" s="2"/>
      <c r="T947" s="2" t="s">
        <v>861</v>
      </c>
      <c r="U947" s="398" t="s">
        <v>861</v>
      </c>
      <c r="V947" s="7">
        <v>0</v>
      </c>
      <c r="W947" s="7" t="s">
        <v>1084</v>
      </c>
    </row>
    <row r="948" spans="1:23" x14ac:dyDescent="0.35">
      <c r="A948" s="2">
        <v>109</v>
      </c>
      <c r="B948" s="109" t="s">
        <v>97</v>
      </c>
      <c r="C948" s="110" t="s">
        <v>98</v>
      </c>
      <c r="D948" s="2"/>
      <c r="E948" s="51"/>
      <c r="F948" s="105"/>
      <c r="H948" s="2">
        <v>3</v>
      </c>
      <c r="I948" s="2">
        <v>0</v>
      </c>
      <c r="J948" s="2">
        <v>0</v>
      </c>
      <c r="K948" s="2">
        <v>1</v>
      </c>
      <c r="L948" s="2">
        <v>0.94</v>
      </c>
      <c r="M948" s="2">
        <v>1.0287500000000001</v>
      </c>
      <c r="N948" s="244">
        <v>2.8057500000000001E-3</v>
      </c>
      <c r="O948" s="2" t="s">
        <v>934</v>
      </c>
      <c r="P948" s="2">
        <v>100</v>
      </c>
      <c r="Q948" s="2" t="s">
        <v>55</v>
      </c>
      <c r="R948" s="2" t="s">
        <v>97</v>
      </c>
      <c r="S948" s="2"/>
      <c r="T948" s="2" t="s">
        <v>861</v>
      </c>
      <c r="U948" s="398" t="s">
        <v>861</v>
      </c>
      <c r="V948" s="7">
        <v>0</v>
      </c>
      <c r="W948" s="7" t="s">
        <v>1084</v>
      </c>
    </row>
    <row r="949" spans="1:23" x14ac:dyDescent="0.35">
      <c r="A949" s="2">
        <v>109</v>
      </c>
      <c r="B949" s="109" t="s">
        <v>149</v>
      </c>
      <c r="C949" s="110" t="s">
        <v>152</v>
      </c>
      <c r="D949" s="2"/>
      <c r="E949" s="51"/>
      <c r="F949" s="105"/>
      <c r="H949" s="2">
        <v>40</v>
      </c>
      <c r="I949" s="2">
        <v>0</v>
      </c>
      <c r="J949" s="2">
        <v>0</v>
      </c>
      <c r="K949" s="2">
        <v>1</v>
      </c>
      <c r="L949" s="2">
        <v>5.24</v>
      </c>
      <c r="M949" s="2">
        <v>5.8633333333333333</v>
      </c>
      <c r="N949" s="244">
        <v>2.1866666666666673E-2</v>
      </c>
      <c r="O949" s="2" t="s">
        <v>150</v>
      </c>
      <c r="P949" s="2">
        <v>150</v>
      </c>
      <c r="Q949" s="2" t="s">
        <v>151</v>
      </c>
      <c r="R949" s="2" t="s">
        <v>149</v>
      </c>
      <c r="S949" s="2"/>
      <c r="T949" s="2" t="s">
        <v>861</v>
      </c>
      <c r="U949" s="398" t="s">
        <v>861</v>
      </c>
      <c r="V949" s="7">
        <v>0</v>
      </c>
      <c r="W949" s="7" t="s">
        <v>1084</v>
      </c>
    </row>
    <row r="950" spans="1:23" x14ac:dyDescent="0.35">
      <c r="A950" s="2">
        <v>109</v>
      </c>
      <c r="B950" s="109" t="s">
        <v>154</v>
      </c>
      <c r="C950" s="110" t="s">
        <v>155</v>
      </c>
      <c r="D950" s="2"/>
      <c r="E950" s="51"/>
      <c r="F950" s="105"/>
      <c r="H950" s="2">
        <v>53</v>
      </c>
      <c r="I950" s="2">
        <v>0</v>
      </c>
      <c r="J950" s="2">
        <v>0</v>
      </c>
      <c r="K950" s="2">
        <v>2</v>
      </c>
      <c r="L950" s="2">
        <v>6.9430000000000005</v>
      </c>
      <c r="M950" s="2">
        <v>7.7689166666666667</v>
      </c>
      <c r="N950" s="244">
        <v>2.8973333333333337E-2</v>
      </c>
      <c r="O950" s="2" t="s">
        <v>150</v>
      </c>
      <c r="P950" s="2">
        <v>150</v>
      </c>
      <c r="Q950" s="2" t="s">
        <v>151</v>
      </c>
      <c r="R950" s="2" t="s">
        <v>154</v>
      </c>
      <c r="S950" s="2"/>
      <c r="T950" s="2" t="s">
        <v>861</v>
      </c>
      <c r="U950" s="398" t="s">
        <v>861</v>
      </c>
      <c r="V950" s="7">
        <v>0</v>
      </c>
      <c r="W950" s="7" t="s">
        <v>1084</v>
      </c>
    </row>
    <row r="951" spans="1:23" x14ac:dyDescent="0.35">
      <c r="A951" s="2">
        <v>109</v>
      </c>
      <c r="B951" s="109" t="s">
        <v>156</v>
      </c>
      <c r="C951" s="110" t="s">
        <v>157</v>
      </c>
      <c r="D951" s="2"/>
      <c r="E951" s="51"/>
      <c r="F951" s="105"/>
      <c r="H951" s="2">
        <v>49</v>
      </c>
      <c r="I951" s="2">
        <v>0</v>
      </c>
      <c r="J951" s="2">
        <v>0</v>
      </c>
      <c r="K951" s="2">
        <v>2</v>
      </c>
      <c r="L951" s="2">
        <v>6.4189999999999996</v>
      </c>
      <c r="M951" s="2">
        <v>7.1825833333333327</v>
      </c>
      <c r="N951" s="244">
        <v>2.6786666666666663E-2</v>
      </c>
      <c r="O951" s="2" t="s">
        <v>150</v>
      </c>
      <c r="P951" s="2">
        <v>150</v>
      </c>
      <c r="Q951" s="2" t="s">
        <v>151</v>
      </c>
      <c r="R951" s="2" t="s">
        <v>156</v>
      </c>
      <c r="S951" s="2"/>
      <c r="T951" s="2" t="s">
        <v>861</v>
      </c>
      <c r="U951" s="398" t="s">
        <v>861</v>
      </c>
      <c r="V951" s="7">
        <v>0</v>
      </c>
      <c r="W951" s="7" t="s">
        <v>1084</v>
      </c>
    </row>
    <row r="952" spans="1:23" x14ac:dyDescent="0.35">
      <c r="A952" s="2">
        <v>109</v>
      </c>
      <c r="B952" s="109" t="s">
        <v>158</v>
      </c>
      <c r="C952" s="110" t="s">
        <v>159</v>
      </c>
      <c r="D952" s="2"/>
      <c r="E952" s="51"/>
      <c r="F952" s="105"/>
      <c r="H952" s="2">
        <v>44</v>
      </c>
      <c r="I952" s="2">
        <v>0</v>
      </c>
      <c r="J952" s="2">
        <v>0</v>
      </c>
      <c r="K952" s="2">
        <v>1</v>
      </c>
      <c r="L952" s="2">
        <v>5.7640000000000002</v>
      </c>
      <c r="M952" s="2">
        <v>6.4496666666666664</v>
      </c>
      <c r="N952" s="244">
        <v>2.4053333333333329E-2</v>
      </c>
      <c r="O952" s="2" t="s">
        <v>150</v>
      </c>
      <c r="P952" s="2">
        <v>150</v>
      </c>
      <c r="Q952" s="2" t="s">
        <v>151</v>
      </c>
      <c r="R952" s="2" t="s">
        <v>158</v>
      </c>
      <c r="S952" s="2"/>
      <c r="T952" s="2" t="s">
        <v>861</v>
      </c>
      <c r="U952" s="398" t="s">
        <v>861</v>
      </c>
      <c r="V952" s="7">
        <v>0</v>
      </c>
      <c r="W952" s="7" t="s">
        <v>1084</v>
      </c>
    </row>
    <row r="953" spans="1:23" x14ac:dyDescent="0.35">
      <c r="A953" s="2">
        <v>110</v>
      </c>
      <c r="B953" s="109" t="s">
        <v>91</v>
      </c>
      <c r="C953" s="110" t="s">
        <v>92</v>
      </c>
      <c r="D953" s="2">
        <v>2</v>
      </c>
      <c r="E953" s="51"/>
      <c r="F953" s="105"/>
      <c r="H953" s="2"/>
      <c r="I953" s="2">
        <v>1</v>
      </c>
      <c r="J953" s="2">
        <v>0</v>
      </c>
      <c r="K953" s="2">
        <v>0</v>
      </c>
      <c r="L953" s="2">
        <v>0.62666666666666659</v>
      </c>
      <c r="M953" s="2">
        <v>0.68583333333333329</v>
      </c>
      <c r="N953" s="244">
        <v>1.8704999999999998E-3</v>
      </c>
      <c r="O953" s="2" t="s">
        <v>934</v>
      </c>
      <c r="P953" s="2">
        <v>100</v>
      </c>
      <c r="Q953" s="2" t="s">
        <v>55</v>
      </c>
      <c r="R953" s="2" t="s">
        <v>91</v>
      </c>
      <c r="S953" s="2"/>
      <c r="T953" s="2">
        <v>5</v>
      </c>
      <c r="U953" s="398">
        <v>10</v>
      </c>
      <c r="V953" s="7">
        <v>0</v>
      </c>
      <c r="W953" s="7" t="s">
        <v>1099</v>
      </c>
    </row>
    <row r="954" spans="1:23" x14ac:dyDescent="0.35">
      <c r="A954" s="2">
        <v>110</v>
      </c>
      <c r="B954" s="109" t="s">
        <v>93</v>
      </c>
      <c r="C954" s="110" t="s">
        <v>94</v>
      </c>
      <c r="D954" s="2">
        <v>2</v>
      </c>
      <c r="E954" s="51"/>
      <c r="F954" s="105"/>
      <c r="H954" s="2"/>
      <c r="I954" s="2">
        <v>1</v>
      </c>
      <c r="J954" s="2">
        <v>0</v>
      </c>
      <c r="K954" s="2">
        <v>0</v>
      </c>
      <c r="L954" s="2">
        <v>0.62666666666666659</v>
      </c>
      <c r="M954" s="2">
        <v>0.68583333333333329</v>
      </c>
      <c r="N954" s="244">
        <v>1.8704999999999998E-3</v>
      </c>
      <c r="O954" s="2" t="s">
        <v>934</v>
      </c>
      <c r="P954" s="2">
        <v>100</v>
      </c>
      <c r="Q954" s="2" t="s">
        <v>55</v>
      </c>
      <c r="R954" s="2" t="s">
        <v>93</v>
      </c>
      <c r="S954" s="2"/>
      <c r="T954" s="2">
        <v>5</v>
      </c>
      <c r="U954" s="398">
        <v>10</v>
      </c>
      <c r="V954" s="7">
        <v>0</v>
      </c>
      <c r="W954" s="7" t="s">
        <v>1099</v>
      </c>
    </row>
    <row r="955" spans="1:23" x14ac:dyDescent="0.35">
      <c r="A955" s="2">
        <v>110</v>
      </c>
      <c r="B955" s="109" t="s">
        <v>95</v>
      </c>
      <c r="C955" s="110" t="s">
        <v>96</v>
      </c>
      <c r="D955" s="2">
        <v>2</v>
      </c>
      <c r="E955" s="51"/>
      <c r="F955" s="105"/>
      <c r="H955" s="2"/>
      <c r="I955" s="2">
        <v>1</v>
      </c>
      <c r="J955" s="2">
        <v>0</v>
      </c>
      <c r="K955" s="2">
        <v>0</v>
      </c>
      <c r="L955" s="2">
        <v>0.62666666666666659</v>
      </c>
      <c r="M955" s="2">
        <v>0.68583333333333329</v>
      </c>
      <c r="N955" s="244">
        <v>1.8704999999999998E-3</v>
      </c>
      <c r="O955" s="2" t="s">
        <v>934</v>
      </c>
      <c r="P955" s="2">
        <v>100</v>
      </c>
      <c r="Q955" s="2" t="s">
        <v>55</v>
      </c>
      <c r="R955" s="2" t="s">
        <v>95</v>
      </c>
      <c r="S955" s="2"/>
      <c r="T955" s="2">
        <v>5</v>
      </c>
      <c r="U955" s="398">
        <v>10</v>
      </c>
      <c r="V955" s="7">
        <v>0</v>
      </c>
      <c r="W955" s="7" t="s">
        <v>1099</v>
      </c>
    </row>
    <row r="956" spans="1:23" x14ac:dyDescent="0.35">
      <c r="A956" s="2">
        <v>110</v>
      </c>
      <c r="B956" s="109" t="s">
        <v>97</v>
      </c>
      <c r="C956" s="110" t="s">
        <v>98</v>
      </c>
      <c r="D956" s="2">
        <v>2</v>
      </c>
      <c r="E956" s="51"/>
      <c r="F956" s="105"/>
      <c r="H956" s="2"/>
      <c r="I956" s="2">
        <v>1</v>
      </c>
      <c r="J956" s="2">
        <v>0</v>
      </c>
      <c r="K956" s="2">
        <v>0</v>
      </c>
      <c r="L956" s="2">
        <v>0.62666666666666659</v>
      </c>
      <c r="M956" s="2">
        <v>0.68583333333333329</v>
      </c>
      <c r="N956" s="244">
        <v>1.8704999999999998E-3</v>
      </c>
      <c r="O956" s="2" t="s">
        <v>934</v>
      </c>
      <c r="P956" s="2">
        <v>100</v>
      </c>
      <c r="Q956" s="2" t="s">
        <v>55</v>
      </c>
      <c r="R956" s="2" t="s">
        <v>97</v>
      </c>
      <c r="S956" s="2"/>
      <c r="T956" s="2">
        <v>5</v>
      </c>
      <c r="U956" s="398">
        <v>10</v>
      </c>
      <c r="V956" s="7">
        <v>0</v>
      </c>
      <c r="W956" s="7" t="s">
        <v>1099</v>
      </c>
    </row>
    <row r="957" spans="1:23" x14ac:dyDescent="0.35">
      <c r="A957" s="2">
        <v>110</v>
      </c>
      <c r="B957" s="109" t="s">
        <v>99</v>
      </c>
      <c r="C957" s="110" t="s">
        <v>100</v>
      </c>
      <c r="D957" s="2">
        <v>2</v>
      </c>
      <c r="E957" s="51"/>
      <c r="F957" s="105"/>
      <c r="H957" s="2"/>
      <c r="I957" s="2">
        <v>1</v>
      </c>
      <c r="J957" s="2">
        <v>0</v>
      </c>
      <c r="K957" s="2">
        <v>0</v>
      </c>
      <c r="L957" s="2">
        <v>0.57250000000000001</v>
      </c>
      <c r="M957" s="2">
        <v>0.62999999999999989</v>
      </c>
      <c r="N957" s="244">
        <v>2.0962499999999996E-3</v>
      </c>
      <c r="O957" s="2" t="s">
        <v>934</v>
      </c>
      <c r="P957" s="2">
        <v>100</v>
      </c>
      <c r="Q957" s="2" t="s">
        <v>55</v>
      </c>
      <c r="R957" s="2" t="s">
        <v>99</v>
      </c>
      <c r="S957" s="2"/>
      <c r="T957" s="2">
        <v>5</v>
      </c>
      <c r="U957" s="398">
        <v>10</v>
      </c>
      <c r="V957" s="7">
        <v>0</v>
      </c>
      <c r="W957" s="7" t="s">
        <v>1099</v>
      </c>
    </row>
    <row r="958" spans="1:23" x14ac:dyDescent="0.35">
      <c r="A958" s="2">
        <v>110</v>
      </c>
      <c r="B958" s="109" t="s">
        <v>101</v>
      </c>
      <c r="C958" s="110" t="s">
        <v>102</v>
      </c>
      <c r="D958" s="2">
        <v>2</v>
      </c>
      <c r="E958" s="51"/>
      <c r="F958" s="105"/>
      <c r="H958" s="2"/>
      <c r="I958" s="2">
        <v>1</v>
      </c>
      <c r="J958" s="2">
        <v>0</v>
      </c>
      <c r="K958" s="2">
        <v>0</v>
      </c>
      <c r="L958" s="2">
        <v>0.57250000000000001</v>
      </c>
      <c r="M958" s="2">
        <v>0.62999999999999989</v>
      </c>
      <c r="N958" s="244">
        <v>2.0962499999999996E-3</v>
      </c>
      <c r="O958" s="2" t="s">
        <v>934</v>
      </c>
      <c r="P958" s="2">
        <v>100</v>
      </c>
      <c r="Q958" s="2" t="s">
        <v>55</v>
      </c>
      <c r="R958" s="2" t="s">
        <v>101</v>
      </c>
      <c r="S958" s="2"/>
      <c r="T958" s="2">
        <v>5</v>
      </c>
      <c r="U958" s="398">
        <v>10</v>
      </c>
      <c r="V958" s="7">
        <v>0</v>
      </c>
      <c r="W958" s="7" t="s">
        <v>1099</v>
      </c>
    </row>
    <row r="959" spans="1:23" x14ac:dyDescent="0.35">
      <c r="A959" s="2">
        <v>110</v>
      </c>
      <c r="B959" s="109" t="s">
        <v>103</v>
      </c>
      <c r="C959" s="110" t="s">
        <v>104</v>
      </c>
      <c r="D959" s="2">
        <v>2</v>
      </c>
      <c r="E959" s="51"/>
      <c r="F959" s="105"/>
      <c r="H959" s="2"/>
      <c r="I959" s="2">
        <v>1</v>
      </c>
      <c r="J959" s="2">
        <v>0</v>
      </c>
      <c r="K959" s="2">
        <v>0</v>
      </c>
      <c r="L959" s="2">
        <v>0.57250000000000001</v>
      </c>
      <c r="M959" s="2">
        <v>0.62999999999999989</v>
      </c>
      <c r="N959" s="244">
        <v>2.0962499999999996E-3</v>
      </c>
      <c r="O959" s="2" t="s">
        <v>934</v>
      </c>
      <c r="P959" s="2">
        <v>100</v>
      </c>
      <c r="Q959" s="2" t="s">
        <v>55</v>
      </c>
      <c r="R959" s="2" t="s">
        <v>103</v>
      </c>
      <c r="S959" s="2"/>
      <c r="T959" s="2">
        <v>5</v>
      </c>
      <c r="U959" s="398">
        <v>10</v>
      </c>
      <c r="V959" s="7">
        <v>0</v>
      </c>
      <c r="W959" s="7" t="s">
        <v>1099</v>
      </c>
    </row>
    <row r="960" spans="1:23" x14ac:dyDescent="0.35">
      <c r="A960" s="2">
        <v>110</v>
      </c>
      <c r="B960" s="109" t="s">
        <v>105</v>
      </c>
      <c r="C960" s="110" t="s">
        <v>106</v>
      </c>
      <c r="D960" s="2">
        <v>2</v>
      </c>
      <c r="E960" s="51"/>
      <c r="F960" s="105"/>
      <c r="H960" s="2"/>
      <c r="I960" s="2">
        <v>1</v>
      </c>
      <c r="J960" s="2">
        <v>0</v>
      </c>
      <c r="K960" s="2">
        <v>0</v>
      </c>
      <c r="L960" s="2">
        <v>0.57250000000000001</v>
      </c>
      <c r="M960" s="2">
        <v>0.62999999999999989</v>
      </c>
      <c r="N960" s="244">
        <v>2.0962499999999996E-3</v>
      </c>
      <c r="O960" s="2" t="s">
        <v>934</v>
      </c>
      <c r="P960" s="2">
        <v>100</v>
      </c>
      <c r="Q960" s="2" t="s">
        <v>55</v>
      </c>
      <c r="R960" s="2" t="s">
        <v>105</v>
      </c>
      <c r="S960" s="2"/>
      <c r="T960" s="2">
        <v>5</v>
      </c>
      <c r="U960" s="398">
        <v>10</v>
      </c>
      <c r="V960" s="7">
        <v>0</v>
      </c>
      <c r="W960" s="7" t="s">
        <v>1099</v>
      </c>
    </row>
    <row r="961" spans="1:23" x14ac:dyDescent="0.35">
      <c r="A961" s="2">
        <v>110</v>
      </c>
      <c r="B961" s="109" t="s">
        <v>107</v>
      </c>
      <c r="C961" s="110" t="s">
        <v>109</v>
      </c>
      <c r="D961" s="2">
        <v>2</v>
      </c>
      <c r="E961" s="51"/>
      <c r="F961" s="105"/>
      <c r="H961" s="2"/>
      <c r="I961" s="2">
        <v>1</v>
      </c>
      <c r="J961" s="2">
        <v>0</v>
      </c>
      <c r="K961" s="2">
        <v>0</v>
      </c>
      <c r="L961" s="2">
        <v>0.79</v>
      </c>
      <c r="M961" s="2">
        <v>0.82499999999999996</v>
      </c>
      <c r="N961" s="244">
        <v>1.4414583333333332E-3</v>
      </c>
      <c r="O961" s="2" t="s">
        <v>108</v>
      </c>
      <c r="P961" s="2">
        <v>100</v>
      </c>
      <c r="Q961" s="2" t="s">
        <v>55</v>
      </c>
      <c r="R961" s="2" t="s">
        <v>107</v>
      </c>
      <c r="S961" s="2"/>
      <c r="T961" s="2">
        <v>11.68</v>
      </c>
      <c r="U961" s="398">
        <v>23.36</v>
      </c>
      <c r="V961" s="7">
        <v>0</v>
      </c>
      <c r="W961" s="7" t="s">
        <v>1099</v>
      </c>
    </row>
    <row r="962" spans="1:23" x14ac:dyDescent="0.35">
      <c r="A962" s="2">
        <v>110</v>
      </c>
      <c r="B962" s="109" t="s">
        <v>110</v>
      </c>
      <c r="C962" s="110" t="s">
        <v>111</v>
      </c>
      <c r="D962" s="2">
        <v>2</v>
      </c>
      <c r="E962" s="51"/>
      <c r="F962" s="105"/>
      <c r="H962" s="2"/>
      <c r="I962" s="2">
        <v>1</v>
      </c>
      <c r="J962" s="2">
        <v>0</v>
      </c>
      <c r="K962" s="2">
        <v>0</v>
      </c>
      <c r="L962" s="2">
        <v>0.79</v>
      </c>
      <c r="M962" s="2">
        <v>0.82499999999999996</v>
      </c>
      <c r="N962" s="244">
        <v>1.4414583333333332E-3</v>
      </c>
      <c r="O962" s="2" t="s">
        <v>108</v>
      </c>
      <c r="P962" s="2">
        <v>100</v>
      </c>
      <c r="Q962" s="2" t="s">
        <v>55</v>
      </c>
      <c r="R962" s="2" t="s">
        <v>110</v>
      </c>
      <c r="S962" s="2"/>
      <c r="T962" s="2">
        <v>11.68</v>
      </c>
      <c r="U962" s="398">
        <v>23.36</v>
      </c>
      <c r="V962" s="7">
        <v>0</v>
      </c>
      <c r="W962" s="7" t="s">
        <v>1099</v>
      </c>
    </row>
    <row r="963" spans="1:23" x14ac:dyDescent="0.35">
      <c r="A963" s="2">
        <v>110</v>
      </c>
      <c r="B963" s="109" t="s">
        <v>1216</v>
      </c>
      <c r="C963" s="110" t="s">
        <v>648</v>
      </c>
      <c r="D963" s="2">
        <v>2</v>
      </c>
      <c r="E963" s="51"/>
      <c r="F963" s="105"/>
      <c r="H963" s="2"/>
      <c r="I963" s="2">
        <v>1</v>
      </c>
      <c r="J963" s="2">
        <v>0</v>
      </c>
      <c r="K963" s="2">
        <v>0</v>
      </c>
      <c r="L963" s="2">
        <v>0.79</v>
      </c>
      <c r="M963" s="2">
        <v>0.82499999999999996</v>
      </c>
      <c r="N963" s="244">
        <v>1.4414583333333332E-3</v>
      </c>
      <c r="O963" s="2" t="s">
        <v>108</v>
      </c>
      <c r="P963" s="2">
        <v>100</v>
      </c>
      <c r="Q963" s="2" t="s">
        <v>55</v>
      </c>
      <c r="R963" s="2" t="s">
        <v>112</v>
      </c>
      <c r="S963" s="2"/>
      <c r="T963" s="2">
        <v>11.68</v>
      </c>
      <c r="U963" s="398">
        <v>23.36</v>
      </c>
      <c r="V963" s="7">
        <v>0</v>
      </c>
      <c r="W963" s="7" t="s">
        <v>1099</v>
      </c>
    </row>
    <row r="964" spans="1:23" x14ac:dyDescent="0.35">
      <c r="A964" s="2">
        <v>110</v>
      </c>
      <c r="B964" s="109" t="s">
        <v>114</v>
      </c>
      <c r="C964" s="110" t="s">
        <v>115</v>
      </c>
      <c r="D964" s="2">
        <v>2</v>
      </c>
      <c r="E964" s="51"/>
      <c r="F964" s="105"/>
      <c r="H964" s="2"/>
      <c r="I964" s="2">
        <v>1</v>
      </c>
      <c r="J964" s="2">
        <v>0</v>
      </c>
      <c r="K964" s="2">
        <v>0</v>
      </c>
      <c r="L964" s="2">
        <v>0.79</v>
      </c>
      <c r="M964" s="2">
        <v>0.82499999999999996</v>
      </c>
      <c r="N964" s="244">
        <v>1.4414583333333332E-3</v>
      </c>
      <c r="O964" s="2" t="s">
        <v>108</v>
      </c>
      <c r="P964" s="2">
        <v>100</v>
      </c>
      <c r="Q964" s="2" t="s">
        <v>55</v>
      </c>
      <c r="R964" s="2" t="s">
        <v>114</v>
      </c>
      <c r="S964" s="2"/>
      <c r="T964" s="2">
        <v>11.68</v>
      </c>
      <c r="U964" s="398">
        <v>23.36</v>
      </c>
      <c r="V964" s="7">
        <v>0</v>
      </c>
      <c r="W964" s="7" t="s">
        <v>1099</v>
      </c>
    </row>
    <row r="965" spans="1:23" x14ac:dyDescent="0.35">
      <c r="A965" s="2">
        <v>110</v>
      </c>
      <c r="B965" s="109" t="s">
        <v>116</v>
      </c>
      <c r="C965" s="110" t="s">
        <v>117</v>
      </c>
      <c r="D965" s="2">
        <v>2</v>
      </c>
      <c r="E965" s="51"/>
      <c r="F965" s="105"/>
      <c r="H965" s="2"/>
      <c r="I965" s="2">
        <v>1</v>
      </c>
      <c r="J965" s="2">
        <v>0</v>
      </c>
      <c r="K965" s="2">
        <v>0</v>
      </c>
      <c r="L965" s="2">
        <v>0.7599999999999999</v>
      </c>
      <c r="M965" s="2">
        <v>0.79166666666666663</v>
      </c>
      <c r="N965" s="244">
        <v>1.4609375E-3</v>
      </c>
      <c r="O965" s="2" t="s">
        <v>108</v>
      </c>
      <c r="P965" s="2">
        <v>100</v>
      </c>
      <c r="Q965" s="2" t="s">
        <v>55</v>
      </c>
      <c r="R965" s="2" t="s">
        <v>116</v>
      </c>
      <c r="S965" s="2"/>
      <c r="T965" s="2">
        <v>11.68</v>
      </c>
      <c r="U965" s="398">
        <v>23.36</v>
      </c>
      <c r="V965" s="7">
        <v>0</v>
      </c>
      <c r="W965" s="7" t="s">
        <v>1099</v>
      </c>
    </row>
    <row r="966" spans="1:23" x14ac:dyDescent="0.35">
      <c r="A966" s="2">
        <v>110</v>
      </c>
      <c r="B966" s="109" t="s">
        <v>118</v>
      </c>
      <c r="C966" s="110" t="s">
        <v>119</v>
      </c>
      <c r="D966" s="2">
        <v>2</v>
      </c>
      <c r="E966" s="51"/>
      <c r="F966" s="105"/>
      <c r="H966" s="2"/>
      <c r="I966" s="2">
        <v>1</v>
      </c>
      <c r="J966" s="2">
        <v>0</v>
      </c>
      <c r="K966" s="2">
        <v>0</v>
      </c>
      <c r="L966" s="2">
        <v>0.7599999999999999</v>
      </c>
      <c r="M966" s="2">
        <v>0.79166666666666663</v>
      </c>
      <c r="N966" s="244">
        <v>1.4609375E-3</v>
      </c>
      <c r="O966" s="2" t="s">
        <v>108</v>
      </c>
      <c r="P966" s="2">
        <v>100</v>
      </c>
      <c r="Q966" s="2" t="s">
        <v>55</v>
      </c>
      <c r="R966" s="2" t="s">
        <v>118</v>
      </c>
      <c r="S966" s="2"/>
      <c r="T966" s="2">
        <v>11.68</v>
      </c>
      <c r="U966" s="398">
        <v>23.36</v>
      </c>
      <c r="V966" s="7">
        <v>0</v>
      </c>
      <c r="W966" s="7" t="s">
        <v>1099</v>
      </c>
    </row>
    <row r="967" spans="1:23" x14ac:dyDescent="0.35">
      <c r="A967" s="2">
        <v>110</v>
      </c>
      <c r="B967" s="109" t="s">
        <v>120</v>
      </c>
      <c r="C967" s="110" t="s">
        <v>121</v>
      </c>
      <c r="D967" s="2">
        <v>2</v>
      </c>
      <c r="E967" s="51"/>
      <c r="F967" s="105"/>
      <c r="H967" s="2"/>
      <c r="I967" s="2">
        <v>1</v>
      </c>
      <c r="J967" s="2">
        <v>0</v>
      </c>
      <c r="K967" s="2">
        <v>0</v>
      </c>
      <c r="L967" s="2">
        <v>0.7599999999999999</v>
      </c>
      <c r="M967" s="2">
        <v>0.79166666666666663</v>
      </c>
      <c r="N967" s="244">
        <v>1.4609375E-3</v>
      </c>
      <c r="O967" s="2" t="s">
        <v>108</v>
      </c>
      <c r="P967" s="2">
        <v>100</v>
      </c>
      <c r="Q967" s="2" t="s">
        <v>55</v>
      </c>
      <c r="R967" s="2" t="s">
        <v>120</v>
      </c>
      <c r="S967" s="2"/>
      <c r="T967" s="2">
        <v>11.68</v>
      </c>
      <c r="U967" s="398">
        <v>23.36</v>
      </c>
      <c r="V967" s="7">
        <v>0</v>
      </c>
      <c r="W967" s="7" t="s">
        <v>1099</v>
      </c>
    </row>
    <row r="968" spans="1:23" x14ac:dyDescent="0.35">
      <c r="A968" s="2">
        <v>110</v>
      </c>
      <c r="B968" s="109" t="s">
        <v>122</v>
      </c>
      <c r="C968" s="110" t="s">
        <v>123</v>
      </c>
      <c r="D968" s="2">
        <v>2</v>
      </c>
      <c r="E968" s="51"/>
      <c r="F968" s="105"/>
      <c r="H968" s="2"/>
      <c r="I968" s="2">
        <v>1</v>
      </c>
      <c r="J968" s="2">
        <v>0</v>
      </c>
      <c r="K968" s="2">
        <v>0</v>
      </c>
      <c r="L968" s="2">
        <v>0.7599999999999999</v>
      </c>
      <c r="M968" s="2">
        <v>0.79166666666666663</v>
      </c>
      <c r="N968" s="244">
        <v>1.4609375E-3</v>
      </c>
      <c r="O968" s="2" t="s">
        <v>108</v>
      </c>
      <c r="P968" s="2">
        <v>100</v>
      </c>
      <c r="Q968" s="2" t="s">
        <v>55</v>
      </c>
      <c r="R968" s="2" t="s">
        <v>122</v>
      </c>
      <c r="S968" s="2"/>
      <c r="T968" s="2">
        <v>11.68</v>
      </c>
      <c r="U968" s="398">
        <v>23.36</v>
      </c>
      <c r="V968" s="7">
        <v>0</v>
      </c>
      <c r="W968" s="7" t="s">
        <v>1099</v>
      </c>
    </row>
    <row r="969" spans="1:23" x14ac:dyDescent="0.35">
      <c r="A969" s="2">
        <v>110</v>
      </c>
      <c r="B969" s="109" t="s">
        <v>141</v>
      </c>
      <c r="C969" s="110" t="s">
        <v>142</v>
      </c>
      <c r="D969" s="2">
        <v>2</v>
      </c>
      <c r="E969" s="51"/>
      <c r="F969" s="105"/>
      <c r="H969" s="2"/>
      <c r="I969" s="2">
        <v>1</v>
      </c>
      <c r="J969" s="2">
        <v>0</v>
      </c>
      <c r="K969" s="2">
        <v>0</v>
      </c>
      <c r="L969" s="2">
        <v>0.79</v>
      </c>
      <c r="M969" s="2">
        <v>0.82499999999999996</v>
      </c>
      <c r="N969" s="244">
        <v>1.4609375E-3</v>
      </c>
      <c r="O969" s="2" t="s">
        <v>108</v>
      </c>
      <c r="P969" s="2">
        <v>100</v>
      </c>
      <c r="Q969" s="2" t="s">
        <v>55</v>
      </c>
      <c r="R969" s="2" t="s">
        <v>141</v>
      </c>
      <c r="S969" s="2"/>
      <c r="T969" s="2">
        <v>11.68</v>
      </c>
      <c r="U969" s="398">
        <v>23.36</v>
      </c>
      <c r="V969" s="7">
        <v>0</v>
      </c>
      <c r="W969" s="7" t="s">
        <v>1099</v>
      </c>
    </row>
    <row r="970" spans="1:23" x14ac:dyDescent="0.35">
      <c r="A970" s="2">
        <v>110</v>
      </c>
      <c r="B970" s="109" t="s">
        <v>143</v>
      </c>
      <c r="C970" s="110" t="s">
        <v>144</v>
      </c>
      <c r="D970" s="2">
        <v>2</v>
      </c>
      <c r="E970" s="51"/>
      <c r="F970" s="105"/>
      <c r="H970" s="2"/>
      <c r="I970" s="2">
        <v>1</v>
      </c>
      <c r="J970" s="2">
        <v>0</v>
      </c>
      <c r="K970" s="2">
        <v>0</v>
      </c>
      <c r="L970" s="2">
        <v>0.79</v>
      </c>
      <c r="M970" s="2">
        <v>0.82499999999999996</v>
      </c>
      <c r="N970" s="244">
        <v>1.4609375E-3</v>
      </c>
      <c r="O970" s="2" t="s">
        <v>108</v>
      </c>
      <c r="P970" s="2">
        <v>100</v>
      </c>
      <c r="Q970" s="2" t="s">
        <v>55</v>
      </c>
      <c r="R970" s="2" t="s">
        <v>143</v>
      </c>
      <c r="S970" s="2"/>
      <c r="T970" s="2">
        <v>11.68</v>
      </c>
      <c r="U970" s="398">
        <v>23.36</v>
      </c>
      <c r="V970" s="7">
        <v>0</v>
      </c>
      <c r="W970" s="7" t="s">
        <v>1099</v>
      </c>
    </row>
    <row r="971" spans="1:23" x14ac:dyDescent="0.35">
      <c r="A971" s="2">
        <v>110</v>
      </c>
      <c r="B971" s="109" t="s">
        <v>27</v>
      </c>
      <c r="C971" s="110" t="s">
        <v>28</v>
      </c>
      <c r="D971" s="2">
        <v>1</v>
      </c>
      <c r="E971" s="51"/>
      <c r="F971" s="105"/>
      <c r="H971" s="2"/>
      <c r="I971" s="2">
        <v>1</v>
      </c>
      <c r="J971" s="2">
        <v>0</v>
      </c>
      <c r="K971" s="2">
        <v>0</v>
      </c>
      <c r="L971" s="2">
        <v>0.42</v>
      </c>
      <c r="M971" s="2">
        <v>0.48249999999999998</v>
      </c>
      <c r="N971" s="244">
        <v>2.3402499999999999E-3</v>
      </c>
      <c r="O971" s="2" t="s">
        <v>18</v>
      </c>
      <c r="P971" s="2">
        <v>50</v>
      </c>
      <c r="Q971" s="2">
        <v>0</v>
      </c>
      <c r="R971" s="2" t="s">
        <v>27</v>
      </c>
      <c r="S971" s="2"/>
      <c r="T971" s="2">
        <v>5.23</v>
      </c>
      <c r="U971" s="398">
        <v>5.23</v>
      </c>
      <c r="V971" s="7">
        <v>0</v>
      </c>
      <c r="W971" s="7" t="s">
        <v>1099</v>
      </c>
    </row>
    <row r="972" spans="1:23" x14ac:dyDescent="0.35">
      <c r="A972" s="2">
        <v>110</v>
      </c>
      <c r="B972" s="109" t="s">
        <v>36</v>
      </c>
      <c r="C972" s="110" t="s">
        <v>37</v>
      </c>
      <c r="D972" s="2">
        <v>1</v>
      </c>
      <c r="E972" s="51"/>
      <c r="F972" s="105"/>
      <c r="H972" s="2"/>
      <c r="I972" s="2">
        <v>1</v>
      </c>
      <c r="J972" s="2">
        <v>0</v>
      </c>
      <c r="K972" s="2">
        <v>0</v>
      </c>
      <c r="L972" s="2">
        <v>0.39833333333333332</v>
      </c>
      <c r="M972" s="2">
        <v>0.4375</v>
      </c>
      <c r="N972" s="244">
        <v>2.3402499999999999E-3</v>
      </c>
      <c r="O972" s="2" t="s">
        <v>18</v>
      </c>
      <c r="P972" s="2">
        <v>50</v>
      </c>
      <c r="Q972" s="2">
        <v>0</v>
      </c>
      <c r="R972" s="2" t="s">
        <v>36</v>
      </c>
      <c r="S972" s="2"/>
      <c r="T972" s="2">
        <v>5.23</v>
      </c>
      <c r="U972" s="398">
        <v>5.23</v>
      </c>
      <c r="V972" s="7">
        <v>0</v>
      </c>
      <c r="W972" s="7" t="s">
        <v>1099</v>
      </c>
    </row>
    <row r="973" spans="1:23" x14ac:dyDescent="0.35">
      <c r="A973" s="2">
        <v>110</v>
      </c>
      <c r="B973" s="109" t="s">
        <v>38</v>
      </c>
      <c r="C973" s="110" t="s">
        <v>39</v>
      </c>
      <c r="D973" s="2">
        <v>1</v>
      </c>
      <c r="E973" s="51"/>
      <c r="F973" s="105"/>
      <c r="H973" s="2"/>
      <c r="I973" s="2">
        <v>1</v>
      </c>
      <c r="J973" s="2">
        <v>0</v>
      </c>
      <c r="K973" s="2">
        <v>0</v>
      </c>
      <c r="L973" s="2">
        <v>0.51416666666666666</v>
      </c>
      <c r="M973" s="2">
        <v>0.56416666666666659</v>
      </c>
      <c r="N973" s="244">
        <v>3.2484999999999997E-3</v>
      </c>
      <c r="O973" s="2" t="s">
        <v>18</v>
      </c>
      <c r="P973" s="2">
        <v>50</v>
      </c>
      <c r="Q973" s="2">
        <v>0</v>
      </c>
      <c r="R973" s="2" t="s">
        <v>38</v>
      </c>
      <c r="S973" s="2"/>
      <c r="T973" s="2">
        <v>6.16</v>
      </c>
      <c r="U973" s="398">
        <v>6.16</v>
      </c>
      <c r="V973" s="7">
        <v>0</v>
      </c>
      <c r="W973" s="7" t="s">
        <v>1099</v>
      </c>
    </row>
    <row r="974" spans="1:23" x14ac:dyDescent="0.35">
      <c r="A974" s="2">
        <v>110</v>
      </c>
      <c r="B974" s="109" t="s">
        <v>52</v>
      </c>
      <c r="C974" s="110" t="s">
        <v>53</v>
      </c>
      <c r="D974" s="2">
        <v>1</v>
      </c>
      <c r="E974" s="51"/>
      <c r="F974" s="105"/>
      <c r="H974" s="2"/>
      <c r="I974" s="2">
        <v>1</v>
      </c>
      <c r="J974" s="2">
        <v>0</v>
      </c>
      <c r="K974" s="2">
        <v>0</v>
      </c>
      <c r="L974" s="2">
        <v>0.47499999999999998</v>
      </c>
      <c r="M974" s="2">
        <v>0.52499999999999991</v>
      </c>
      <c r="N974" s="244">
        <v>3.2484999999999997E-3</v>
      </c>
      <c r="O974" s="2" t="s">
        <v>18</v>
      </c>
      <c r="P974" s="2">
        <v>50</v>
      </c>
      <c r="Q974" s="2">
        <v>0</v>
      </c>
      <c r="R974" s="2" t="s">
        <v>52</v>
      </c>
      <c r="S974" s="2"/>
      <c r="T974" s="2">
        <v>6.16</v>
      </c>
      <c r="U974" s="398">
        <v>6.16</v>
      </c>
      <c r="V974" s="7">
        <v>0</v>
      </c>
      <c r="W974" s="7" t="s">
        <v>1099</v>
      </c>
    </row>
    <row r="975" spans="1:23" x14ac:dyDescent="0.35">
      <c r="A975" s="2">
        <v>110</v>
      </c>
      <c r="B975" s="109" t="s">
        <v>725</v>
      </c>
      <c r="C975" s="110" t="s">
        <v>726</v>
      </c>
      <c r="D975" s="2">
        <v>1</v>
      </c>
      <c r="E975" s="51"/>
      <c r="F975" s="105"/>
      <c r="H975" s="2"/>
      <c r="I975" s="2" t="s">
        <v>861</v>
      </c>
      <c r="J975" s="2" t="s">
        <v>861</v>
      </c>
      <c r="K975" s="2" t="s">
        <v>861</v>
      </c>
      <c r="L975" s="2" t="s">
        <v>861</v>
      </c>
      <c r="M975" s="2" t="s">
        <v>861</v>
      </c>
      <c r="N975" s="244" t="s">
        <v>861</v>
      </c>
      <c r="O975" s="2" t="s">
        <v>1055</v>
      </c>
      <c r="P975" s="2">
        <v>50</v>
      </c>
      <c r="Q975" s="2" t="s">
        <v>1154</v>
      </c>
      <c r="R975" s="2" t="s">
        <v>725</v>
      </c>
      <c r="S975" s="2"/>
      <c r="T975" s="2" t="s">
        <v>861</v>
      </c>
      <c r="U975" s="398" t="s">
        <v>861</v>
      </c>
      <c r="V975" s="7">
        <v>0</v>
      </c>
      <c r="W975" s="7" t="s">
        <v>1099</v>
      </c>
    </row>
    <row r="976" spans="1:23" x14ac:dyDescent="0.35">
      <c r="A976" s="2">
        <v>110</v>
      </c>
      <c r="B976" s="109" t="s">
        <v>727</v>
      </c>
      <c r="C976" s="110" t="s">
        <v>728</v>
      </c>
      <c r="D976" s="2">
        <v>1</v>
      </c>
      <c r="E976" s="51"/>
      <c r="F976" s="105"/>
      <c r="H976" s="2"/>
      <c r="I976" s="2" t="s">
        <v>861</v>
      </c>
      <c r="J976" s="2" t="s">
        <v>861</v>
      </c>
      <c r="K976" s="2" t="s">
        <v>861</v>
      </c>
      <c r="L976" s="2" t="s">
        <v>861</v>
      </c>
      <c r="M976" s="2" t="s">
        <v>861</v>
      </c>
      <c r="N976" s="244" t="s">
        <v>861</v>
      </c>
      <c r="O976" s="2" t="s">
        <v>1055</v>
      </c>
      <c r="P976" s="2">
        <v>50</v>
      </c>
      <c r="Q976" s="2" t="s">
        <v>1154</v>
      </c>
      <c r="R976" s="2" t="s">
        <v>727</v>
      </c>
      <c r="S976" s="2"/>
      <c r="T976" s="2" t="s">
        <v>861</v>
      </c>
      <c r="U976" s="398" t="s">
        <v>861</v>
      </c>
      <c r="V976" s="7">
        <v>0</v>
      </c>
      <c r="W976" s="7" t="s">
        <v>1099</v>
      </c>
    </row>
    <row r="977" spans="1:23" x14ac:dyDescent="0.35">
      <c r="A977" s="2">
        <v>110</v>
      </c>
      <c r="B977" s="109" t="s">
        <v>729</v>
      </c>
      <c r="C977" s="110" t="s">
        <v>730</v>
      </c>
      <c r="D977" s="2">
        <v>1</v>
      </c>
      <c r="E977" s="51"/>
      <c r="F977" s="105"/>
      <c r="H977" s="2"/>
      <c r="I977" s="2" t="s">
        <v>861</v>
      </c>
      <c r="J977" s="2" t="s">
        <v>861</v>
      </c>
      <c r="K977" s="2" t="s">
        <v>861</v>
      </c>
      <c r="L977" s="2" t="s">
        <v>861</v>
      </c>
      <c r="M977" s="2" t="s">
        <v>861</v>
      </c>
      <c r="N977" s="244" t="s">
        <v>861</v>
      </c>
      <c r="O977" s="2" t="s">
        <v>1055</v>
      </c>
      <c r="P977" s="2">
        <v>50</v>
      </c>
      <c r="Q977" s="2" t="s">
        <v>1154</v>
      </c>
      <c r="R977" s="2" t="s">
        <v>729</v>
      </c>
      <c r="S977" s="2"/>
      <c r="T977" s="2" t="s">
        <v>861</v>
      </c>
      <c r="U977" s="398" t="s">
        <v>861</v>
      </c>
      <c r="V977" s="7">
        <v>0</v>
      </c>
      <c r="W977" s="7" t="s">
        <v>1099</v>
      </c>
    </row>
    <row r="978" spans="1:23" x14ac:dyDescent="0.35">
      <c r="A978" s="2">
        <v>110</v>
      </c>
      <c r="B978" s="109" t="s">
        <v>733</v>
      </c>
      <c r="C978" s="110" t="s">
        <v>734</v>
      </c>
      <c r="D978" s="2">
        <v>1</v>
      </c>
      <c r="E978" s="51"/>
      <c r="F978" s="105"/>
      <c r="H978" s="2"/>
      <c r="I978" s="2" t="s">
        <v>861</v>
      </c>
      <c r="J978" s="2" t="s">
        <v>861</v>
      </c>
      <c r="K978" s="2" t="s">
        <v>861</v>
      </c>
      <c r="L978" s="2" t="s">
        <v>861</v>
      </c>
      <c r="M978" s="2" t="s">
        <v>861</v>
      </c>
      <c r="N978" s="244" t="s">
        <v>861</v>
      </c>
      <c r="O978" s="2" t="s">
        <v>1055</v>
      </c>
      <c r="P978" s="2">
        <v>50</v>
      </c>
      <c r="Q978" s="2" t="s">
        <v>1154</v>
      </c>
      <c r="R978" s="2" t="s">
        <v>733</v>
      </c>
      <c r="S978" s="2"/>
      <c r="T978" s="2" t="s">
        <v>861</v>
      </c>
      <c r="U978" s="398" t="s">
        <v>861</v>
      </c>
      <c r="V978" s="7">
        <v>0</v>
      </c>
      <c r="W978" s="7" t="s">
        <v>1099</v>
      </c>
    </row>
    <row r="979" spans="1:23" x14ac:dyDescent="0.35">
      <c r="A979" s="2">
        <v>110</v>
      </c>
      <c r="B979" s="109" t="s">
        <v>735</v>
      </c>
      <c r="C979" s="110" t="s">
        <v>736</v>
      </c>
      <c r="D979" s="2">
        <v>1</v>
      </c>
      <c r="E979" s="51"/>
      <c r="F979" s="105"/>
      <c r="H979" s="2"/>
      <c r="I979" s="2" t="s">
        <v>861</v>
      </c>
      <c r="J979" s="2" t="s">
        <v>861</v>
      </c>
      <c r="K979" s="2" t="s">
        <v>861</v>
      </c>
      <c r="L979" s="2" t="s">
        <v>861</v>
      </c>
      <c r="M979" s="2" t="s">
        <v>861</v>
      </c>
      <c r="N979" s="244" t="s">
        <v>861</v>
      </c>
      <c r="O979" s="2" t="s">
        <v>1055</v>
      </c>
      <c r="P979" s="2">
        <v>50</v>
      </c>
      <c r="Q979" s="2" t="s">
        <v>1154</v>
      </c>
      <c r="R979" s="2" t="s">
        <v>735</v>
      </c>
      <c r="S979" s="2"/>
      <c r="T979" s="2" t="s">
        <v>861</v>
      </c>
      <c r="U979" s="398" t="s">
        <v>861</v>
      </c>
      <c r="V979" s="7">
        <v>0</v>
      </c>
      <c r="W979" s="7" t="s">
        <v>1099</v>
      </c>
    </row>
    <row r="980" spans="1:23" x14ac:dyDescent="0.35">
      <c r="A980" s="2">
        <v>110</v>
      </c>
      <c r="B980" s="109" t="s">
        <v>737</v>
      </c>
      <c r="C980" s="110" t="s">
        <v>738</v>
      </c>
      <c r="D980" s="2">
        <v>1</v>
      </c>
      <c r="E980" s="51"/>
      <c r="F980" s="105"/>
      <c r="H980" s="2"/>
      <c r="I980" s="2" t="s">
        <v>861</v>
      </c>
      <c r="J980" s="2" t="s">
        <v>861</v>
      </c>
      <c r="K980" s="2" t="s">
        <v>861</v>
      </c>
      <c r="L980" s="2" t="s">
        <v>861</v>
      </c>
      <c r="M980" s="2" t="s">
        <v>861</v>
      </c>
      <c r="N980" s="244" t="s">
        <v>861</v>
      </c>
      <c r="O980" s="2" t="s">
        <v>1055</v>
      </c>
      <c r="P980" s="2">
        <v>50</v>
      </c>
      <c r="Q980" s="2" t="s">
        <v>1154</v>
      </c>
      <c r="R980" s="2" t="s">
        <v>737</v>
      </c>
      <c r="S980" s="2"/>
      <c r="T980" s="2" t="s">
        <v>861</v>
      </c>
      <c r="U980" s="398" t="s">
        <v>861</v>
      </c>
      <c r="V980" s="7">
        <v>0</v>
      </c>
      <c r="W980" s="7" t="s">
        <v>1099</v>
      </c>
    </row>
    <row r="981" spans="1:23" x14ac:dyDescent="0.35">
      <c r="A981" s="2">
        <v>111</v>
      </c>
      <c r="B981" s="109" t="s">
        <v>141</v>
      </c>
      <c r="C981" s="110" t="s">
        <v>142</v>
      </c>
      <c r="D981" s="2">
        <v>960</v>
      </c>
      <c r="E981" s="51">
        <v>12.5</v>
      </c>
      <c r="F981" s="105"/>
      <c r="H981" s="2"/>
      <c r="I981" s="2">
        <v>40</v>
      </c>
      <c r="J981" s="2">
        <v>0</v>
      </c>
      <c r="K981" s="2">
        <v>0</v>
      </c>
      <c r="L981" s="2">
        <v>379.20000000000005</v>
      </c>
      <c r="M981" s="2">
        <v>396</v>
      </c>
      <c r="N981" s="244">
        <v>0.70125000000000004</v>
      </c>
      <c r="O981" s="2" t="s">
        <v>108</v>
      </c>
      <c r="P981" s="2">
        <v>100</v>
      </c>
      <c r="Q981" s="2" t="s">
        <v>55</v>
      </c>
      <c r="R981" s="2" t="s">
        <v>141</v>
      </c>
      <c r="S981" s="2"/>
      <c r="T981" s="2">
        <v>11.68</v>
      </c>
      <c r="U981" s="398">
        <v>11212.8</v>
      </c>
      <c r="V981" s="7">
        <v>12000</v>
      </c>
      <c r="W981" s="7" t="s">
        <v>660</v>
      </c>
    </row>
    <row r="982" spans="1:23" x14ac:dyDescent="0.35">
      <c r="A982" s="2">
        <v>111</v>
      </c>
      <c r="B982" s="109" t="s">
        <v>143</v>
      </c>
      <c r="C982" s="110" t="s">
        <v>144</v>
      </c>
      <c r="D982" s="2">
        <v>960</v>
      </c>
      <c r="E982" s="51">
        <v>12.5</v>
      </c>
      <c r="F982" s="105"/>
      <c r="H982" s="2"/>
      <c r="I982" s="2">
        <v>40</v>
      </c>
      <c r="J982" s="2">
        <v>0</v>
      </c>
      <c r="K982" s="2">
        <v>0</v>
      </c>
      <c r="L982" s="2">
        <v>379.20000000000005</v>
      </c>
      <c r="M982" s="2">
        <v>396</v>
      </c>
      <c r="N982" s="244">
        <v>0.70125000000000004</v>
      </c>
      <c r="O982" s="2" t="s">
        <v>108</v>
      </c>
      <c r="P982" s="2">
        <v>100</v>
      </c>
      <c r="Q982" s="2" t="s">
        <v>55</v>
      </c>
      <c r="R982" s="2" t="s">
        <v>143</v>
      </c>
      <c r="S982" s="2"/>
      <c r="T982" s="2">
        <v>11.68</v>
      </c>
      <c r="U982" s="398">
        <v>11212.8</v>
      </c>
      <c r="V982" s="7">
        <v>12000</v>
      </c>
      <c r="W982" s="7" t="s">
        <v>660</v>
      </c>
    </row>
    <row r="983" spans="1:23" x14ac:dyDescent="0.35">
      <c r="A983" s="2">
        <v>111</v>
      </c>
      <c r="B983" s="109" t="s">
        <v>107</v>
      </c>
      <c r="C983" s="110" t="s">
        <v>109</v>
      </c>
      <c r="D983" s="2">
        <v>960</v>
      </c>
      <c r="E983" s="51">
        <v>12.5</v>
      </c>
      <c r="F983" s="105"/>
      <c r="H983" s="2"/>
      <c r="I983" s="2">
        <v>40</v>
      </c>
      <c r="J983" s="2">
        <v>0</v>
      </c>
      <c r="K983" s="2">
        <v>0</v>
      </c>
      <c r="L983" s="2">
        <v>379.20000000000005</v>
      </c>
      <c r="M983" s="2">
        <v>396</v>
      </c>
      <c r="N983" s="244">
        <v>0.69189999999999996</v>
      </c>
      <c r="O983" s="2" t="s">
        <v>108</v>
      </c>
      <c r="P983" s="2">
        <v>100</v>
      </c>
      <c r="Q983" s="2" t="s">
        <v>55</v>
      </c>
      <c r="R983" s="2" t="s">
        <v>107</v>
      </c>
      <c r="S983" s="2"/>
      <c r="T983" s="2">
        <v>11.68</v>
      </c>
      <c r="U983" s="398">
        <v>11212.8</v>
      </c>
      <c r="V983" s="7">
        <v>12000</v>
      </c>
      <c r="W983" s="7" t="s">
        <v>660</v>
      </c>
    </row>
    <row r="984" spans="1:23" x14ac:dyDescent="0.35">
      <c r="A984" s="2">
        <v>111</v>
      </c>
      <c r="B984" s="109" t="s">
        <v>114</v>
      </c>
      <c r="C984" s="110" t="s">
        <v>115</v>
      </c>
      <c r="D984" s="2">
        <v>600</v>
      </c>
      <c r="E984" s="51">
        <v>12.5</v>
      </c>
      <c r="F984" s="105"/>
      <c r="H984" s="2"/>
      <c r="I984" s="2">
        <v>25</v>
      </c>
      <c r="J984" s="2">
        <v>0</v>
      </c>
      <c r="K984" s="2">
        <v>0</v>
      </c>
      <c r="L984" s="2">
        <v>237</v>
      </c>
      <c r="M984" s="2">
        <v>247.5</v>
      </c>
      <c r="N984" s="244">
        <v>0.43243749999999997</v>
      </c>
      <c r="O984" s="2" t="s">
        <v>108</v>
      </c>
      <c r="P984" s="2">
        <v>100</v>
      </c>
      <c r="Q984" s="2" t="s">
        <v>55</v>
      </c>
      <c r="R984" s="2" t="s">
        <v>114</v>
      </c>
      <c r="S984" s="2"/>
      <c r="T984" s="2">
        <v>11.68</v>
      </c>
      <c r="U984" s="398">
        <v>7008</v>
      </c>
      <c r="V984" s="7">
        <v>7500</v>
      </c>
      <c r="W984" s="7" t="s">
        <v>660</v>
      </c>
    </row>
    <row r="985" spans="1:23" x14ac:dyDescent="0.35">
      <c r="A985" s="2">
        <v>111</v>
      </c>
      <c r="B985" s="109" t="s">
        <v>110</v>
      </c>
      <c r="C985" s="110" t="s">
        <v>111</v>
      </c>
      <c r="D985" s="2">
        <v>480</v>
      </c>
      <c r="E985" s="51">
        <v>12.5</v>
      </c>
      <c r="F985" s="105"/>
      <c r="H985" s="2"/>
      <c r="I985" s="2">
        <v>20</v>
      </c>
      <c r="J985" s="2">
        <v>0</v>
      </c>
      <c r="K985" s="2">
        <v>0</v>
      </c>
      <c r="L985" s="2">
        <v>189.60000000000002</v>
      </c>
      <c r="M985" s="2">
        <v>198</v>
      </c>
      <c r="N985" s="244">
        <v>0.34594999999999998</v>
      </c>
      <c r="O985" s="2" t="s">
        <v>108</v>
      </c>
      <c r="P985" s="2">
        <v>100</v>
      </c>
      <c r="Q985" s="2" t="s">
        <v>55</v>
      </c>
      <c r="R985" s="2" t="s">
        <v>110</v>
      </c>
      <c r="S985" s="2"/>
      <c r="T985" s="2">
        <v>11.68</v>
      </c>
      <c r="U985" s="398">
        <v>5606.4</v>
      </c>
      <c r="V985" s="7">
        <v>6000</v>
      </c>
      <c r="W985" s="7" t="s">
        <v>660</v>
      </c>
    </row>
    <row r="986" spans="1:23" x14ac:dyDescent="0.35">
      <c r="A986" s="2">
        <v>111</v>
      </c>
      <c r="B986" s="109" t="s">
        <v>1218</v>
      </c>
      <c r="C986" s="110" t="s">
        <v>1197</v>
      </c>
      <c r="D986" s="2">
        <v>48</v>
      </c>
      <c r="E986" s="51">
        <v>12.5</v>
      </c>
      <c r="F986" s="105"/>
      <c r="H986" s="2"/>
      <c r="I986" s="2">
        <v>2</v>
      </c>
      <c r="J986" s="2">
        <v>0</v>
      </c>
      <c r="K986" s="2">
        <v>0</v>
      </c>
      <c r="L986" s="2">
        <v>18.239999999999998</v>
      </c>
      <c r="M986" s="2">
        <v>19</v>
      </c>
      <c r="N986" s="244">
        <v>3.5062500000000003E-2</v>
      </c>
      <c r="O986" s="2" t="s">
        <v>108</v>
      </c>
      <c r="P986" s="2">
        <v>100</v>
      </c>
      <c r="Q986" s="2" t="s">
        <v>55</v>
      </c>
      <c r="R986" s="2" t="s">
        <v>120</v>
      </c>
      <c r="S986" s="2"/>
      <c r="T986" s="2">
        <v>11.68</v>
      </c>
      <c r="U986" s="398">
        <v>560.64</v>
      </c>
      <c r="V986" s="7">
        <v>600</v>
      </c>
      <c r="W986" s="7" t="s">
        <v>660</v>
      </c>
    </row>
    <row r="987" spans="1:23" x14ac:dyDescent="0.35">
      <c r="A987" s="2">
        <v>111</v>
      </c>
      <c r="B987" s="109" t="s">
        <v>122</v>
      </c>
      <c r="C987" s="110" t="s">
        <v>123</v>
      </c>
      <c r="D987" s="2">
        <v>48</v>
      </c>
      <c r="E987" s="51">
        <v>12.5</v>
      </c>
      <c r="F987" s="105"/>
      <c r="H987" s="2"/>
      <c r="I987" s="2">
        <v>2</v>
      </c>
      <c r="J987" s="2">
        <v>0</v>
      </c>
      <c r="K987" s="2">
        <v>0</v>
      </c>
      <c r="L987" s="2">
        <v>18.239999999999998</v>
      </c>
      <c r="M987" s="2">
        <v>19</v>
      </c>
      <c r="N987" s="244">
        <v>3.5062500000000003E-2</v>
      </c>
      <c r="O987" s="2" t="s">
        <v>108</v>
      </c>
      <c r="P987" s="2">
        <v>100</v>
      </c>
      <c r="Q987" s="2" t="s">
        <v>55</v>
      </c>
      <c r="R987" s="2" t="s">
        <v>122</v>
      </c>
      <c r="S987" s="2"/>
      <c r="T987" s="2">
        <v>11.68</v>
      </c>
      <c r="U987" s="398">
        <v>560.64</v>
      </c>
      <c r="V987" s="7">
        <v>600</v>
      </c>
      <c r="W987" s="7" t="s">
        <v>660</v>
      </c>
    </row>
    <row r="988" spans="1:23" x14ac:dyDescent="0.35">
      <c r="A988" s="2">
        <v>112</v>
      </c>
      <c r="B988" s="109" t="s">
        <v>141</v>
      </c>
      <c r="C988" s="110" t="s">
        <v>142</v>
      </c>
      <c r="D988" s="2">
        <v>1</v>
      </c>
      <c r="E988" s="51"/>
      <c r="F988" s="105"/>
      <c r="H988" s="2"/>
      <c r="I988" s="2">
        <v>1</v>
      </c>
      <c r="J988" s="2">
        <v>0</v>
      </c>
      <c r="K988" s="2">
        <v>0</v>
      </c>
      <c r="L988" s="2">
        <v>0.39500000000000002</v>
      </c>
      <c r="M988" s="2">
        <v>0.41249999999999998</v>
      </c>
      <c r="N988" s="244">
        <v>7.3046875E-4</v>
      </c>
      <c r="O988" s="2" t="s">
        <v>108</v>
      </c>
      <c r="P988" s="2">
        <v>100</v>
      </c>
      <c r="Q988" s="2" t="s">
        <v>55</v>
      </c>
      <c r="R988" s="2" t="s">
        <v>141</v>
      </c>
      <c r="S988" s="2"/>
      <c r="T988" s="2">
        <v>11.68</v>
      </c>
      <c r="U988" s="398">
        <v>11.68</v>
      </c>
      <c r="V988" s="7">
        <v>0</v>
      </c>
      <c r="W988" s="7" t="s">
        <v>1099</v>
      </c>
    </row>
    <row r="989" spans="1:23" x14ac:dyDescent="0.35">
      <c r="A989" s="2">
        <v>112</v>
      </c>
      <c r="B989" s="109" t="s">
        <v>143</v>
      </c>
      <c r="C989" s="110" t="s">
        <v>144</v>
      </c>
      <c r="D989" s="2">
        <v>1</v>
      </c>
      <c r="E989" s="51"/>
      <c r="F989" s="105"/>
      <c r="H989" s="2"/>
      <c r="I989" s="2">
        <v>1</v>
      </c>
      <c r="J989" s="2">
        <v>0</v>
      </c>
      <c r="K989" s="2">
        <v>0</v>
      </c>
      <c r="L989" s="2">
        <v>0.39500000000000002</v>
      </c>
      <c r="M989" s="2">
        <v>0.41249999999999998</v>
      </c>
      <c r="N989" s="244">
        <v>7.3046875E-4</v>
      </c>
      <c r="O989" s="2" t="s">
        <v>108</v>
      </c>
      <c r="P989" s="2">
        <v>100</v>
      </c>
      <c r="Q989" s="2" t="s">
        <v>55</v>
      </c>
      <c r="R989" s="2" t="s">
        <v>143</v>
      </c>
      <c r="S989" s="2"/>
      <c r="T989" s="2">
        <v>11.68</v>
      </c>
      <c r="U989" s="398">
        <v>11.68</v>
      </c>
      <c r="V989" s="7">
        <v>0</v>
      </c>
      <c r="W989" s="7" t="s">
        <v>1099</v>
      </c>
    </row>
    <row r="990" spans="1:23" x14ac:dyDescent="0.35">
      <c r="A990" s="2">
        <v>113</v>
      </c>
      <c r="B990" s="109" t="s">
        <v>766</v>
      </c>
      <c r="C990" s="110" t="s">
        <v>804</v>
      </c>
      <c r="D990" s="2">
        <v>5</v>
      </c>
      <c r="E990" s="51">
        <v>0.5</v>
      </c>
      <c r="F990" s="105"/>
      <c r="H990" s="2"/>
      <c r="I990" s="2">
        <v>1</v>
      </c>
      <c r="J990" s="2">
        <v>0</v>
      </c>
      <c r="K990" s="2">
        <v>0</v>
      </c>
      <c r="L990" s="2">
        <v>0.1875</v>
      </c>
      <c r="M990" s="2">
        <v>0.22060000000000002</v>
      </c>
      <c r="N990" s="244">
        <v>0</v>
      </c>
      <c r="O990" s="2" t="s">
        <v>870</v>
      </c>
      <c r="P990" s="2">
        <v>0</v>
      </c>
      <c r="Q990" s="2" t="s">
        <v>992</v>
      </c>
      <c r="R990" s="2" t="s">
        <v>766</v>
      </c>
      <c r="S990" s="2"/>
      <c r="T990" s="2" t="s">
        <v>861</v>
      </c>
      <c r="U990" s="398" t="s">
        <v>861</v>
      </c>
      <c r="V990" s="7">
        <v>2.5</v>
      </c>
      <c r="W990" s="7" t="s">
        <v>1099</v>
      </c>
    </row>
    <row r="991" spans="1:23" x14ac:dyDescent="0.35">
      <c r="A991" s="2">
        <v>113</v>
      </c>
      <c r="B991" s="109" t="s">
        <v>767</v>
      </c>
      <c r="C991" s="110" t="s">
        <v>805</v>
      </c>
      <c r="D991" s="2">
        <v>5</v>
      </c>
      <c r="E991" s="51">
        <v>0.5</v>
      </c>
      <c r="F991" s="105"/>
      <c r="H991" s="2"/>
      <c r="I991" s="2">
        <v>1</v>
      </c>
      <c r="J991" s="2">
        <v>0</v>
      </c>
      <c r="K991" s="2">
        <v>0</v>
      </c>
      <c r="L991" s="2">
        <v>0.1875</v>
      </c>
      <c r="M991" s="2">
        <v>0.22060000000000002</v>
      </c>
      <c r="N991" s="244">
        <v>0</v>
      </c>
      <c r="O991" s="2" t="s">
        <v>870</v>
      </c>
      <c r="P991" s="2">
        <v>0</v>
      </c>
      <c r="Q991" s="2" t="s">
        <v>992</v>
      </c>
      <c r="R991" s="2" t="s">
        <v>767</v>
      </c>
      <c r="S991" s="2"/>
      <c r="T991" s="2" t="s">
        <v>861</v>
      </c>
      <c r="U991" s="398" t="s">
        <v>861</v>
      </c>
      <c r="V991" s="7">
        <v>2.5</v>
      </c>
      <c r="W991" s="7" t="s">
        <v>1099</v>
      </c>
    </row>
    <row r="992" spans="1:23" x14ac:dyDescent="0.35">
      <c r="A992" s="2">
        <v>113</v>
      </c>
      <c r="B992" s="109" t="s">
        <v>768</v>
      </c>
      <c r="C992" s="110" t="s">
        <v>806</v>
      </c>
      <c r="D992" s="2">
        <v>5</v>
      </c>
      <c r="E992" s="51">
        <v>0.5</v>
      </c>
      <c r="F992" s="105"/>
      <c r="H992" s="2"/>
      <c r="I992" s="2">
        <v>1</v>
      </c>
      <c r="J992" s="2">
        <v>0</v>
      </c>
      <c r="K992" s="2">
        <v>0</v>
      </c>
      <c r="L992" s="2">
        <v>0.1875</v>
      </c>
      <c r="M992" s="2">
        <v>0.22060000000000002</v>
      </c>
      <c r="N992" s="244">
        <v>0</v>
      </c>
      <c r="O992" s="2" t="s">
        <v>870</v>
      </c>
      <c r="P992" s="2">
        <v>0</v>
      </c>
      <c r="Q992" s="2" t="s">
        <v>992</v>
      </c>
      <c r="R992" s="2" t="s">
        <v>768</v>
      </c>
      <c r="S992" s="2"/>
      <c r="T992" s="2" t="s">
        <v>861</v>
      </c>
      <c r="U992" s="398" t="s">
        <v>861</v>
      </c>
      <c r="V992" s="7">
        <v>2.5</v>
      </c>
      <c r="W992" s="7" t="s">
        <v>1099</v>
      </c>
    </row>
    <row r="993" spans="1:23" x14ac:dyDescent="0.35">
      <c r="A993" s="2">
        <v>113</v>
      </c>
      <c r="B993" s="109" t="s">
        <v>770</v>
      </c>
      <c r="C993" s="110" t="s">
        <v>808</v>
      </c>
      <c r="D993" s="2">
        <v>5</v>
      </c>
      <c r="E993" s="51">
        <v>0.5</v>
      </c>
      <c r="F993" s="105"/>
      <c r="H993" s="2"/>
      <c r="I993" s="2">
        <v>1</v>
      </c>
      <c r="J993" s="2">
        <v>0</v>
      </c>
      <c r="K993" s="2">
        <v>0</v>
      </c>
      <c r="L993" s="2">
        <v>0.1875</v>
      </c>
      <c r="M993" s="2">
        <v>0.22060000000000002</v>
      </c>
      <c r="N993" s="244">
        <v>0</v>
      </c>
      <c r="O993" s="2" t="s">
        <v>870</v>
      </c>
      <c r="P993" s="2">
        <v>0</v>
      </c>
      <c r="Q993" s="2" t="s">
        <v>992</v>
      </c>
      <c r="R993" s="2" t="s">
        <v>770</v>
      </c>
      <c r="S993" s="2"/>
      <c r="T993" s="2" t="s">
        <v>861</v>
      </c>
      <c r="U993" s="398" t="s">
        <v>861</v>
      </c>
      <c r="V993" s="7">
        <v>2.5</v>
      </c>
      <c r="W993" s="7" t="s">
        <v>1099</v>
      </c>
    </row>
    <row r="994" spans="1:23" x14ac:dyDescent="0.35">
      <c r="A994" s="2">
        <v>113</v>
      </c>
      <c r="B994" s="109" t="s">
        <v>772</v>
      </c>
      <c r="C994" s="110" t="s">
        <v>810</v>
      </c>
      <c r="D994" s="2">
        <v>5</v>
      </c>
      <c r="E994" s="51">
        <v>0.5</v>
      </c>
      <c r="F994" s="105"/>
      <c r="H994" s="2"/>
      <c r="I994" s="2">
        <v>1</v>
      </c>
      <c r="J994" s="2">
        <v>0</v>
      </c>
      <c r="K994" s="2">
        <v>0</v>
      </c>
      <c r="L994" s="2">
        <v>0.1875</v>
      </c>
      <c r="M994" s="2">
        <v>0.22060000000000002</v>
      </c>
      <c r="N994" s="244">
        <v>0</v>
      </c>
      <c r="O994" s="2" t="s">
        <v>870</v>
      </c>
      <c r="P994" s="2">
        <v>0</v>
      </c>
      <c r="Q994" s="2" t="s">
        <v>992</v>
      </c>
      <c r="R994" s="2" t="s">
        <v>772</v>
      </c>
      <c r="S994" s="2"/>
      <c r="T994" s="2" t="s">
        <v>861</v>
      </c>
      <c r="U994" s="398" t="s">
        <v>861</v>
      </c>
      <c r="V994" s="7">
        <v>2.5</v>
      </c>
      <c r="W994" s="7" t="s">
        <v>1099</v>
      </c>
    </row>
    <row r="995" spans="1:23" x14ac:dyDescent="0.35">
      <c r="A995" s="2">
        <v>113</v>
      </c>
      <c r="B995" s="109" t="s">
        <v>773</v>
      </c>
      <c r="C995" s="110" t="s">
        <v>811</v>
      </c>
      <c r="D995" s="2">
        <v>5</v>
      </c>
      <c r="E995" s="51">
        <v>0.5</v>
      </c>
      <c r="F995" s="105"/>
      <c r="H995" s="2"/>
      <c r="I995" s="2">
        <v>1</v>
      </c>
      <c r="J995" s="2">
        <v>0</v>
      </c>
      <c r="K995" s="2">
        <v>0</v>
      </c>
      <c r="L995" s="2">
        <v>0.1875</v>
      </c>
      <c r="M995" s="2">
        <v>0.22060000000000002</v>
      </c>
      <c r="N995" s="244">
        <v>0</v>
      </c>
      <c r="O995" s="2" t="s">
        <v>870</v>
      </c>
      <c r="P995" s="2">
        <v>0</v>
      </c>
      <c r="Q995" s="2" t="s">
        <v>992</v>
      </c>
      <c r="R995" s="2" t="s">
        <v>773</v>
      </c>
      <c r="S995" s="2"/>
      <c r="T995" s="2" t="s">
        <v>861</v>
      </c>
      <c r="U995" s="398" t="s">
        <v>861</v>
      </c>
      <c r="V995" s="7">
        <v>2.5</v>
      </c>
      <c r="W995" s="7" t="s">
        <v>1099</v>
      </c>
    </row>
    <row r="996" spans="1:23" x14ac:dyDescent="0.35">
      <c r="A996" s="2">
        <v>113</v>
      </c>
      <c r="B996" s="109" t="s">
        <v>774</v>
      </c>
      <c r="C996" s="110" t="s">
        <v>812</v>
      </c>
      <c r="D996" s="2">
        <v>5</v>
      </c>
      <c r="E996" s="51">
        <v>0.5</v>
      </c>
      <c r="F996" s="105"/>
      <c r="H996" s="2"/>
      <c r="I996" s="2">
        <v>1</v>
      </c>
      <c r="J996" s="2">
        <v>0</v>
      </c>
      <c r="K996" s="2">
        <v>0</v>
      </c>
      <c r="L996" s="2">
        <v>0.1875</v>
      </c>
      <c r="M996" s="2">
        <v>0.22060000000000002</v>
      </c>
      <c r="N996" s="244">
        <v>0</v>
      </c>
      <c r="O996" s="2" t="s">
        <v>870</v>
      </c>
      <c r="P996" s="2">
        <v>0</v>
      </c>
      <c r="Q996" s="2" t="s">
        <v>992</v>
      </c>
      <c r="R996" s="2" t="s">
        <v>774</v>
      </c>
      <c r="S996" s="2"/>
      <c r="T996" s="2" t="s">
        <v>861</v>
      </c>
      <c r="U996" s="398" t="s">
        <v>861</v>
      </c>
      <c r="V996" s="7">
        <v>2.5</v>
      </c>
      <c r="W996" s="7" t="s">
        <v>1099</v>
      </c>
    </row>
    <row r="997" spans="1:23" x14ac:dyDescent="0.35">
      <c r="A997" s="2">
        <v>113</v>
      </c>
      <c r="B997" s="109" t="s">
        <v>777</v>
      </c>
      <c r="C997" s="110" t="s">
        <v>815</v>
      </c>
      <c r="D997" s="2">
        <v>5</v>
      </c>
      <c r="E997" s="51">
        <v>0.5</v>
      </c>
      <c r="F997" s="105"/>
      <c r="H997" s="2"/>
      <c r="I997" s="2">
        <v>1</v>
      </c>
      <c r="J997" s="2">
        <v>0</v>
      </c>
      <c r="K997" s="2">
        <v>0</v>
      </c>
      <c r="L997" s="2">
        <v>0.1875</v>
      </c>
      <c r="M997" s="2">
        <v>0.22060000000000002</v>
      </c>
      <c r="N997" s="244">
        <v>0</v>
      </c>
      <c r="O997" s="2" t="s">
        <v>870</v>
      </c>
      <c r="P997" s="2">
        <v>0</v>
      </c>
      <c r="Q997" s="2" t="s">
        <v>992</v>
      </c>
      <c r="R997" s="2" t="s">
        <v>777</v>
      </c>
      <c r="S997" s="2"/>
      <c r="T997" s="2" t="s">
        <v>861</v>
      </c>
      <c r="U997" s="398" t="s">
        <v>861</v>
      </c>
      <c r="V997" s="7">
        <v>2.5</v>
      </c>
      <c r="W997" s="7" t="s">
        <v>1099</v>
      </c>
    </row>
    <row r="998" spans="1:23" x14ac:dyDescent="0.35">
      <c r="A998" s="2">
        <v>113</v>
      </c>
      <c r="B998" s="109" t="s">
        <v>778</v>
      </c>
      <c r="C998" s="110" t="s">
        <v>816</v>
      </c>
      <c r="D998" s="2">
        <v>5</v>
      </c>
      <c r="E998" s="51">
        <v>0.5</v>
      </c>
      <c r="F998" s="105"/>
      <c r="H998" s="2"/>
      <c r="I998" s="2">
        <v>1</v>
      </c>
      <c r="J998" s="2">
        <v>0</v>
      </c>
      <c r="K998" s="2">
        <v>0</v>
      </c>
      <c r="L998" s="2">
        <v>0.1875</v>
      </c>
      <c r="M998" s="2">
        <v>0.22060000000000002</v>
      </c>
      <c r="N998" s="244">
        <v>0</v>
      </c>
      <c r="O998" s="2" t="s">
        <v>870</v>
      </c>
      <c r="P998" s="2">
        <v>0</v>
      </c>
      <c r="Q998" s="2" t="s">
        <v>992</v>
      </c>
      <c r="R998" s="2" t="s">
        <v>778</v>
      </c>
      <c r="S998" s="2"/>
      <c r="T998" s="2" t="s">
        <v>861</v>
      </c>
      <c r="U998" s="398" t="s">
        <v>861</v>
      </c>
      <c r="V998" s="7">
        <v>2.5</v>
      </c>
      <c r="W998" s="7" t="s">
        <v>1099</v>
      </c>
    </row>
    <row r="999" spans="1:23" x14ac:dyDescent="0.35">
      <c r="A999" s="2">
        <v>113</v>
      </c>
      <c r="B999" s="109" t="s">
        <v>779</v>
      </c>
      <c r="C999" s="110" t="s">
        <v>817</v>
      </c>
      <c r="D999" s="2">
        <v>5</v>
      </c>
      <c r="E999" s="51">
        <v>0.5</v>
      </c>
      <c r="F999" s="105"/>
      <c r="H999" s="2"/>
      <c r="I999" s="2">
        <v>1</v>
      </c>
      <c r="J999" s="2">
        <v>0</v>
      </c>
      <c r="K999" s="2">
        <v>0</v>
      </c>
      <c r="L999" s="2">
        <v>0.1875</v>
      </c>
      <c r="M999" s="2">
        <v>0.22060000000000002</v>
      </c>
      <c r="N999" s="244">
        <v>0</v>
      </c>
      <c r="O999" s="2" t="s">
        <v>870</v>
      </c>
      <c r="P999" s="2">
        <v>0</v>
      </c>
      <c r="Q999" s="2" t="s">
        <v>992</v>
      </c>
      <c r="R999" s="2" t="s">
        <v>779</v>
      </c>
      <c r="S999" s="2"/>
      <c r="T999" s="2" t="s">
        <v>861</v>
      </c>
      <c r="U999" s="398" t="s">
        <v>861</v>
      </c>
      <c r="V999" s="7">
        <v>2.5</v>
      </c>
      <c r="W999" s="7" t="s">
        <v>1099</v>
      </c>
    </row>
    <row r="1000" spans="1:23" x14ac:dyDescent="0.35">
      <c r="A1000" s="2">
        <v>113</v>
      </c>
      <c r="B1000" s="109" t="s">
        <v>780</v>
      </c>
      <c r="C1000" s="110" t="s">
        <v>818</v>
      </c>
      <c r="D1000" s="2">
        <v>5</v>
      </c>
      <c r="E1000" s="51">
        <v>0.5</v>
      </c>
      <c r="F1000" s="105"/>
      <c r="H1000" s="2"/>
      <c r="I1000" s="2">
        <v>1</v>
      </c>
      <c r="J1000" s="2">
        <v>0</v>
      </c>
      <c r="K1000" s="2">
        <v>0</v>
      </c>
      <c r="L1000" s="2">
        <v>0.1875</v>
      </c>
      <c r="M1000" s="2">
        <v>0.22060000000000002</v>
      </c>
      <c r="N1000" s="244">
        <v>0</v>
      </c>
      <c r="O1000" s="2" t="s">
        <v>870</v>
      </c>
      <c r="P1000" s="2">
        <v>0</v>
      </c>
      <c r="Q1000" s="2" t="s">
        <v>992</v>
      </c>
      <c r="R1000" s="2" t="s">
        <v>780</v>
      </c>
      <c r="S1000" s="2"/>
      <c r="T1000" s="2" t="s">
        <v>861</v>
      </c>
      <c r="U1000" s="398" t="s">
        <v>861</v>
      </c>
      <c r="V1000" s="7">
        <v>2.5</v>
      </c>
      <c r="W1000" s="7" t="s">
        <v>1099</v>
      </c>
    </row>
    <row r="1001" spans="1:23" x14ac:dyDescent="0.35">
      <c r="A1001" s="2">
        <v>113</v>
      </c>
      <c r="B1001" s="109" t="s">
        <v>787</v>
      </c>
      <c r="C1001" s="110" t="s">
        <v>825</v>
      </c>
      <c r="D1001" s="2">
        <v>5</v>
      </c>
      <c r="E1001" s="51">
        <v>0.5</v>
      </c>
      <c r="F1001" s="105"/>
      <c r="H1001" s="2"/>
      <c r="I1001" s="2">
        <v>1</v>
      </c>
      <c r="J1001" s="2">
        <v>0</v>
      </c>
      <c r="K1001" s="2">
        <v>0</v>
      </c>
      <c r="L1001" s="2">
        <v>0.1875</v>
      </c>
      <c r="M1001" s="2">
        <v>0.22060000000000002</v>
      </c>
      <c r="N1001" s="244">
        <v>0</v>
      </c>
      <c r="O1001" s="2" t="s">
        <v>870</v>
      </c>
      <c r="P1001" s="2">
        <v>0</v>
      </c>
      <c r="Q1001" s="2" t="s">
        <v>992</v>
      </c>
      <c r="R1001" s="2" t="s">
        <v>787</v>
      </c>
      <c r="S1001" s="2"/>
      <c r="T1001" s="2" t="s">
        <v>861</v>
      </c>
      <c r="U1001" s="398" t="s">
        <v>861</v>
      </c>
      <c r="V1001" s="7">
        <v>2.5</v>
      </c>
      <c r="W1001" s="7" t="s">
        <v>1099</v>
      </c>
    </row>
    <row r="1002" spans="1:23" x14ac:dyDescent="0.35">
      <c r="A1002" s="2">
        <v>113</v>
      </c>
      <c r="B1002" s="109" t="s">
        <v>788</v>
      </c>
      <c r="C1002" s="110" t="s">
        <v>826</v>
      </c>
      <c r="D1002" s="2">
        <v>5</v>
      </c>
      <c r="E1002" s="51">
        <v>0.5</v>
      </c>
      <c r="F1002" s="105"/>
      <c r="H1002" s="2"/>
      <c r="I1002" s="2">
        <v>1</v>
      </c>
      <c r="J1002" s="2">
        <v>0</v>
      </c>
      <c r="K1002" s="2">
        <v>0</v>
      </c>
      <c r="L1002" s="2">
        <v>0.1875</v>
      </c>
      <c r="M1002" s="2">
        <v>0.22060000000000002</v>
      </c>
      <c r="N1002" s="244">
        <v>0</v>
      </c>
      <c r="O1002" s="2" t="s">
        <v>870</v>
      </c>
      <c r="P1002" s="2">
        <v>0</v>
      </c>
      <c r="Q1002" s="2" t="s">
        <v>992</v>
      </c>
      <c r="R1002" s="2" t="s">
        <v>788</v>
      </c>
      <c r="S1002" s="2"/>
      <c r="T1002" s="2" t="s">
        <v>861</v>
      </c>
      <c r="U1002" s="398" t="s">
        <v>861</v>
      </c>
      <c r="V1002" s="7">
        <v>2.5</v>
      </c>
      <c r="W1002" s="7" t="s">
        <v>1099</v>
      </c>
    </row>
    <row r="1003" spans="1:23" x14ac:dyDescent="0.35">
      <c r="A1003" s="2">
        <v>113</v>
      </c>
      <c r="B1003" s="109" t="s">
        <v>789</v>
      </c>
      <c r="C1003" s="110" t="s">
        <v>827</v>
      </c>
      <c r="D1003" s="2">
        <v>5</v>
      </c>
      <c r="E1003" s="51">
        <v>0.5</v>
      </c>
      <c r="F1003" s="105"/>
      <c r="H1003" s="2"/>
      <c r="I1003" s="2">
        <v>1</v>
      </c>
      <c r="J1003" s="2">
        <v>0</v>
      </c>
      <c r="K1003" s="2">
        <v>0</v>
      </c>
      <c r="L1003" s="2">
        <v>0.1875</v>
      </c>
      <c r="M1003" s="2">
        <v>0.22060000000000002</v>
      </c>
      <c r="N1003" s="244">
        <v>0</v>
      </c>
      <c r="O1003" s="2" t="s">
        <v>870</v>
      </c>
      <c r="P1003" s="2">
        <v>0</v>
      </c>
      <c r="Q1003" s="2" t="s">
        <v>992</v>
      </c>
      <c r="R1003" s="2" t="s">
        <v>789</v>
      </c>
      <c r="S1003" s="2"/>
      <c r="T1003" s="2" t="s">
        <v>861</v>
      </c>
      <c r="U1003" s="398" t="s">
        <v>861</v>
      </c>
      <c r="V1003" s="7">
        <v>2.5</v>
      </c>
      <c r="W1003" s="7" t="s">
        <v>1099</v>
      </c>
    </row>
    <row r="1004" spans="1:23" x14ac:dyDescent="0.35">
      <c r="A1004" s="2">
        <v>113</v>
      </c>
      <c r="B1004" s="109" t="s">
        <v>790</v>
      </c>
      <c r="C1004" s="110" t="s">
        <v>828</v>
      </c>
      <c r="D1004" s="2">
        <v>5</v>
      </c>
      <c r="E1004" s="51">
        <v>0.5</v>
      </c>
      <c r="F1004" s="105"/>
      <c r="H1004" s="2"/>
      <c r="I1004" s="2">
        <v>1</v>
      </c>
      <c r="J1004" s="2">
        <v>0</v>
      </c>
      <c r="K1004" s="2">
        <v>0</v>
      </c>
      <c r="L1004" s="2">
        <v>0.1875</v>
      </c>
      <c r="M1004" s="2">
        <v>0.22060000000000002</v>
      </c>
      <c r="N1004" s="244">
        <v>0</v>
      </c>
      <c r="O1004" s="2" t="s">
        <v>870</v>
      </c>
      <c r="P1004" s="2">
        <v>0</v>
      </c>
      <c r="Q1004" s="2" t="s">
        <v>992</v>
      </c>
      <c r="R1004" s="2" t="s">
        <v>790</v>
      </c>
      <c r="S1004" s="2"/>
      <c r="T1004" s="2" t="s">
        <v>861</v>
      </c>
      <c r="U1004" s="398" t="s">
        <v>861</v>
      </c>
      <c r="V1004" s="7">
        <v>2.5</v>
      </c>
      <c r="W1004" s="7" t="s">
        <v>1099</v>
      </c>
    </row>
    <row r="1005" spans="1:23" x14ac:dyDescent="0.35">
      <c r="A1005" s="2">
        <v>113</v>
      </c>
      <c r="B1005" s="109" t="s">
        <v>791</v>
      </c>
      <c r="C1005" s="110" t="s">
        <v>829</v>
      </c>
      <c r="D1005" s="2">
        <v>5</v>
      </c>
      <c r="E1005" s="51">
        <v>0.5</v>
      </c>
      <c r="F1005" s="105"/>
      <c r="H1005" s="2"/>
      <c r="I1005" s="2">
        <v>1</v>
      </c>
      <c r="J1005" s="2">
        <v>0</v>
      </c>
      <c r="K1005" s="2">
        <v>0</v>
      </c>
      <c r="L1005" s="2">
        <v>0.1875</v>
      </c>
      <c r="M1005" s="2">
        <v>0.22060000000000002</v>
      </c>
      <c r="N1005" s="244">
        <v>0</v>
      </c>
      <c r="O1005" s="2" t="s">
        <v>870</v>
      </c>
      <c r="P1005" s="2">
        <v>0</v>
      </c>
      <c r="Q1005" s="2" t="s">
        <v>992</v>
      </c>
      <c r="R1005" s="2" t="s">
        <v>791</v>
      </c>
      <c r="S1005" s="2"/>
      <c r="T1005" s="2" t="s">
        <v>861</v>
      </c>
      <c r="U1005" s="398" t="s">
        <v>861</v>
      </c>
      <c r="V1005" s="7">
        <v>2.5</v>
      </c>
      <c r="W1005" s="7" t="s">
        <v>1099</v>
      </c>
    </row>
    <row r="1006" spans="1:23" x14ac:dyDescent="0.35">
      <c r="A1006" s="2">
        <v>113</v>
      </c>
      <c r="B1006" s="109" t="s">
        <v>792</v>
      </c>
      <c r="C1006" s="110" t="s">
        <v>830</v>
      </c>
      <c r="D1006" s="2">
        <v>5</v>
      </c>
      <c r="E1006" s="51">
        <v>0.5</v>
      </c>
      <c r="F1006" s="105"/>
      <c r="H1006" s="2"/>
      <c r="I1006" s="2">
        <v>1</v>
      </c>
      <c r="J1006" s="2">
        <v>0</v>
      </c>
      <c r="K1006" s="2">
        <v>0</v>
      </c>
      <c r="L1006" s="2">
        <v>0.1875</v>
      </c>
      <c r="M1006" s="2">
        <v>0.22060000000000002</v>
      </c>
      <c r="N1006" s="244">
        <v>0</v>
      </c>
      <c r="O1006" s="2" t="s">
        <v>870</v>
      </c>
      <c r="P1006" s="2">
        <v>0</v>
      </c>
      <c r="Q1006" s="2" t="s">
        <v>992</v>
      </c>
      <c r="R1006" s="2" t="s">
        <v>792</v>
      </c>
      <c r="S1006" s="2"/>
      <c r="T1006" s="2" t="s">
        <v>861</v>
      </c>
      <c r="U1006" s="398" t="s">
        <v>861</v>
      </c>
      <c r="V1006" s="7">
        <v>2.5</v>
      </c>
      <c r="W1006" s="7" t="s">
        <v>1099</v>
      </c>
    </row>
    <row r="1007" spans="1:23" x14ac:dyDescent="0.35">
      <c r="A1007" s="2">
        <v>113</v>
      </c>
      <c r="B1007" s="109" t="s">
        <v>793</v>
      </c>
      <c r="C1007" s="110" t="s">
        <v>831</v>
      </c>
      <c r="D1007" s="2">
        <v>5</v>
      </c>
      <c r="E1007" s="51">
        <v>0.5</v>
      </c>
      <c r="F1007" s="105"/>
      <c r="H1007" s="2"/>
      <c r="I1007" s="2">
        <v>1</v>
      </c>
      <c r="J1007" s="2">
        <v>0</v>
      </c>
      <c r="K1007" s="2">
        <v>0</v>
      </c>
      <c r="L1007" s="2">
        <v>0.1875</v>
      </c>
      <c r="M1007" s="2">
        <v>0.22060000000000002</v>
      </c>
      <c r="N1007" s="244">
        <v>0</v>
      </c>
      <c r="O1007" s="2" t="s">
        <v>870</v>
      </c>
      <c r="P1007" s="2">
        <v>0</v>
      </c>
      <c r="Q1007" s="2" t="s">
        <v>992</v>
      </c>
      <c r="R1007" s="2" t="s">
        <v>793</v>
      </c>
      <c r="S1007" s="2"/>
      <c r="T1007" s="2" t="s">
        <v>861</v>
      </c>
      <c r="U1007" s="398" t="s">
        <v>861</v>
      </c>
      <c r="V1007" s="7">
        <v>2.5</v>
      </c>
      <c r="W1007" s="7" t="s">
        <v>1099</v>
      </c>
    </row>
    <row r="1008" spans="1:23" x14ac:dyDescent="0.35">
      <c r="A1008" s="2">
        <v>113</v>
      </c>
      <c r="B1008" s="109" t="s">
        <v>794</v>
      </c>
      <c r="C1008" s="110" t="s">
        <v>832</v>
      </c>
      <c r="D1008" s="2">
        <v>5</v>
      </c>
      <c r="E1008" s="51">
        <v>0.5</v>
      </c>
      <c r="F1008" s="105"/>
      <c r="H1008" s="2"/>
      <c r="I1008" s="2">
        <v>1</v>
      </c>
      <c r="J1008" s="2">
        <v>0</v>
      </c>
      <c r="K1008" s="2">
        <v>0</v>
      </c>
      <c r="L1008" s="2">
        <v>0.1875</v>
      </c>
      <c r="M1008" s="2">
        <v>0.22060000000000002</v>
      </c>
      <c r="N1008" s="244">
        <v>0</v>
      </c>
      <c r="O1008" s="2" t="s">
        <v>870</v>
      </c>
      <c r="P1008" s="2">
        <v>0</v>
      </c>
      <c r="Q1008" s="2" t="s">
        <v>992</v>
      </c>
      <c r="R1008" s="2" t="s">
        <v>794</v>
      </c>
      <c r="S1008" s="2"/>
      <c r="T1008" s="2" t="s">
        <v>861</v>
      </c>
      <c r="U1008" s="398" t="s">
        <v>861</v>
      </c>
      <c r="V1008" s="7">
        <v>2.5</v>
      </c>
      <c r="W1008" s="7" t="s">
        <v>1099</v>
      </c>
    </row>
    <row r="1009" spans="1:23" x14ac:dyDescent="0.35">
      <c r="A1009" s="2">
        <v>113</v>
      </c>
      <c r="B1009" s="109" t="s">
        <v>795</v>
      </c>
      <c r="C1009" s="110" t="s">
        <v>833</v>
      </c>
      <c r="D1009" s="2">
        <v>5</v>
      </c>
      <c r="E1009" s="51">
        <v>0.5</v>
      </c>
      <c r="F1009" s="105"/>
      <c r="H1009" s="2"/>
      <c r="I1009" s="2">
        <v>1</v>
      </c>
      <c r="J1009" s="2">
        <v>0</v>
      </c>
      <c r="K1009" s="2">
        <v>0</v>
      </c>
      <c r="L1009" s="2">
        <v>0.1875</v>
      </c>
      <c r="M1009" s="2">
        <v>0.22060000000000002</v>
      </c>
      <c r="N1009" s="244">
        <v>0</v>
      </c>
      <c r="O1009" s="2" t="s">
        <v>870</v>
      </c>
      <c r="P1009" s="2">
        <v>0</v>
      </c>
      <c r="Q1009" s="2" t="s">
        <v>992</v>
      </c>
      <c r="R1009" s="2" t="s">
        <v>795</v>
      </c>
      <c r="S1009" s="2"/>
      <c r="T1009" s="2" t="s">
        <v>861</v>
      </c>
      <c r="U1009" s="398" t="s">
        <v>861</v>
      </c>
      <c r="V1009" s="7">
        <v>2.5</v>
      </c>
      <c r="W1009" s="7" t="s">
        <v>1099</v>
      </c>
    </row>
    <row r="1010" spans="1:23" x14ac:dyDescent="0.35">
      <c r="A1010" s="2">
        <v>113</v>
      </c>
      <c r="B1010" s="109" t="s">
        <v>796</v>
      </c>
      <c r="C1010" s="110" t="s">
        <v>834</v>
      </c>
      <c r="D1010" s="2">
        <v>5</v>
      </c>
      <c r="E1010" s="51">
        <v>0.5</v>
      </c>
      <c r="F1010" s="105"/>
      <c r="H1010" s="2"/>
      <c r="I1010" s="2">
        <v>1</v>
      </c>
      <c r="J1010" s="2">
        <v>0</v>
      </c>
      <c r="K1010" s="2">
        <v>0</v>
      </c>
      <c r="L1010" s="2">
        <v>0.1875</v>
      </c>
      <c r="M1010" s="2">
        <v>0.22060000000000002</v>
      </c>
      <c r="N1010" s="244">
        <v>0</v>
      </c>
      <c r="O1010" s="2" t="s">
        <v>870</v>
      </c>
      <c r="P1010" s="2">
        <v>0</v>
      </c>
      <c r="Q1010" s="2" t="s">
        <v>992</v>
      </c>
      <c r="R1010" s="2" t="s">
        <v>796</v>
      </c>
      <c r="S1010" s="2"/>
      <c r="T1010" s="2" t="s">
        <v>861</v>
      </c>
      <c r="U1010" s="398" t="s">
        <v>861</v>
      </c>
      <c r="V1010" s="7">
        <v>2.5</v>
      </c>
      <c r="W1010" s="7" t="s">
        <v>1099</v>
      </c>
    </row>
    <row r="1011" spans="1:23" x14ac:dyDescent="0.35">
      <c r="A1011" s="2">
        <v>113</v>
      </c>
      <c r="B1011" s="109" t="s">
        <v>797</v>
      </c>
      <c r="C1011" s="110" t="s">
        <v>835</v>
      </c>
      <c r="D1011" s="2">
        <v>5</v>
      </c>
      <c r="E1011" s="51">
        <v>0.5</v>
      </c>
      <c r="F1011" s="105"/>
      <c r="H1011" s="2"/>
      <c r="I1011" s="2">
        <v>1</v>
      </c>
      <c r="J1011" s="2">
        <v>0</v>
      </c>
      <c r="K1011" s="2">
        <v>0</v>
      </c>
      <c r="L1011" s="2">
        <v>0.1875</v>
      </c>
      <c r="M1011" s="2">
        <v>0.22060000000000002</v>
      </c>
      <c r="N1011" s="244">
        <v>0</v>
      </c>
      <c r="O1011" s="2" t="s">
        <v>870</v>
      </c>
      <c r="P1011" s="2">
        <v>0</v>
      </c>
      <c r="Q1011" s="2" t="s">
        <v>992</v>
      </c>
      <c r="R1011" s="2" t="s">
        <v>797</v>
      </c>
      <c r="S1011" s="2"/>
      <c r="T1011" s="2" t="s">
        <v>861</v>
      </c>
      <c r="U1011" s="398" t="s">
        <v>861</v>
      </c>
      <c r="V1011" s="7">
        <v>2.5</v>
      </c>
      <c r="W1011" s="7" t="s">
        <v>1099</v>
      </c>
    </row>
    <row r="1012" spans="1:23" x14ac:dyDescent="0.35">
      <c r="A1012" s="2">
        <v>113</v>
      </c>
      <c r="B1012" s="109" t="s">
        <v>798</v>
      </c>
      <c r="C1012" s="110" t="s">
        <v>1056</v>
      </c>
      <c r="D1012" s="2">
        <v>5</v>
      </c>
      <c r="E1012" s="51">
        <v>0.5</v>
      </c>
      <c r="F1012" s="105"/>
      <c r="H1012" s="2"/>
      <c r="I1012" s="2">
        <v>1</v>
      </c>
      <c r="J1012" s="2">
        <v>0</v>
      </c>
      <c r="K1012" s="2">
        <v>0</v>
      </c>
      <c r="L1012" s="2">
        <v>0.1875</v>
      </c>
      <c r="M1012" s="2">
        <v>0.22060000000000002</v>
      </c>
      <c r="N1012" s="244">
        <v>0</v>
      </c>
      <c r="O1012" s="2" t="s">
        <v>870</v>
      </c>
      <c r="P1012" s="2">
        <v>0</v>
      </c>
      <c r="Q1012" s="2" t="s">
        <v>992</v>
      </c>
      <c r="R1012" s="2" t="s">
        <v>798</v>
      </c>
      <c r="S1012" s="2"/>
      <c r="T1012" s="2" t="s">
        <v>861</v>
      </c>
      <c r="U1012" s="398" t="s">
        <v>861</v>
      </c>
      <c r="V1012" s="7">
        <v>2.5</v>
      </c>
      <c r="W1012" s="7" t="s">
        <v>1099</v>
      </c>
    </row>
    <row r="1013" spans="1:23" x14ac:dyDescent="0.35">
      <c r="A1013" s="2">
        <v>113</v>
      </c>
      <c r="B1013" s="109" t="s">
        <v>799</v>
      </c>
      <c r="C1013" s="110" t="s">
        <v>837</v>
      </c>
      <c r="D1013" s="2">
        <v>5</v>
      </c>
      <c r="E1013" s="51">
        <v>0.5</v>
      </c>
      <c r="F1013" s="105"/>
      <c r="H1013" s="2"/>
      <c r="I1013" s="2">
        <v>1</v>
      </c>
      <c r="J1013" s="2">
        <v>0</v>
      </c>
      <c r="K1013" s="2">
        <v>0</v>
      </c>
      <c r="L1013" s="2">
        <v>0.1875</v>
      </c>
      <c r="M1013" s="2">
        <v>0.22060000000000002</v>
      </c>
      <c r="N1013" s="244">
        <v>0</v>
      </c>
      <c r="O1013" s="2" t="s">
        <v>870</v>
      </c>
      <c r="P1013" s="2">
        <v>0</v>
      </c>
      <c r="Q1013" s="2" t="s">
        <v>992</v>
      </c>
      <c r="R1013" s="2" t="s">
        <v>799</v>
      </c>
      <c r="S1013" s="2"/>
      <c r="T1013" s="2" t="s">
        <v>861</v>
      </c>
      <c r="U1013" s="398" t="s">
        <v>861</v>
      </c>
      <c r="V1013" s="7">
        <v>2.5</v>
      </c>
      <c r="W1013" s="7" t="s">
        <v>1099</v>
      </c>
    </row>
    <row r="1014" spans="1:23" x14ac:dyDescent="0.35">
      <c r="A1014" s="2">
        <v>113</v>
      </c>
      <c r="B1014" s="109" t="s">
        <v>800</v>
      </c>
      <c r="C1014" s="110" t="s">
        <v>838</v>
      </c>
      <c r="D1014" s="2">
        <v>5</v>
      </c>
      <c r="E1014" s="51">
        <v>0.5</v>
      </c>
      <c r="F1014" s="105"/>
      <c r="H1014" s="2"/>
      <c r="I1014" s="2">
        <v>1</v>
      </c>
      <c r="J1014" s="2">
        <v>0</v>
      </c>
      <c r="K1014" s="2">
        <v>0</v>
      </c>
      <c r="L1014" s="2">
        <v>0.1875</v>
      </c>
      <c r="M1014" s="2">
        <v>0.22060000000000002</v>
      </c>
      <c r="N1014" s="244">
        <v>0</v>
      </c>
      <c r="O1014" s="2" t="s">
        <v>870</v>
      </c>
      <c r="P1014" s="2">
        <v>0</v>
      </c>
      <c r="Q1014" s="2" t="s">
        <v>992</v>
      </c>
      <c r="R1014" s="2" t="s">
        <v>800</v>
      </c>
      <c r="S1014" s="2"/>
      <c r="T1014" s="2" t="s">
        <v>861</v>
      </c>
      <c r="U1014" s="398" t="s">
        <v>861</v>
      </c>
      <c r="V1014" s="7">
        <v>2.5</v>
      </c>
      <c r="W1014" s="7" t="s">
        <v>1099</v>
      </c>
    </row>
    <row r="1015" spans="1:23" x14ac:dyDescent="0.35">
      <c r="A1015" s="2">
        <v>113</v>
      </c>
      <c r="B1015" s="109" t="s">
        <v>801</v>
      </c>
      <c r="C1015" s="110" t="s">
        <v>839</v>
      </c>
      <c r="D1015" s="2">
        <v>5</v>
      </c>
      <c r="E1015" s="51">
        <v>0.5</v>
      </c>
      <c r="F1015" s="105"/>
      <c r="H1015" s="2"/>
      <c r="I1015" s="2">
        <v>1</v>
      </c>
      <c r="J1015" s="2">
        <v>0</v>
      </c>
      <c r="K1015" s="2">
        <v>0</v>
      </c>
      <c r="L1015" s="2">
        <v>0.1875</v>
      </c>
      <c r="M1015" s="2">
        <v>0.22060000000000002</v>
      </c>
      <c r="N1015" s="244">
        <v>0</v>
      </c>
      <c r="O1015" s="2" t="s">
        <v>870</v>
      </c>
      <c r="P1015" s="2">
        <v>0</v>
      </c>
      <c r="Q1015" s="2" t="s">
        <v>992</v>
      </c>
      <c r="R1015" s="2" t="s">
        <v>801</v>
      </c>
      <c r="S1015" s="2"/>
      <c r="T1015" s="2" t="s">
        <v>861</v>
      </c>
      <c r="U1015" s="398" t="s">
        <v>861</v>
      </c>
      <c r="V1015" s="7">
        <v>2.5</v>
      </c>
      <c r="W1015" s="7" t="s">
        <v>1099</v>
      </c>
    </row>
    <row r="1016" spans="1:23" x14ac:dyDescent="0.35">
      <c r="A1016" s="2">
        <v>114</v>
      </c>
      <c r="B1016" s="109" t="s">
        <v>107</v>
      </c>
      <c r="C1016" s="110" t="s">
        <v>109</v>
      </c>
      <c r="D1016" s="2">
        <v>240</v>
      </c>
      <c r="E1016" s="51">
        <v>12.5</v>
      </c>
      <c r="F1016" s="105"/>
      <c r="H1016" s="2">
        <v>48</v>
      </c>
      <c r="I1016" s="2">
        <v>10</v>
      </c>
      <c r="J1016" s="2">
        <v>0</v>
      </c>
      <c r="K1016" s="2">
        <v>1</v>
      </c>
      <c r="L1016" s="2">
        <v>113.76</v>
      </c>
      <c r="M1016" s="2">
        <v>118.80000000000001</v>
      </c>
      <c r="N1016" s="244">
        <v>0.20757</v>
      </c>
      <c r="O1016" s="2" t="s">
        <v>108</v>
      </c>
      <c r="P1016" s="2">
        <v>100</v>
      </c>
      <c r="Q1016" s="2" t="s">
        <v>55</v>
      </c>
      <c r="R1016" s="2" t="s">
        <v>107</v>
      </c>
      <c r="S1016" s="2"/>
      <c r="T1016" s="2">
        <v>11.68</v>
      </c>
      <c r="U1016" s="398">
        <v>2803.2</v>
      </c>
      <c r="V1016" s="7">
        <v>3000</v>
      </c>
      <c r="W1016" s="7" t="s">
        <v>660</v>
      </c>
    </row>
    <row r="1017" spans="1:23" x14ac:dyDescent="0.35">
      <c r="A1017" s="2">
        <v>114</v>
      </c>
      <c r="B1017" s="109" t="s">
        <v>1218</v>
      </c>
      <c r="C1017" s="110" t="s">
        <v>1197</v>
      </c>
      <c r="D1017" s="2">
        <v>36</v>
      </c>
      <c r="E1017" s="51">
        <v>12.5</v>
      </c>
      <c r="F1017" s="105"/>
      <c r="H1017" s="2">
        <v>3</v>
      </c>
      <c r="I1017" s="2">
        <v>2</v>
      </c>
      <c r="J1017" s="2">
        <v>0</v>
      </c>
      <c r="K1017" s="2">
        <v>1</v>
      </c>
      <c r="L1017" s="2">
        <v>14.819999999999999</v>
      </c>
      <c r="M1017" s="2">
        <v>15.4375</v>
      </c>
      <c r="N1017" s="244">
        <v>2.8488281250000001E-2</v>
      </c>
      <c r="O1017" s="2" t="s">
        <v>108</v>
      </c>
      <c r="P1017" s="2">
        <v>100</v>
      </c>
      <c r="Q1017" s="2" t="s">
        <v>55</v>
      </c>
      <c r="R1017" s="2" t="s">
        <v>120</v>
      </c>
      <c r="S1017" s="2"/>
      <c r="T1017" s="2">
        <v>11.68</v>
      </c>
      <c r="U1017" s="398">
        <v>420.48</v>
      </c>
      <c r="V1017" s="7">
        <v>450</v>
      </c>
      <c r="W1017" s="7" t="s">
        <v>660</v>
      </c>
    </row>
    <row r="1018" spans="1:23" x14ac:dyDescent="0.35">
      <c r="A1018" s="2">
        <v>114</v>
      </c>
      <c r="B1018" s="109" t="s">
        <v>122</v>
      </c>
      <c r="C1018" s="110" t="s">
        <v>123</v>
      </c>
      <c r="D1018" s="2">
        <v>60</v>
      </c>
      <c r="E1018" s="51">
        <v>12.5</v>
      </c>
      <c r="F1018" s="105"/>
      <c r="H1018" s="2">
        <v>5</v>
      </c>
      <c r="I1018" s="2">
        <v>3</v>
      </c>
      <c r="J1018" s="2">
        <v>0</v>
      </c>
      <c r="K1018" s="2">
        <v>1</v>
      </c>
      <c r="L1018" s="2">
        <v>24.7</v>
      </c>
      <c r="M1018" s="2">
        <v>25.729166666666668</v>
      </c>
      <c r="N1018" s="244">
        <v>4.7480468749999998E-2</v>
      </c>
      <c r="O1018" s="2" t="s">
        <v>108</v>
      </c>
      <c r="P1018" s="2">
        <v>100</v>
      </c>
      <c r="Q1018" s="2" t="s">
        <v>55</v>
      </c>
      <c r="R1018" s="2" t="s">
        <v>122</v>
      </c>
      <c r="S1018" s="2"/>
      <c r="T1018" s="2">
        <v>11.68</v>
      </c>
      <c r="U1018" s="398">
        <v>700.8</v>
      </c>
      <c r="V1018" s="7">
        <v>750</v>
      </c>
      <c r="W1018" s="7" t="s">
        <v>660</v>
      </c>
    </row>
    <row r="1019" spans="1:23" x14ac:dyDescent="0.35">
      <c r="A1019" s="2">
        <v>114</v>
      </c>
      <c r="B1019" s="109" t="s">
        <v>141</v>
      </c>
      <c r="C1019" s="110" t="s">
        <v>142</v>
      </c>
      <c r="D1019" s="2">
        <v>168</v>
      </c>
      <c r="E1019" s="51">
        <v>12.5</v>
      </c>
      <c r="F1019" s="105"/>
      <c r="H1019" s="2"/>
      <c r="I1019" s="2">
        <v>7</v>
      </c>
      <c r="J1019" s="2">
        <v>0</v>
      </c>
      <c r="K1019" s="2">
        <v>0</v>
      </c>
      <c r="L1019" s="2">
        <v>66.36</v>
      </c>
      <c r="M1019" s="2">
        <v>69.3</v>
      </c>
      <c r="N1019" s="244">
        <v>0.12271875</v>
      </c>
      <c r="O1019" s="2" t="s">
        <v>108</v>
      </c>
      <c r="P1019" s="2">
        <v>100</v>
      </c>
      <c r="Q1019" s="2" t="s">
        <v>55</v>
      </c>
      <c r="R1019" s="2" t="s">
        <v>141</v>
      </c>
      <c r="S1019" s="2"/>
      <c r="T1019" s="2">
        <v>11.68</v>
      </c>
      <c r="U1019" s="398">
        <v>1962.24</v>
      </c>
      <c r="V1019" s="7">
        <v>2100</v>
      </c>
      <c r="W1019" s="7" t="s">
        <v>660</v>
      </c>
    </row>
    <row r="1020" spans="1:23" x14ac:dyDescent="0.35">
      <c r="A1020" s="2">
        <v>114</v>
      </c>
      <c r="B1020" s="109" t="s">
        <v>143</v>
      </c>
      <c r="C1020" s="110" t="s">
        <v>144</v>
      </c>
      <c r="D1020" s="2">
        <v>168</v>
      </c>
      <c r="E1020" s="51">
        <v>12.5</v>
      </c>
      <c r="F1020" s="105"/>
      <c r="H1020" s="2"/>
      <c r="I1020" s="2">
        <v>7</v>
      </c>
      <c r="J1020" s="2">
        <v>0</v>
      </c>
      <c r="K1020" s="2">
        <v>0</v>
      </c>
      <c r="L1020" s="2">
        <v>66.36</v>
      </c>
      <c r="M1020" s="2">
        <v>69.3</v>
      </c>
      <c r="N1020" s="244">
        <v>0.12271875</v>
      </c>
      <c r="O1020" s="2" t="s">
        <v>108</v>
      </c>
      <c r="P1020" s="2">
        <v>100</v>
      </c>
      <c r="Q1020" s="2" t="s">
        <v>55</v>
      </c>
      <c r="R1020" s="2" t="s">
        <v>143</v>
      </c>
      <c r="S1020" s="2"/>
      <c r="T1020" s="2">
        <v>11.68</v>
      </c>
      <c r="U1020" s="398">
        <v>1962.24</v>
      </c>
      <c r="V1020" s="7">
        <v>2100</v>
      </c>
      <c r="W1020" s="7" t="s">
        <v>660</v>
      </c>
    </row>
    <row r="1021" spans="1:23" x14ac:dyDescent="0.35">
      <c r="A1021" s="2">
        <v>114</v>
      </c>
      <c r="B1021" s="109" t="s">
        <v>107</v>
      </c>
      <c r="C1021" s="110" t="s">
        <v>109</v>
      </c>
      <c r="D1021" s="2"/>
      <c r="E1021" s="51"/>
      <c r="F1021" s="105"/>
      <c r="H1021" s="2">
        <v>90</v>
      </c>
      <c r="I1021" s="2">
        <v>0</v>
      </c>
      <c r="J1021" s="2">
        <v>0</v>
      </c>
      <c r="K1021" s="2">
        <v>2</v>
      </c>
      <c r="L1021" s="2">
        <v>35.550000000000004</v>
      </c>
      <c r="M1021" s="2">
        <v>37.125</v>
      </c>
      <c r="N1021" s="244">
        <v>6.4865624999999996E-2</v>
      </c>
      <c r="O1021" s="2" t="s">
        <v>108</v>
      </c>
      <c r="P1021" s="2">
        <v>100</v>
      </c>
      <c r="Q1021" s="2" t="s">
        <v>55</v>
      </c>
      <c r="R1021" s="2" t="s">
        <v>107</v>
      </c>
      <c r="S1021" s="2"/>
      <c r="T1021" s="2">
        <v>11.68</v>
      </c>
      <c r="U1021" s="398">
        <v>0</v>
      </c>
      <c r="V1021" s="7">
        <v>0</v>
      </c>
      <c r="W1021" s="7" t="s">
        <v>660</v>
      </c>
    </row>
    <row r="1022" spans="1:23" x14ac:dyDescent="0.35">
      <c r="A1022" s="2">
        <v>114</v>
      </c>
      <c r="B1022" s="109" t="s">
        <v>110</v>
      </c>
      <c r="C1022" s="110" t="s">
        <v>111</v>
      </c>
      <c r="D1022" s="2"/>
      <c r="E1022" s="51"/>
      <c r="F1022" s="105"/>
      <c r="H1022" s="2">
        <v>30</v>
      </c>
      <c r="I1022" s="2">
        <v>0</v>
      </c>
      <c r="J1022" s="2">
        <v>0</v>
      </c>
      <c r="K1022" s="2">
        <v>1</v>
      </c>
      <c r="L1022" s="2">
        <v>11.850000000000001</v>
      </c>
      <c r="M1022" s="2">
        <v>12.375</v>
      </c>
      <c r="N1022" s="244">
        <v>2.1621874999999999E-2</v>
      </c>
      <c r="O1022" s="2" t="s">
        <v>108</v>
      </c>
      <c r="P1022" s="2">
        <v>100</v>
      </c>
      <c r="Q1022" s="2" t="s">
        <v>55</v>
      </c>
      <c r="R1022" s="2" t="s">
        <v>110</v>
      </c>
      <c r="S1022" s="2"/>
      <c r="T1022" s="2">
        <v>11.68</v>
      </c>
      <c r="U1022" s="398">
        <v>0</v>
      </c>
      <c r="V1022" s="7">
        <v>0</v>
      </c>
      <c r="W1022" s="7" t="s">
        <v>660</v>
      </c>
    </row>
    <row r="1023" spans="1:23" x14ac:dyDescent="0.35">
      <c r="A1023" s="2">
        <v>114</v>
      </c>
      <c r="B1023" s="109" t="s">
        <v>114</v>
      </c>
      <c r="C1023" s="110" t="s">
        <v>115</v>
      </c>
      <c r="D1023" s="2"/>
      <c r="E1023" s="51"/>
      <c r="F1023" s="105"/>
      <c r="H1023" s="2">
        <v>50</v>
      </c>
      <c r="I1023" s="2">
        <v>0</v>
      </c>
      <c r="J1023" s="2">
        <v>0</v>
      </c>
      <c r="K1023" s="2">
        <v>1</v>
      </c>
      <c r="L1023" s="2">
        <v>19.750000000000004</v>
      </c>
      <c r="M1023" s="2">
        <v>20.625000000000004</v>
      </c>
      <c r="N1023" s="244">
        <v>3.6036458333333334E-2</v>
      </c>
      <c r="O1023" s="2" t="s">
        <v>108</v>
      </c>
      <c r="P1023" s="2">
        <v>100</v>
      </c>
      <c r="Q1023" s="2" t="s">
        <v>55</v>
      </c>
      <c r="R1023" s="2" t="s">
        <v>114</v>
      </c>
      <c r="S1023" s="2"/>
      <c r="T1023" s="2">
        <v>11.68</v>
      </c>
      <c r="U1023" s="398">
        <v>0</v>
      </c>
      <c r="V1023" s="7">
        <v>0</v>
      </c>
      <c r="W1023" s="7" t="s">
        <v>660</v>
      </c>
    </row>
    <row r="1024" spans="1:23" x14ac:dyDescent="0.35">
      <c r="A1024" s="2">
        <v>114</v>
      </c>
      <c r="B1024" s="109" t="s">
        <v>1218</v>
      </c>
      <c r="C1024" s="110" t="s">
        <v>1197</v>
      </c>
      <c r="D1024" s="2"/>
      <c r="E1024" s="51"/>
      <c r="F1024" s="105"/>
      <c r="H1024" s="2">
        <v>4</v>
      </c>
      <c r="I1024" s="2">
        <v>0</v>
      </c>
      <c r="J1024" s="2">
        <v>0</v>
      </c>
      <c r="K1024" s="2">
        <v>1</v>
      </c>
      <c r="L1024" s="2">
        <v>1.5199999999999998</v>
      </c>
      <c r="M1024" s="2">
        <v>1.5833333333333333</v>
      </c>
      <c r="N1024" s="244">
        <v>2.921875E-3</v>
      </c>
      <c r="O1024" s="2" t="s">
        <v>108</v>
      </c>
      <c r="P1024" s="2">
        <v>100</v>
      </c>
      <c r="Q1024" s="2" t="s">
        <v>55</v>
      </c>
      <c r="R1024" s="2" t="s">
        <v>120</v>
      </c>
      <c r="S1024" s="2"/>
      <c r="T1024" s="2">
        <v>11.68</v>
      </c>
      <c r="U1024" s="398">
        <v>0</v>
      </c>
      <c r="V1024" s="7">
        <v>0</v>
      </c>
      <c r="W1024" s="7" t="s">
        <v>660</v>
      </c>
    </row>
    <row r="1025" spans="1:23" x14ac:dyDescent="0.35">
      <c r="A1025" s="2">
        <v>114</v>
      </c>
      <c r="B1025" s="109" t="s">
        <v>122</v>
      </c>
      <c r="C1025" s="110" t="s">
        <v>123</v>
      </c>
      <c r="D1025" s="2"/>
      <c r="E1025" s="51"/>
      <c r="F1025" s="105"/>
      <c r="H1025" s="2">
        <v>4</v>
      </c>
      <c r="I1025" s="2">
        <v>0</v>
      </c>
      <c r="J1025" s="2">
        <v>0</v>
      </c>
      <c r="K1025" s="2">
        <v>1</v>
      </c>
      <c r="L1025" s="2">
        <v>1.5199999999999998</v>
      </c>
      <c r="M1025" s="2">
        <v>1.5833333333333333</v>
      </c>
      <c r="N1025" s="244">
        <v>2.921875E-3</v>
      </c>
      <c r="O1025" s="2" t="s">
        <v>108</v>
      </c>
      <c r="P1025" s="2">
        <v>100</v>
      </c>
      <c r="Q1025" s="2" t="s">
        <v>55</v>
      </c>
      <c r="R1025" s="2" t="s">
        <v>122</v>
      </c>
      <c r="S1025" s="2"/>
      <c r="T1025" s="2">
        <v>11.68</v>
      </c>
      <c r="U1025" s="398">
        <v>0</v>
      </c>
      <c r="V1025" s="7">
        <v>0</v>
      </c>
      <c r="W1025" s="7" t="s">
        <v>660</v>
      </c>
    </row>
    <row r="1026" spans="1:23" x14ac:dyDescent="0.35">
      <c r="A1026" s="2">
        <v>114</v>
      </c>
      <c r="B1026" s="109" t="s">
        <v>141</v>
      </c>
      <c r="C1026" s="110" t="s">
        <v>142</v>
      </c>
      <c r="D1026" s="2"/>
      <c r="E1026" s="51"/>
      <c r="F1026" s="105"/>
      <c r="H1026" s="2">
        <v>80</v>
      </c>
      <c r="I1026" s="2">
        <v>0</v>
      </c>
      <c r="J1026" s="2">
        <v>0</v>
      </c>
      <c r="K1026" s="2">
        <v>2</v>
      </c>
      <c r="L1026" s="2">
        <v>31.6</v>
      </c>
      <c r="M1026" s="2">
        <v>33</v>
      </c>
      <c r="N1026" s="244">
        <v>5.8437500000000003E-2</v>
      </c>
      <c r="O1026" s="2" t="s">
        <v>108</v>
      </c>
      <c r="P1026" s="2">
        <v>100</v>
      </c>
      <c r="Q1026" s="2" t="s">
        <v>55</v>
      </c>
      <c r="R1026" s="2" t="s">
        <v>141</v>
      </c>
      <c r="S1026" s="2"/>
      <c r="T1026" s="2">
        <v>11.68</v>
      </c>
      <c r="U1026" s="398">
        <v>0</v>
      </c>
      <c r="V1026" s="7">
        <v>0</v>
      </c>
      <c r="W1026" s="7" t="s">
        <v>660</v>
      </c>
    </row>
    <row r="1027" spans="1:23" x14ac:dyDescent="0.35">
      <c r="A1027" s="2">
        <v>114</v>
      </c>
      <c r="B1027" s="109" t="s">
        <v>143</v>
      </c>
      <c r="C1027" s="110" t="s">
        <v>144</v>
      </c>
      <c r="D1027" s="2"/>
      <c r="E1027" s="51"/>
      <c r="F1027" s="105"/>
      <c r="H1027" s="2">
        <v>80</v>
      </c>
      <c r="I1027" s="2">
        <v>0</v>
      </c>
      <c r="J1027" s="2">
        <v>0</v>
      </c>
      <c r="K1027" s="2">
        <v>2</v>
      </c>
      <c r="L1027" s="2">
        <v>31.6</v>
      </c>
      <c r="M1027" s="2">
        <v>33</v>
      </c>
      <c r="N1027" s="244">
        <v>5.8437500000000003E-2</v>
      </c>
      <c r="O1027" s="2" t="s">
        <v>108</v>
      </c>
      <c r="P1027" s="2">
        <v>100</v>
      </c>
      <c r="Q1027" s="2" t="s">
        <v>55</v>
      </c>
      <c r="R1027" s="2" t="s">
        <v>143</v>
      </c>
      <c r="S1027" s="2"/>
      <c r="T1027" s="2">
        <v>11.68</v>
      </c>
      <c r="U1027" s="398">
        <v>0</v>
      </c>
      <c r="V1027" s="7">
        <v>0</v>
      </c>
      <c r="W1027" s="7" t="s">
        <v>660</v>
      </c>
    </row>
    <row r="1028" spans="1:23" x14ac:dyDescent="0.35">
      <c r="A1028" s="2">
        <v>115</v>
      </c>
      <c r="B1028" s="109" t="s">
        <v>107</v>
      </c>
      <c r="C1028" s="110" t="s">
        <v>109</v>
      </c>
      <c r="D1028" s="2">
        <v>24</v>
      </c>
      <c r="E1028" s="51"/>
      <c r="F1028" s="105"/>
      <c r="H1028" s="2"/>
      <c r="I1028" s="2">
        <v>1</v>
      </c>
      <c r="J1028" s="2">
        <v>0</v>
      </c>
      <c r="K1028" s="2">
        <v>0</v>
      </c>
      <c r="L1028" s="2">
        <v>9.48</v>
      </c>
      <c r="M1028" s="2">
        <v>9.9</v>
      </c>
      <c r="N1028" s="244">
        <v>1.72975E-2</v>
      </c>
      <c r="O1028" s="2" t="s">
        <v>108</v>
      </c>
      <c r="P1028" s="2">
        <v>100</v>
      </c>
      <c r="Q1028" s="2" t="s">
        <v>55</v>
      </c>
      <c r="R1028" s="2" t="s">
        <v>107</v>
      </c>
      <c r="S1028" s="2"/>
      <c r="T1028" s="2">
        <v>11.68</v>
      </c>
      <c r="U1028" s="398">
        <v>280.32</v>
      </c>
      <c r="V1028" s="7">
        <v>0</v>
      </c>
      <c r="W1028" s="7" t="s">
        <v>1099</v>
      </c>
    </row>
    <row r="1029" spans="1:23" x14ac:dyDescent="0.35">
      <c r="A1029" s="2">
        <v>115</v>
      </c>
      <c r="B1029" s="109" t="s">
        <v>110</v>
      </c>
      <c r="C1029" s="110" t="s">
        <v>111</v>
      </c>
      <c r="D1029" s="2">
        <v>0</v>
      </c>
      <c r="E1029" s="51"/>
      <c r="F1029" s="105"/>
      <c r="H1029" s="2"/>
      <c r="I1029" s="2">
        <v>0</v>
      </c>
      <c r="J1029" s="2">
        <v>0</v>
      </c>
      <c r="K1029" s="2">
        <v>0</v>
      </c>
      <c r="L1029" s="2">
        <v>0</v>
      </c>
      <c r="M1029" s="2">
        <v>0</v>
      </c>
      <c r="N1029" s="244">
        <v>0</v>
      </c>
      <c r="O1029" s="2" t="s">
        <v>108</v>
      </c>
      <c r="P1029" s="2">
        <v>100</v>
      </c>
      <c r="Q1029" s="2" t="s">
        <v>55</v>
      </c>
      <c r="R1029" s="2" t="s">
        <v>110</v>
      </c>
      <c r="S1029" s="2"/>
      <c r="T1029" s="2">
        <v>11.68</v>
      </c>
      <c r="U1029" s="398">
        <v>0</v>
      </c>
      <c r="V1029" s="7">
        <v>0</v>
      </c>
      <c r="W1029" s="7" t="s">
        <v>1099</v>
      </c>
    </row>
    <row r="1030" spans="1:23" x14ac:dyDescent="0.35">
      <c r="A1030" s="2">
        <v>115</v>
      </c>
      <c r="B1030" s="109" t="s">
        <v>1216</v>
      </c>
      <c r="C1030" s="110" t="s">
        <v>648</v>
      </c>
      <c r="D1030" s="2">
        <v>24</v>
      </c>
      <c r="E1030" s="51"/>
      <c r="F1030" s="105"/>
      <c r="H1030" s="2"/>
      <c r="I1030" s="2">
        <v>1</v>
      </c>
      <c r="J1030" s="2">
        <v>0</v>
      </c>
      <c r="K1030" s="2">
        <v>0</v>
      </c>
      <c r="L1030" s="2">
        <v>9.48</v>
      </c>
      <c r="M1030" s="2">
        <v>9.9</v>
      </c>
      <c r="N1030" s="244">
        <v>1.72975E-2</v>
      </c>
      <c r="O1030" s="2" t="s">
        <v>108</v>
      </c>
      <c r="P1030" s="2">
        <v>100</v>
      </c>
      <c r="Q1030" s="2" t="s">
        <v>55</v>
      </c>
      <c r="R1030" s="2" t="s">
        <v>112</v>
      </c>
      <c r="S1030" s="2"/>
      <c r="T1030" s="2">
        <v>11.68</v>
      </c>
      <c r="U1030" s="398">
        <v>280.32</v>
      </c>
      <c r="V1030" s="7">
        <v>0</v>
      </c>
      <c r="W1030" s="7" t="s">
        <v>1099</v>
      </c>
    </row>
    <row r="1031" spans="1:23" x14ac:dyDescent="0.35">
      <c r="A1031" s="2">
        <v>115</v>
      </c>
      <c r="B1031" s="109" t="s">
        <v>114</v>
      </c>
      <c r="C1031" s="110" t="s">
        <v>115</v>
      </c>
      <c r="D1031" s="2">
        <v>0</v>
      </c>
      <c r="E1031" s="51"/>
      <c r="F1031" s="105"/>
      <c r="H1031" s="2"/>
      <c r="I1031" s="2">
        <v>0</v>
      </c>
      <c r="J1031" s="2">
        <v>0</v>
      </c>
      <c r="K1031" s="2">
        <v>0</v>
      </c>
      <c r="L1031" s="2">
        <v>0</v>
      </c>
      <c r="M1031" s="2">
        <v>0</v>
      </c>
      <c r="N1031" s="244">
        <v>0</v>
      </c>
      <c r="O1031" s="2" t="s">
        <v>108</v>
      </c>
      <c r="P1031" s="2">
        <v>100</v>
      </c>
      <c r="Q1031" s="2" t="s">
        <v>55</v>
      </c>
      <c r="R1031" s="2" t="s">
        <v>114</v>
      </c>
      <c r="S1031" s="2"/>
      <c r="T1031" s="2">
        <v>11.68</v>
      </c>
      <c r="U1031" s="398">
        <v>0</v>
      </c>
      <c r="V1031" s="7">
        <v>0</v>
      </c>
      <c r="W1031" s="7" t="s">
        <v>1099</v>
      </c>
    </row>
    <row r="1032" spans="1:23" x14ac:dyDescent="0.35">
      <c r="A1032" s="2">
        <v>115</v>
      </c>
      <c r="B1032" s="109" t="s">
        <v>141</v>
      </c>
      <c r="C1032" s="110" t="s">
        <v>142</v>
      </c>
      <c r="D1032" s="2">
        <v>6</v>
      </c>
      <c r="E1032" s="51"/>
      <c r="F1032" s="105"/>
      <c r="H1032" s="2"/>
      <c r="I1032" s="2">
        <v>1</v>
      </c>
      <c r="J1032" s="2">
        <v>0</v>
      </c>
      <c r="K1032" s="2">
        <v>0</v>
      </c>
      <c r="L1032" s="2">
        <v>2.37</v>
      </c>
      <c r="M1032" s="2">
        <v>2.4750000000000001</v>
      </c>
      <c r="N1032" s="244">
        <v>4.3828125000000004E-3</v>
      </c>
      <c r="O1032" s="2" t="s">
        <v>108</v>
      </c>
      <c r="P1032" s="2">
        <v>100</v>
      </c>
      <c r="Q1032" s="2" t="s">
        <v>55</v>
      </c>
      <c r="R1032" s="2" t="s">
        <v>141</v>
      </c>
      <c r="S1032" s="2"/>
      <c r="T1032" s="2">
        <v>11.68</v>
      </c>
      <c r="U1032" s="398">
        <v>70.08</v>
      </c>
      <c r="V1032" s="7">
        <v>0</v>
      </c>
      <c r="W1032" s="7" t="s">
        <v>1099</v>
      </c>
    </row>
    <row r="1033" spans="1:23" x14ac:dyDescent="0.35">
      <c r="A1033" s="2">
        <v>115</v>
      </c>
      <c r="B1033" s="109" t="s">
        <v>143</v>
      </c>
      <c r="C1033" s="110" t="s">
        <v>144</v>
      </c>
      <c r="D1033" s="2">
        <v>3</v>
      </c>
      <c r="E1033" s="51"/>
      <c r="F1033" s="105"/>
      <c r="H1033" s="2"/>
      <c r="I1033" s="2">
        <v>1</v>
      </c>
      <c r="J1033" s="2">
        <v>0</v>
      </c>
      <c r="K1033" s="2">
        <v>0</v>
      </c>
      <c r="L1033" s="2">
        <v>1.1850000000000001</v>
      </c>
      <c r="M1033" s="2">
        <v>1.2375</v>
      </c>
      <c r="N1033" s="244">
        <v>2.1914062500000002E-3</v>
      </c>
      <c r="O1033" s="2" t="s">
        <v>108</v>
      </c>
      <c r="P1033" s="2">
        <v>100</v>
      </c>
      <c r="Q1033" s="2" t="s">
        <v>55</v>
      </c>
      <c r="R1033" s="2" t="s">
        <v>143</v>
      </c>
      <c r="S1033" s="2"/>
      <c r="T1033" s="2">
        <v>11.68</v>
      </c>
      <c r="U1033" s="398">
        <v>35.04</v>
      </c>
      <c r="V1033" s="7">
        <v>0</v>
      </c>
      <c r="W1033" s="7" t="s">
        <v>1099</v>
      </c>
    </row>
    <row r="1034" spans="1:23" x14ac:dyDescent="0.35">
      <c r="A1034" s="2">
        <v>115</v>
      </c>
      <c r="B1034" s="109" t="s">
        <v>116</v>
      </c>
      <c r="C1034" s="110" t="s">
        <v>117</v>
      </c>
      <c r="D1034" s="2">
        <v>24</v>
      </c>
      <c r="E1034" s="51"/>
      <c r="F1034" s="105"/>
      <c r="H1034" s="2"/>
      <c r="I1034" s="2">
        <v>1</v>
      </c>
      <c r="J1034" s="2">
        <v>0</v>
      </c>
      <c r="K1034" s="2">
        <v>0</v>
      </c>
      <c r="L1034" s="2">
        <v>9.1199999999999992</v>
      </c>
      <c r="M1034" s="2">
        <v>9.5</v>
      </c>
      <c r="N1034" s="244">
        <v>1.7531250000000002E-2</v>
      </c>
      <c r="O1034" s="2" t="s">
        <v>108</v>
      </c>
      <c r="P1034" s="2">
        <v>100</v>
      </c>
      <c r="Q1034" s="2" t="s">
        <v>55</v>
      </c>
      <c r="R1034" s="2" t="s">
        <v>116</v>
      </c>
      <c r="S1034" s="2"/>
      <c r="T1034" s="2">
        <v>11.68</v>
      </c>
      <c r="U1034" s="398">
        <v>280.32</v>
      </c>
      <c r="V1034" s="7">
        <v>0</v>
      </c>
      <c r="W1034" s="7" t="s">
        <v>1099</v>
      </c>
    </row>
    <row r="1035" spans="1:23" x14ac:dyDescent="0.35">
      <c r="A1035" s="2">
        <v>115</v>
      </c>
      <c r="B1035" s="109" t="s">
        <v>118</v>
      </c>
      <c r="C1035" s="110" t="s">
        <v>119</v>
      </c>
      <c r="D1035" s="2">
        <v>24</v>
      </c>
      <c r="E1035" s="51"/>
      <c r="F1035" s="105"/>
      <c r="H1035" s="2"/>
      <c r="I1035" s="2">
        <v>1</v>
      </c>
      <c r="J1035" s="2">
        <v>0</v>
      </c>
      <c r="K1035" s="2">
        <v>0</v>
      </c>
      <c r="L1035" s="2">
        <v>9.1199999999999992</v>
      </c>
      <c r="M1035" s="2">
        <v>9.5</v>
      </c>
      <c r="N1035" s="244">
        <v>1.7531250000000002E-2</v>
      </c>
      <c r="O1035" s="2" t="s">
        <v>108</v>
      </c>
      <c r="P1035" s="2">
        <v>100</v>
      </c>
      <c r="Q1035" s="2" t="s">
        <v>55</v>
      </c>
      <c r="R1035" s="2" t="s">
        <v>118</v>
      </c>
      <c r="S1035" s="2"/>
      <c r="T1035" s="2">
        <v>11.68</v>
      </c>
      <c r="U1035" s="398">
        <v>280.32</v>
      </c>
      <c r="V1035" s="7">
        <v>0</v>
      </c>
      <c r="W1035" s="7" t="s">
        <v>1099</v>
      </c>
    </row>
    <row r="1036" spans="1:23" x14ac:dyDescent="0.35">
      <c r="A1036" s="2">
        <v>115</v>
      </c>
      <c r="B1036" s="109" t="s">
        <v>1218</v>
      </c>
      <c r="C1036" s="110" t="s">
        <v>1197</v>
      </c>
      <c r="D1036" s="2">
        <v>24</v>
      </c>
      <c r="E1036" s="51"/>
      <c r="F1036" s="105"/>
      <c r="H1036" s="2"/>
      <c r="I1036" s="2">
        <v>1</v>
      </c>
      <c r="J1036" s="2">
        <v>0</v>
      </c>
      <c r="K1036" s="2">
        <v>0</v>
      </c>
      <c r="L1036" s="2">
        <v>9.1199999999999992</v>
      </c>
      <c r="M1036" s="2">
        <v>9.5</v>
      </c>
      <c r="N1036" s="244">
        <v>1.7531250000000002E-2</v>
      </c>
      <c r="O1036" s="2" t="s">
        <v>108</v>
      </c>
      <c r="P1036" s="2">
        <v>100</v>
      </c>
      <c r="Q1036" s="2" t="s">
        <v>55</v>
      </c>
      <c r="R1036" s="2" t="s">
        <v>120</v>
      </c>
      <c r="S1036" s="2"/>
      <c r="T1036" s="2">
        <v>11.68</v>
      </c>
      <c r="U1036" s="398">
        <v>280.32</v>
      </c>
      <c r="V1036" s="7">
        <v>0</v>
      </c>
      <c r="W1036" s="7" t="s">
        <v>1099</v>
      </c>
    </row>
    <row r="1037" spans="1:23" x14ac:dyDescent="0.35">
      <c r="A1037" s="2">
        <v>115</v>
      </c>
      <c r="B1037" s="109" t="s">
        <v>122</v>
      </c>
      <c r="C1037" s="110" t="s">
        <v>123</v>
      </c>
      <c r="D1037" s="2">
        <v>24</v>
      </c>
      <c r="E1037" s="51"/>
      <c r="F1037" s="105"/>
      <c r="H1037" s="2"/>
      <c r="I1037" s="2">
        <v>1</v>
      </c>
      <c r="J1037" s="2">
        <v>0</v>
      </c>
      <c r="K1037" s="2">
        <v>0</v>
      </c>
      <c r="L1037" s="2">
        <v>9.1199999999999992</v>
      </c>
      <c r="M1037" s="2">
        <v>9.5</v>
      </c>
      <c r="N1037" s="244">
        <v>1.7531250000000002E-2</v>
      </c>
      <c r="O1037" s="2" t="s">
        <v>108</v>
      </c>
      <c r="P1037" s="2">
        <v>100</v>
      </c>
      <c r="Q1037" s="2" t="s">
        <v>55</v>
      </c>
      <c r="R1037" s="2" t="s">
        <v>122</v>
      </c>
      <c r="S1037" s="2"/>
      <c r="T1037" s="2">
        <v>11.68</v>
      </c>
      <c r="U1037" s="398">
        <v>280.32</v>
      </c>
      <c r="V1037" s="7">
        <v>0</v>
      </c>
      <c r="W1037" s="7" t="s">
        <v>1099</v>
      </c>
    </row>
    <row r="1038" spans="1:23" x14ac:dyDescent="0.35">
      <c r="A1038" s="2">
        <v>115</v>
      </c>
      <c r="B1038" s="109" t="s">
        <v>672</v>
      </c>
      <c r="C1038" s="110" t="s">
        <v>851</v>
      </c>
      <c r="D1038" s="2">
        <v>3</v>
      </c>
      <c r="E1038" s="51"/>
      <c r="F1038" s="105"/>
      <c r="H1038" s="2"/>
      <c r="I1038" s="2">
        <v>1</v>
      </c>
      <c r="J1038" s="2">
        <v>0</v>
      </c>
      <c r="K1038" s="2">
        <v>0</v>
      </c>
      <c r="L1038" s="2">
        <v>0.81299999999999994</v>
      </c>
      <c r="M1038" s="2">
        <v>0.88624999999999998</v>
      </c>
      <c r="N1038" s="244">
        <v>2.0048437500000001E-3</v>
      </c>
      <c r="O1038" s="2" t="s">
        <v>150</v>
      </c>
      <c r="P1038" s="2">
        <v>250</v>
      </c>
      <c r="Q1038" s="2" t="s">
        <v>151</v>
      </c>
      <c r="R1038" s="2" t="s">
        <v>672</v>
      </c>
      <c r="S1038" s="2"/>
      <c r="T1038" s="2">
        <v>4.21</v>
      </c>
      <c r="U1038" s="398">
        <v>12.629999999999999</v>
      </c>
      <c r="V1038" s="7">
        <v>0</v>
      </c>
      <c r="W1038" s="7" t="s">
        <v>1099</v>
      </c>
    </row>
    <row r="1039" spans="1:23" x14ac:dyDescent="0.35">
      <c r="A1039" s="2">
        <v>115</v>
      </c>
      <c r="B1039" s="109" t="s">
        <v>674</v>
      </c>
      <c r="C1039" s="110" t="s">
        <v>852</v>
      </c>
      <c r="D1039" s="2">
        <v>3</v>
      </c>
      <c r="E1039" s="51"/>
      <c r="F1039" s="105"/>
      <c r="H1039" s="2"/>
      <c r="I1039" s="2">
        <v>1</v>
      </c>
      <c r="J1039" s="2">
        <v>0</v>
      </c>
      <c r="K1039" s="2">
        <v>0</v>
      </c>
      <c r="L1039" s="2">
        <v>0.81299999999999994</v>
      </c>
      <c r="M1039" s="2">
        <v>0.88624999999999998</v>
      </c>
      <c r="N1039" s="244">
        <v>2.0048437500000001E-3</v>
      </c>
      <c r="O1039" s="2" t="s">
        <v>150</v>
      </c>
      <c r="P1039" s="2">
        <v>250</v>
      </c>
      <c r="Q1039" s="2" t="s">
        <v>151</v>
      </c>
      <c r="R1039" s="2" t="s">
        <v>674</v>
      </c>
      <c r="S1039" s="2"/>
      <c r="T1039" s="2">
        <v>4.21</v>
      </c>
      <c r="U1039" s="398">
        <v>12.629999999999999</v>
      </c>
      <c r="V1039" s="7">
        <v>0</v>
      </c>
      <c r="W1039" s="7" t="s">
        <v>1099</v>
      </c>
    </row>
    <row r="1040" spans="1:23" x14ac:dyDescent="0.35">
      <c r="A1040" s="2">
        <v>115</v>
      </c>
      <c r="B1040" s="109" t="s">
        <v>676</v>
      </c>
      <c r="C1040" s="110" t="s">
        <v>853</v>
      </c>
      <c r="D1040" s="2">
        <v>3</v>
      </c>
      <c r="E1040" s="51"/>
      <c r="F1040" s="105"/>
      <c r="H1040" s="2"/>
      <c r="I1040" s="2">
        <v>1</v>
      </c>
      <c r="J1040" s="2">
        <v>0</v>
      </c>
      <c r="K1040" s="2">
        <v>0</v>
      </c>
      <c r="L1040" s="2">
        <v>0.81299999999999994</v>
      </c>
      <c r="M1040" s="2">
        <v>0.88624999999999998</v>
      </c>
      <c r="N1040" s="244">
        <v>2.0048437500000001E-3</v>
      </c>
      <c r="O1040" s="2" t="s">
        <v>150</v>
      </c>
      <c r="P1040" s="2">
        <v>250</v>
      </c>
      <c r="Q1040" s="2" t="s">
        <v>151</v>
      </c>
      <c r="R1040" s="2" t="s">
        <v>676</v>
      </c>
      <c r="S1040" s="2"/>
      <c r="T1040" s="2">
        <v>4.21</v>
      </c>
      <c r="U1040" s="398">
        <v>12.629999999999999</v>
      </c>
      <c r="V1040" s="7">
        <v>0</v>
      </c>
      <c r="W1040" s="7" t="s">
        <v>1099</v>
      </c>
    </row>
    <row r="1041" spans="1:23" x14ac:dyDescent="0.35">
      <c r="A1041" s="2">
        <v>115</v>
      </c>
      <c r="B1041" s="109" t="s">
        <v>678</v>
      </c>
      <c r="C1041" s="110" t="s">
        <v>854</v>
      </c>
      <c r="D1041" s="2">
        <v>3</v>
      </c>
      <c r="E1041" s="51"/>
      <c r="F1041" s="105"/>
      <c r="H1041" s="2"/>
      <c r="I1041" s="2">
        <v>1</v>
      </c>
      <c r="J1041" s="2">
        <v>0</v>
      </c>
      <c r="K1041" s="2">
        <v>0</v>
      </c>
      <c r="L1041" s="2">
        <v>0.81299999999999994</v>
      </c>
      <c r="M1041" s="2">
        <v>0.88624999999999998</v>
      </c>
      <c r="N1041" s="244">
        <v>2.0048437500000001E-3</v>
      </c>
      <c r="O1041" s="2" t="s">
        <v>150</v>
      </c>
      <c r="P1041" s="2">
        <v>250</v>
      </c>
      <c r="Q1041" s="2" t="s">
        <v>151</v>
      </c>
      <c r="R1041" s="2" t="s">
        <v>678</v>
      </c>
      <c r="S1041" s="2"/>
      <c r="T1041" s="2">
        <v>4.21</v>
      </c>
      <c r="U1041" s="398">
        <v>12.629999999999999</v>
      </c>
      <c r="V1041" s="7">
        <v>0</v>
      </c>
      <c r="W1041" s="7" t="s">
        <v>1099</v>
      </c>
    </row>
    <row r="1042" spans="1:23" x14ac:dyDescent="0.35">
      <c r="A1042" s="2">
        <v>115</v>
      </c>
      <c r="B1042" s="109" t="s">
        <v>680</v>
      </c>
      <c r="C1042" s="110" t="s">
        <v>847</v>
      </c>
      <c r="D1042" s="2">
        <v>3</v>
      </c>
      <c r="E1042" s="51"/>
      <c r="F1042" s="105"/>
      <c r="H1042" s="2"/>
      <c r="I1042" s="2">
        <v>1</v>
      </c>
      <c r="J1042" s="2">
        <v>0</v>
      </c>
      <c r="K1042" s="2">
        <v>0</v>
      </c>
      <c r="L1042" s="2">
        <v>0.76200000000000001</v>
      </c>
      <c r="M1042" s="2">
        <v>0.85</v>
      </c>
      <c r="N1042" s="244">
        <v>2.8339687500000001E-3</v>
      </c>
      <c r="O1042" s="2" t="s">
        <v>150</v>
      </c>
      <c r="P1042" s="2">
        <v>300</v>
      </c>
      <c r="Q1042" s="2" t="s">
        <v>151</v>
      </c>
      <c r="R1042" s="2" t="s">
        <v>680</v>
      </c>
      <c r="S1042" s="2"/>
      <c r="T1042" s="2">
        <v>4.21</v>
      </c>
      <c r="U1042" s="398">
        <v>12.629999999999999</v>
      </c>
      <c r="V1042" s="7">
        <v>0</v>
      </c>
      <c r="W1042" s="7" t="s">
        <v>1099</v>
      </c>
    </row>
    <row r="1043" spans="1:23" x14ac:dyDescent="0.35">
      <c r="A1043" s="2">
        <v>115</v>
      </c>
      <c r="B1043" s="109" t="s">
        <v>682</v>
      </c>
      <c r="C1043" s="110" t="s">
        <v>848</v>
      </c>
      <c r="D1043" s="2">
        <v>3</v>
      </c>
      <c r="E1043" s="51"/>
      <c r="F1043" s="105"/>
      <c r="H1043" s="2"/>
      <c r="I1043" s="2">
        <v>1</v>
      </c>
      <c r="J1043" s="2">
        <v>0</v>
      </c>
      <c r="K1043" s="2">
        <v>0</v>
      </c>
      <c r="L1043" s="2">
        <v>0.76200000000000001</v>
      </c>
      <c r="M1043" s="2">
        <v>0.85</v>
      </c>
      <c r="N1043" s="244">
        <v>2.8339687500000001E-3</v>
      </c>
      <c r="O1043" s="2" t="s">
        <v>150</v>
      </c>
      <c r="P1043" s="2">
        <v>300</v>
      </c>
      <c r="Q1043" s="2" t="s">
        <v>151</v>
      </c>
      <c r="R1043" s="2" t="s">
        <v>682</v>
      </c>
      <c r="S1043" s="2"/>
      <c r="T1043" s="2">
        <v>4.21</v>
      </c>
      <c r="U1043" s="398">
        <v>12.629999999999999</v>
      </c>
      <c r="V1043" s="7">
        <v>0</v>
      </c>
      <c r="W1043" s="7" t="s">
        <v>1099</v>
      </c>
    </row>
    <row r="1044" spans="1:23" x14ac:dyDescent="0.35">
      <c r="A1044" s="2">
        <v>115</v>
      </c>
      <c r="B1044" s="109" t="s">
        <v>684</v>
      </c>
      <c r="C1044" s="110" t="s">
        <v>850</v>
      </c>
      <c r="D1044" s="2">
        <v>3</v>
      </c>
      <c r="E1044" s="51"/>
      <c r="F1044" s="105"/>
      <c r="H1044" s="2"/>
      <c r="I1044" s="2">
        <v>1</v>
      </c>
      <c r="J1044" s="2">
        <v>0</v>
      </c>
      <c r="K1044" s="2">
        <v>0</v>
      </c>
      <c r="L1044" s="2">
        <v>0.76200000000000001</v>
      </c>
      <c r="M1044" s="2">
        <v>0.85</v>
      </c>
      <c r="N1044" s="244">
        <v>2.8339687500000001E-3</v>
      </c>
      <c r="O1044" s="2" t="s">
        <v>150</v>
      </c>
      <c r="P1044" s="2">
        <v>300</v>
      </c>
      <c r="Q1044" s="2" t="s">
        <v>151</v>
      </c>
      <c r="R1044" s="2" t="s">
        <v>684</v>
      </c>
      <c r="S1044" s="2"/>
      <c r="T1044" s="2">
        <v>4.21</v>
      </c>
      <c r="U1044" s="398">
        <v>12.629999999999999</v>
      </c>
      <c r="V1044" s="7">
        <v>0</v>
      </c>
      <c r="W1044" s="7" t="s">
        <v>1099</v>
      </c>
    </row>
    <row r="1045" spans="1:23" x14ac:dyDescent="0.35">
      <c r="A1045" s="2">
        <v>115</v>
      </c>
      <c r="B1045" s="109" t="s">
        <v>686</v>
      </c>
      <c r="C1045" s="110" t="s">
        <v>849</v>
      </c>
      <c r="D1045" s="2">
        <v>3</v>
      </c>
      <c r="E1045" s="51"/>
      <c r="F1045" s="105"/>
      <c r="H1045" s="2"/>
      <c r="I1045" s="2">
        <v>1</v>
      </c>
      <c r="J1045" s="2">
        <v>0</v>
      </c>
      <c r="K1045" s="2">
        <v>0</v>
      </c>
      <c r="L1045" s="2">
        <v>0.76200000000000001</v>
      </c>
      <c r="M1045" s="2">
        <v>0.85</v>
      </c>
      <c r="N1045" s="244">
        <v>2.8339687500000001E-3</v>
      </c>
      <c r="O1045" s="2" t="s">
        <v>150</v>
      </c>
      <c r="P1045" s="2">
        <v>300</v>
      </c>
      <c r="Q1045" s="2" t="s">
        <v>151</v>
      </c>
      <c r="R1045" s="2" t="s">
        <v>686</v>
      </c>
      <c r="S1045" s="2"/>
      <c r="T1045" s="2">
        <v>4.21</v>
      </c>
      <c r="U1045" s="398">
        <v>12.629999999999999</v>
      </c>
      <c r="V1045" s="7">
        <v>0</v>
      </c>
      <c r="W1045" s="7" t="s">
        <v>1099</v>
      </c>
    </row>
    <row r="1046" spans="1:23" x14ac:dyDescent="0.35">
      <c r="A1046" s="2">
        <v>115</v>
      </c>
      <c r="B1046" s="109" t="s">
        <v>91</v>
      </c>
      <c r="C1046" s="110" t="s">
        <v>92</v>
      </c>
      <c r="D1046" s="2">
        <v>14</v>
      </c>
      <c r="E1046" s="51"/>
      <c r="F1046" s="105"/>
      <c r="H1046" s="2"/>
      <c r="I1046" s="2">
        <v>1</v>
      </c>
      <c r="J1046" s="2">
        <v>0</v>
      </c>
      <c r="K1046" s="2">
        <v>0</v>
      </c>
      <c r="L1046" s="2">
        <v>4.3866666666666667</v>
      </c>
      <c r="M1046" s="2">
        <v>4.8008333333333342</v>
      </c>
      <c r="N1046" s="244">
        <v>1.3093499999999999E-2</v>
      </c>
      <c r="O1046" s="2" t="s">
        <v>934</v>
      </c>
      <c r="P1046" s="2">
        <v>100</v>
      </c>
      <c r="Q1046" s="2" t="s">
        <v>55</v>
      </c>
      <c r="R1046" s="2" t="s">
        <v>91</v>
      </c>
      <c r="S1046" s="2"/>
      <c r="T1046" s="2">
        <v>5</v>
      </c>
      <c r="U1046" s="398">
        <v>70</v>
      </c>
      <c r="V1046" s="7">
        <v>0</v>
      </c>
      <c r="W1046" s="7" t="s">
        <v>1099</v>
      </c>
    </row>
    <row r="1047" spans="1:23" x14ac:dyDescent="0.35">
      <c r="A1047" s="2">
        <v>115</v>
      </c>
      <c r="B1047" s="109" t="s">
        <v>93</v>
      </c>
      <c r="C1047" s="110" t="s">
        <v>94</v>
      </c>
      <c r="D1047" s="2">
        <v>14</v>
      </c>
      <c r="E1047" s="51"/>
      <c r="F1047" s="105"/>
      <c r="H1047" s="2"/>
      <c r="I1047" s="2">
        <v>1</v>
      </c>
      <c r="J1047" s="2">
        <v>0</v>
      </c>
      <c r="K1047" s="2">
        <v>0</v>
      </c>
      <c r="L1047" s="2">
        <v>4.3866666666666667</v>
      </c>
      <c r="M1047" s="2">
        <v>4.8008333333333342</v>
      </c>
      <c r="N1047" s="244">
        <v>1.3093499999999999E-2</v>
      </c>
      <c r="O1047" s="2" t="s">
        <v>934</v>
      </c>
      <c r="P1047" s="2">
        <v>100</v>
      </c>
      <c r="Q1047" s="2" t="s">
        <v>55</v>
      </c>
      <c r="R1047" s="2" t="s">
        <v>93</v>
      </c>
      <c r="S1047" s="2"/>
      <c r="T1047" s="2">
        <v>5</v>
      </c>
      <c r="U1047" s="398">
        <v>70</v>
      </c>
      <c r="V1047" s="7">
        <v>0</v>
      </c>
      <c r="W1047" s="7" t="s">
        <v>1099</v>
      </c>
    </row>
    <row r="1048" spans="1:23" x14ac:dyDescent="0.35">
      <c r="A1048" s="2">
        <v>115</v>
      </c>
      <c r="B1048" s="109" t="s">
        <v>95</v>
      </c>
      <c r="C1048" s="110" t="s">
        <v>96</v>
      </c>
      <c r="D1048" s="2">
        <v>14</v>
      </c>
      <c r="E1048" s="51"/>
      <c r="F1048" s="105"/>
      <c r="H1048" s="2"/>
      <c r="I1048" s="2">
        <v>1</v>
      </c>
      <c r="J1048" s="2">
        <v>0</v>
      </c>
      <c r="K1048" s="2">
        <v>0</v>
      </c>
      <c r="L1048" s="2">
        <v>4.3866666666666667</v>
      </c>
      <c r="M1048" s="2">
        <v>4.8008333333333342</v>
      </c>
      <c r="N1048" s="244">
        <v>1.3093499999999999E-2</v>
      </c>
      <c r="O1048" s="2" t="s">
        <v>934</v>
      </c>
      <c r="P1048" s="2">
        <v>100</v>
      </c>
      <c r="Q1048" s="2" t="s">
        <v>55</v>
      </c>
      <c r="R1048" s="2" t="s">
        <v>95</v>
      </c>
      <c r="S1048" s="2"/>
      <c r="T1048" s="2">
        <v>5</v>
      </c>
      <c r="U1048" s="398">
        <v>70</v>
      </c>
      <c r="V1048" s="7">
        <v>0</v>
      </c>
      <c r="W1048" s="7" t="s">
        <v>1099</v>
      </c>
    </row>
    <row r="1049" spans="1:23" x14ac:dyDescent="0.35">
      <c r="A1049" s="2">
        <v>115</v>
      </c>
      <c r="B1049" s="109" t="s">
        <v>97</v>
      </c>
      <c r="C1049" s="110" t="s">
        <v>98</v>
      </c>
      <c r="D1049" s="2">
        <v>14</v>
      </c>
      <c r="E1049" s="51"/>
      <c r="F1049" s="105"/>
      <c r="H1049" s="2"/>
      <c r="I1049" s="2">
        <v>1</v>
      </c>
      <c r="J1049" s="2">
        <v>0</v>
      </c>
      <c r="K1049" s="2">
        <v>0</v>
      </c>
      <c r="L1049" s="2">
        <v>4.3866666666666667</v>
      </c>
      <c r="M1049" s="2">
        <v>4.8008333333333342</v>
      </c>
      <c r="N1049" s="244">
        <v>1.3093499999999999E-2</v>
      </c>
      <c r="O1049" s="2" t="s">
        <v>934</v>
      </c>
      <c r="P1049" s="2">
        <v>100</v>
      </c>
      <c r="Q1049" s="2" t="s">
        <v>55</v>
      </c>
      <c r="R1049" s="2" t="s">
        <v>97</v>
      </c>
      <c r="S1049" s="2"/>
      <c r="T1049" s="2">
        <v>5</v>
      </c>
      <c r="U1049" s="398">
        <v>70</v>
      </c>
      <c r="V1049" s="7">
        <v>0</v>
      </c>
      <c r="W1049" s="7" t="s">
        <v>1099</v>
      </c>
    </row>
    <row r="1050" spans="1:23" x14ac:dyDescent="0.35">
      <c r="A1050" s="2">
        <v>115</v>
      </c>
      <c r="B1050" s="109" t="s">
        <v>99</v>
      </c>
      <c r="C1050" s="110" t="s">
        <v>100</v>
      </c>
      <c r="D1050" s="2">
        <v>14</v>
      </c>
      <c r="E1050" s="51"/>
      <c r="F1050" s="105"/>
      <c r="H1050" s="2"/>
      <c r="I1050" s="2">
        <v>1</v>
      </c>
      <c r="J1050" s="2">
        <v>0</v>
      </c>
      <c r="K1050" s="2">
        <v>0</v>
      </c>
      <c r="L1050" s="2">
        <v>4.0075000000000003</v>
      </c>
      <c r="M1050" s="2">
        <v>4.41</v>
      </c>
      <c r="N1050" s="244">
        <v>1.4673749999999999E-2</v>
      </c>
      <c r="O1050" s="2" t="s">
        <v>934</v>
      </c>
      <c r="P1050" s="2">
        <v>100</v>
      </c>
      <c r="Q1050" s="2" t="s">
        <v>55</v>
      </c>
      <c r="R1050" s="2" t="s">
        <v>99</v>
      </c>
      <c r="S1050" s="2"/>
      <c r="T1050" s="2">
        <v>5</v>
      </c>
      <c r="U1050" s="398">
        <v>70</v>
      </c>
      <c r="V1050" s="7">
        <v>0</v>
      </c>
      <c r="W1050" s="7" t="s">
        <v>1099</v>
      </c>
    </row>
    <row r="1051" spans="1:23" x14ac:dyDescent="0.35">
      <c r="A1051" s="2">
        <v>115</v>
      </c>
      <c r="B1051" s="109" t="s">
        <v>101</v>
      </c>
      <c r="C1051" s="110" t="s">
        <v>102</v>
      </c>
      <c r="D1051" s="2">
        <v>14</v>
      </c>
      <c r="E1051" s="51"/>
      <c r="F1051" s="105"/>
      <c r="H1051" s="2"/>
      <c r="I1051" s="2">
        <v>1</v>
      </c>
      <c r="J1051" s="2">
        <v>0</v>
      </c>
      <c r="K1051" s="2">
        <v>0</v>
      </c>
      <c r="L1051" s="2">
        <v>4.0075000000000003</v>
      </c>
      <c r="M1051" s="2">
        <v>4.41</v>
      </c>
      <c r="N1051" s="244">
        <v>1.4673749999999999E-2</v>
      </c>
      <c r="O1051" s="2" t="s">
        <v>934</v>
      </c>
      <c r="P1051" s="2">
        <v>100</v>
      </c>
      <c r="Q1051" s="2" t="s">
        <v>55</v>
      </c>
      <c r="R1051" s="2" t="s">
        <v>101</v>
      </c>
      <c r="S1051" s="2"/>
      <c r="T1051" s="2">
        <v>5</v>
      </c>
      <c r="U1051" s="398">
        <v>70</v>
      </c>
      <c r="V1051" s="7">
        <v>0</v>
      </c>
      <c r="W1051" s="7" t="s">
        <v>1099</v>
      </c>
    </row>
    <row r="1052" spans="1:23" x14ac:dyDescent="0.35">
      <c r="A1052" s="2">
        <v>115</v>
      </c>
      <c r="B1052" s="109" t="s">
        <v>103</v>
      </c>
      <c r="C1052" s="110" t="s">
        <v>104</v>
      </c>
      <c r="D1052" s="2">
        <v>14</v>
      </c>
      <c r="E1052" s="51"/>
      <c r="F1052" s="105"/>
      <c r="H1052" s="2"/>
      <c r="I1052" s="2">
        <v>1</v>
      </c>
      <c r="J1052" s="2">
        <v>0</v>
      </c>
      <c r="K1052" s="2">
        <v>0</v>
      </c>
      <c r="L1052" s="2">
        <v>4.0075000000000003</v>
      </c>
      <c r="M1052" s="2">
        <v>4.41</v>
      </c>
      <c r="N1052" s="244">
        <v>1.4673749999999999E-2</v>
      </c>
      <c r="O1052" s="2" t="s">
        <v>934</v>
      </c>
      <c r="P1052" s="2">
        <v>100</v>
      </c>
      <c r="Q1052" s="2" t="s">
        <v>55</v>
      </c>
      <c r="R1052" s="2" t="s">
        <v>103</v>
      </c>
      <c r="S1052" s="2"/>
      <c r="T1052" s="2">
        <v>5</v>
      </c>
      <c r="U1052" s="398">
        <v>70</v>
      </c>
      <c r="V1052" s="7">
        <v>0</v>
      </c>
      <c r="W1052" s="7" t="s">
        <v>1099</v>
      </c>
    </row>
    <row r="1053" spans="1:23" x14ac:dyDescent="0.35">
      <c r="A1053" s="2">
        <v>115</v>
      </c>
      <c r="B1053" s="109" t="s">
        <v>105</v>
      </c>
      <c r="C1053" s="110" t="s">
        <v>106</v>
      </c>
      <c r="D1053" s="2">
        <v>14</v>
      </c>
      <c r="E1053" s="51"/>
      <c r="F1053" s="105"/>
      <c r="H1053" s="2"/>
      <c r="I1053" s="2">
        <v>1</v>
      </c>
      <c r="J1053" s="2">
        <v>0</v>
      </c>
      <c r="K1053" s="2">
        <v>0</v>
      </c>
      <c r="L1053" s="2">
        <v>4.0075000000000003</v>
      </c>
      <c r="M1053" s="2">
        <v>4.41</v>
      </c>
      <c r="N1053" s="244">
        <v>1.4673749999999999E-2</v>
      </c>
      <c r="O1053" s="2" t="s">
        <v>934</v>
      </c>
      <c r="P1053" s="2">
        <v>100</v>
      </c>
      <c r="Q1053" s="2" t="s">
        <v>55</v>
      </c>
      <c r="R1053" s="2" t="s">
        <v>105</v>
      </c>
      <c r="S1053" s="2"/>
      <c r="T1053" s="2">
        <v>5</v>
      </c>
      <c r="U1053" s="398">
        <v>70</v>
      </c>
      <c r="V1053" s="7">
        <v>0</v>
      </c>
      <c r="W1053" s="7" t="s">
        <v>1099</v>
      </c>
    </row>
    <row r="1054" spans="1:23" x14ac:dyDescent="0.35">
      <c r="A1054" s="2">
        <v>115</v>
      </c>
      <c r="B1054" s="109" t="s">
        <v>168</v>
      </c>
      <c r="C1054" s="110" t="s">
        <v>171</v>
      </c>
      <c r="D1054" s="2">
        <v>6</v>
      </c>
      <c r="E1054" s="51"/>
      <c r="F1054" s="105"/>
      <c r="H1054" s="2"/>
      <c r="I1054" s="2">
        <v>1</v>
      </c>
      <c r="J1054" s="2">
        <v>0</v>
      </c>
      <c r="K1054" s="2">
        <v>0</v>
      </c>
      <c r="L1054" s="2">
        <v>1.5874999999999999</v>
      </c>
      <c r="M1054" s="2">
        <v>1.75</v>
      </c>
      <c r="N1054" s="244">
        <v>3.9847499999999996E-3</v>
      </c>
      <c r="O1054" s="2" t="s">
        <v>169</v>
      </c>
      <c r="P1054" s="2">
        <v>200</v>
      </c>
      <c r="Q1054" s="2" t="s">
        <v>170</v>
      </c>
      <c r="R1054" s="2" t="s">
        <v>168</v>
      </c>
      <c r="S1054" s="2"/>
      <c r="T1054" s="2">
        <v>2.0499999999999998</v>
      </c>
      <c r="U1054" s="398">
        <v>12.299999999999999</v>
      </c>
      <c r="V1054" s="7">
        <v>0</v>
      </c>
      <c r="W1054" s="7" t="s">
        <v>1099</v>
      </c>
    </row>
    <row r="1055" spans="1:23" x14ac:dyDescent="0.35">
      <c r="A1055" s="2">
        <v>115</v>
      </c>
      <c r="B1055" s="109" t="s">
        <v>177</v>
      </c>
      <c r="C1055" s="110" t="s">
        <v>178</v>
      </c>
      <c r="D1055" s="2">
        <v>6</v>
      </c>
      <c r="E1055" s="51"/>
      <c r="F1055" s="105"/>
      <c r="H1055" s="2"/>
      <c r="I1055" s="2">
        <v>1</v>
      </c>
      <c r="J1055" s="2">
        <v>0</v>
      </c>
      <c r="K1055" s="2">
        <v>0</v>
      </c>
      <c r="L1055" s="2">
        <v>1.5874999999999999</v>
      </c>
      <c r="M1055" s="2">
        <v>1.75</v>
      </c>
      <c r="N1055" s="244">
        <v>3.9847499999999996E-3</v>
      </c>
      <c r="O1055" s="2" t="s">
        <v>169</v>
      </c>
      <c r="P1055" s="2">
        <v>200</v>
      </c>
      <c r="Q1055" s="2" t="s">
        <v>170</v>
      </c>
      <c r="R1055" s="2" t="s">
        <v>177</v>
      </c>
      <c r="S1055" s="2"/>
      <c r="T1055" s="2">
        <v>2.0499999999999998</v>
      </c>
      <c r="U1055" s="398">
        <v>12.299999999999999</v>
      </c>
      <c r="V1055" s="7">
        <v>0</v>
      </c>
      <c r="W1055" s="7" t="s">
        <v>1099</v>
      </c>
    </row>
    <row r="1056" spans="1:23" x14ac:dyDescent="0.35">
      <c r="A1056" s="2">
        <v>115</v>
      </c>
      <c r="B1056" s="109" t="s">
        <v>175</v>
      </c>
      <c r="C1056" s="110" t="s">
        <v>176</v>
      </c>
      <c r="D1056" s="2">
        <v>6</v>
      </c>
      <c r="E1056" s="51"/>
      <c r="F1056" s="105"/>
      <c r="H1056" s="2"/>
      <c r="I1056" s="2">
        <v>1</v>
      </c>
      <c r="J1056" s="2">
        <v>0</v>
      </c>
      <c r="K1056" s="2">
        <v>0</v>
      </c>
      <c r="L1056" s="2">
        <v>1.5874999999999999</v>
      </c>
      <c r="M1056" s="2">
        <v>1.75</v>
      </c>
      <c r="N1056" s="244">
        <v>3.9847499999999996E-3</v>
      </c>
      <c r="O1056" s="2" t="s">
        <v>169</v>
      </c>
      <c r="P1056" s="2">
        <v>200</v>
      </c>
      <c r="Q1056" s="2" t="s">
        <v>170</v>
      </c>
      <c r="R1056" s="2" t="s">
        <v>175</v>
      </c>
      <c r="S1056" s="2"/>
      <c r="T1056" s="2">
        <v>2.0499999999999998</v>
      </c>
      <c r="U1056" s="398">
        <v>12.299999999999999</v>
      </c>
      <c r="V1056" s="7">
        <v>0</v>
      </c>
      <c r="W1056" s="7" t="s">
        <v>1099</v>
      </c>
    </row>
    <row r="1057" spans="1:23" x14ac:dyDescent="0.35">
      <c r="A1057" s="2">
        <v>115</v>
      </c>
      <c r="B1057" s="109" t="s">
        <v>173</v>
      </c>
      <c r="C1057" s="110" t="s">
        <v>174</v>
      </c>
      <c r="D1057" s="2">
        <v>6</v>
      </c>
      <c r="E1057" s="51"/>
      <c r="F1057" s="105"/>
      <c r="H1057" s="2"/>
      <c r="I1057" s="2">
        <v>1</v>
      </c>
      <c r="J1057" s="2">
        <v>0</v>
      </c>
      <c r="K1057" s="2">
        <v>0</v>
      </c>
      <c r="L1057" s="2">
        <v>1.5874999999999999</v>
      </c>
      <c r="M1057" s="2">
        <v>1.75</v>
      </c>
      <c r="N1057" s="244">
        <v>3.9847499999999996E-3</v>
      </c>
      <c r="O1057" s="2" t="s">
        <v>169</v>
      </c>
      <c r="P1057" s="2">
        <v>200</v>
      </c>
      <c r="Q1057" s="2" t="s">
        <v>170</v>
      </c>
      <c r="R1057" s="2" t="s">
        <v>173</v>
      </c>
      <c r="S1057" s="2"/>
      <c r="T1057" s="2">
        <v>2.0499999999999998</v>
      </c>
      <c r="U1057" s="398">
        <v>12.299999999999999</v>
      </c>
      <c r="V1057" s="7">
        <v>0</v>
      </c>
      <c r="W1057" s="7" t="s">
        <v>1099</v>
      </c>
    </row>
    <row r="1058" spans="1:23" x14ac:dyDescent="0.35">
      <c r="A1058" s="2">
        <v>115</v>
      </c>
      <c r="B1058" s="109" t="s">
        <v>17</v>
      </c>
      <c r="C1058" s="110" t="s">
        <v>20</v>
      </c>
      <c r="D1058" s="2">
        <v>4</v>
      </c>
      <c r="E1058" s="51"/>
      <c r="F1058" s="105"/>
      <c r="H1058" s="2"/>
      <c r="I1058" s="2">
        <v>1</v>
      </c>
      <c r="J1058" s="2">
        <v>0</v>
      </c>
      <c r="K1058" s="2">
        <v>0</v>
      </c>
      <c r="L1058" s="2">
        <v>1.68</v>
      </c>
      <c r="M1058" s="2">
        <v>1.93</v>
      </c>
      <c r="N1058" s="244">
        <v>9.3609999999999995E-3</v>
      </c>
      <c r="O1058" s="2" t="s">
        <v>18</v>
      </c>
      <c r="P1058" s="2">
        <v>50</v>
      </c>
      <c r="Q1058" s="2">
        <v>0</v>
      </c>
      <c r="R1058" s="2" t="s">
        <v>17</v>
      </c>
      <c r="S1058" s="2">
        <v>4</v>
      </c>
      <c r="T1058" s="2">
        <v>5.23</v>
      </c>
      <c r="U1058" s="398">
        <v>20.92</v>
      </c>
      <c r="V1058" s="7">
        <v>0</v>
      </c>
      <c r="W1058" s="7" t="s">
        <v>1099</v>
      </c>
    </row>
    <row r="1059" spans="1:23" x14ac:dyDescent="0.35">
      <c r="A1059" s="2">
        <v>115</v>
      </c>
      <c r="B1059" s="109" t="s">
        <v>23</v>
      </c>
      <c r="C1059" s="110" t="s">
        <v>24</v>
      </c>
      <c r="D1059" s="2">
        <v>6</v>
      </c>
      <c r="E1059" s="51"/>
      <c r="F1059" s="105"/>
      <c r="H1059" s="2"/>
      <c r="I1059" s="2">
        <v>1</v>
      </c>
      <c r="J1059" s="2">
        <v>0</v>
      </c>
      <c r="K1059" s="2">
        <v>0</v>
      </c>
      <c r="L1059" s="2">
        <v>2.52</v>
      </c>
      <c r="M1059" s="2">
        <v>2.895</v>
      </c>
      <c r="N1059" s="244">
        <v>1.40415E-2</v>
      </c>
      <c r="O1059" s="2" t="s">
        <v>18</v>
      </c>
      <c r="P1059" s="2">
        <v>50</v>
      </c>
      <c r="Q1059" s="2">
        <v>0</v>
      </c>
      <c r="R1059" s="2" t="s">
        <v>23</v>
      </c>
      <c r="S1059" s="2">
        <v>6</v>
      </c>
      <c r="T1059" s="2">
        <v>5.23</v>
      </c>
      <c r="U1059" s="398">
        <v>31.380000000000003</v>
      </c>
      <c r="V1059" s="7">
        <v>0</v>
      </c>
      <c r="W1059" s="7" t="s">
        <v>1099</v>
      </c>
    </row>
    <row r="1060" spans="1:23" x14ac:dyDescent="0.35">
      <c r="A1060" s="2">
        <v>115</v>
      </c>
      <c r="B1060" s="109" t="s">
        <v>25</v>
      </c>
      <c r="C1060" s="110" t="s">
        <v>26</v>
      </c>
      <c r="D1060" s="2">
        <v>6</v>
      </c>
      <c r="E1060" s="51"/>
      <c r="F1060" s="105"/>
      <c r="H1060" s="2"/>
      <c r="I1060" s="2">
        <v>1</v>
      </c>
      <c r="J1060" s="2">
        <v>0</v>
      </c>
      <c r="K1060" s="2">
        <v>0</v>
      </c>
      <c r="L1060" s="2">
        <v>2.52</v>
      </c>
      <c r="M1060" s="2">
        <v>2.895</v>
      </c>
      <c r="N1060" s="244">
        <v>1.40415E-2</v>
      </c>
      <c r="O1060" s="2" t="s">
        <v>18</v>
      </c>
      <c r="P1060" s="2">
        <v>50</v>
      </c>
      <c r="Q1060" s="2">
        <v>0</v>
      </c>
      <c r="R1060" s="2" t="s">
        <v>25</v>
      </c>
      <c r="S1060" s="2">
        <v>6</v>
      </c>
      <c r="T1060" s="2">
        <v>5.23</v>
      </c>
      <c r="U1060" s="398">
        <v>31.380000000000003</v>
      </c>
      <c r="V1060" s="7">
        <v>0</v>
      </c>
      <c r="W1060" s="7" t="s">
        <v>1099</v>
      </c>
    </row>
    <row r="1061" spans="1:23" x14ac:dyDescent="0.35">
      <c r="A1061" s="2">
        <v>115</v>
      </c>
      <c r="B1061" s="109" t="s">
        <v>27</v>
      </c>
      <c r="C1061" s="110" t="s">
        <v>28</v>
      </c>
      <c r="D1061" s="2">
        <v>6</v>
      </c>
      <c r="E1061" s="51"/>
      <c r="F1061" s="105"/>
      <c r="H1061" s="2"/>
      <c r="I1061" s="2">
        <v>1</v>
      </c>
      <c r="J1061" s="2">
        <v>0</v>
      </c>
      <c r="K1061" s="2">
        <v>0</v>
      </c>
      <c r="L1061" s="2">
        <v>2.52</v>
      </c>
      <c r="M1061" s="2">
        <v>2.895</v>
      </c>
      <c r="N1061" s="244">
        <v>1.40415E-2</v>
      </c>
      <c r="O1061" s="2" t="s">
        <v>18</v>
      </c>
      <c r="P1061" s="2">
        <v>50</v>
      </c>
      <c r="Q1061" s="2">
        <v>0</v>
      </c>
      <c r="R1061" s="2" t="s">
        <v>27</v>
      </c>
      <c r="S1061" s="2">
        <v>6</v>
      </c>
      <c r="T1061" s="2">
        <v>5.23</v>
      </c>
      <c r="U1061" s="398">
        <v>31.380000000000003</v>
      </c>
      <c r="V1061" s="7">
        <v>0</v>
      </c>
      <c r="W1061" s="7" t="s">
        <v>1099</v>
      </c>
    </row>
    <row r="1062" spans="1:23" x14ac:dyDescent="0.35">
      <c r="A1062" s="2">
        <v>115</v>
      </c>
      <c r="B1062" s="109" t="s">
        <v>29</v>
      </c>
      <c r="C1062" s="110" t="s">
        <v>31</v>
      </c>
      <c r="D1062" s="2">
        <v>6</v>
      </c>
      <c r="E1062" s="51"/>
      <c r="F1062" s="105"/>
      <c r="H1062" s="2"/>
      <c r="I1062" s="2">
        <v>1</v>
      </c>
      <c r="J1062" s="2">
        <v>0</v>
      </c>
      <c r="K1062" s="2">
        <v>0</v>
      </c>
      <c r="L1062" s="2">
        <v>2.39</v>
      </c>
      <c r="M1062" s="2">
        <v>2.625</v>
      </c>
      <c r="N1062" s="244">
        <v>1.40415E-2</v>
      </c>
      <c r="O1062" s="2" t="s">
        <v>18</v>
      </c>
      <c r="P1062" s="2">
        <v>50</v>
      </c>
      <c r="Q1062" s="2">
        <v>0</v>
      </c>
      <c r="R1062" s="2" t="s">
        <v>29</v>
      </c>
      <c r="S1062" s="2">
        <v>6</v>
      </c>
      <c r="T1062" s="2">
        <v>5.23</v>
      </c>
      <c r="U1062" s="398">
        <v>31.380000000000003</v>
      </c>
      <c r="V1062" s="7">
        <v>0</v>
      </c>
      <c r="W1062" s="7" t="s">
        <v>1099</v>
      </c>
    </row>
    <row r="1063" spans="1:23" x14ac:dyDescent="0.35">
      <c r="A1063" s="2">
        <v>115</v>
      </c>
      <c r="B1063" s="109" t="s">
        <v>32</v>
      </c>
      <c r="C1063" s="110" t="s">
        <v>33</v>
      </c>
      <c r="D1063" s="2">
        <v>6</v>
      </c>
      <c r="E1063" s="51"/>
      <c r="F1063" s="105"/>
      <c r="H1063" s="2"/>
      <c r="I1063" s="2">
        <v>1</v>
      </c>
      <c r="J1063" s="2">
        <v>0</v>
      </c>
      <c r="K1063" s="2">
        <v>0</v>
      </c>
      <c r="L1063" s="2">
        <v>2.39</v>
      </c>
      <c r="M1063" s="2">
        <v>2.625</v>
      </c>
      <c r="N1063" s="244">
        <v>1.40415E-2</v>
      </c>
      <c r="O1063" s="2" t="s">
        <v>18</v>
      </c>
      <c r="P1063" s="2">
        <v>50</v>
      </c>
      <c r="Q1063" s="2">
        <v>0</v>
      </c>
      <c r="R1063" s="2" t="s">
        <v>32</v>
      </c>
      <c r="S1063" s="2">
        <v>6</v>
      </c>
      <c r="T1063" s="2">
        <v>5.23</v>
      </c>
      <c r="U1063" s="398">
        <v>31.380000000000003</v>
      </c>
      <c r="V1063" s="7">
        <v>0</v>
      </c>
      <c r="W1063" s="7" t="s">
        <v>1099</v>
      </c>
    </row>
    <row r="1064" spans="1:23" x14ac:dyDescent="0.35">
      <c r="A1064" s="2">
        <v>115</v>
      </c>
      <c r="B1064" s="109" t="s">
        <v>34</v>
      </c>
      <c r="C1064" s="110" t="s">
        <v>35</v>
      </c>
      <c r="D1064" s="2">
        <v>6</v>
      </c>
      <c r="E1064" s="51"/>
      <c r="F1064" s="105"/>
      <c r="H1064" s="2"/>
      <c r="I1064" s="2">
        <v>1</v>
      </c>
      <c r="J1064" s="2">
        <v>0</v>
      </c>
      <c r="K1064" s="2">
        <v>0</v>
      </c>
      <c r="L1064" s="2">
        <v>2.39</v>
      </c>
      <c r="M1064" s="2">
        <v>2.625</v>
      </c>
      <c r="N1064" s="244">
        <v>1.40415E-2</v>
      </c>
      <c r="O1064" s="2" t="s">
        <v>18</v>
      </c>
      <c r="P1064" s="2">
        <v>50</v>
      </c>
      <c r="Q1064" s="2">
        <v>0</v>
      </c>
      <c r="R1064" s="2" t="s">
        <v>34</v>
      </c>
      <c r="S1064" s="2">
        <v>6</v>
      </c>
      <c r="T1064" s="2">
        <v>5.23</v>
      </c>
      <c r="U1064" s="398">
        <v>31.380000000000003</v>
      </c>
      <c r="V1064" s="7">
        <v>0</v>
      </c>
      <c r="W1064" s="7" t="s">
        <v>1099</v>
      </c>
    </row>
    <row r="1065" spans="1:23" x14ac:dyDescent="0.35">
      <c r="A1065" s="2">
        <v>115</v>
      </c>
      <c r="B1065" s="109" t="s">
        <v>36</v>
      </c>
      <c r="C1065" s="110" t="s">
        <v>37</v>
      </c>
      <c r="D1065" s="2">
        <v>6</v>
      </c>
      <c r="E1065" s="51"/>
      <c r="F1065" s="105"/>
      <c r="H1065" s="2"/>
      <c r="I1065" s="2">
        <v>1</v>
      </c>
      <c r="J1065" s="2">
        <v>0</v>
      </c>
      <c r="K1065" s="2">
        <v>0</v>
      </c>
      <c r="L1065" s="2">
        <v>2.39</v>
      </c>
      <c r="M1065" s="2">
        <v>2.625</v>
      </c>
      <c r="N1065" s="244">
        <v>1.40415E-2</v>
      </c>
      <c r="O1065" s="2" t="s">
        <v>18</v>
      </c>
      <c r="P1065" s="2">
        <v>50</v>
      </c>
      <c r="Q1065" s="2">
        <v>0</v>
      </c>
      <c r="R1065" s="2" t="s">
        <v>36</v>
      </c>
      <c r="S1065" s="2">
        <v>6</v>
      </c>
      <c r="T1065" s="2">
        <v>5.23</v>
      </c>
      <c r="U1065" s="398">
        <v>31.380000000000003</v>
      </c>
      <c r="V1065" s="7">
        <v>0</v>
      </c>
      <c r="W1065" s="7" t="s">
        <v>1099</v>
      </c>
    </row>
    <row r="1066" spans="1:23" x14ac:dyDescent="0.35">
      <c r="A1066" s="2">
        <v>115</v>
      </c>
      <c r="B1066" s="109" t="s">
        <v>38</v>
      </c>
      <c r="C1066" s="110" t="s">
        <v>39</v>
      </c>
      <c r="D1066" s="2">
        <v>4</v>
      </c>
      <c r="E1066" s="51"/>
      <c r="F1066" s="105"/>
      <c r="H1066" s="2"/>
      <c r="I1066" s="2">
        <v>1</v>
      </c>
      <c r="J1066" s="2">
        <v>0</v>
      </c>
      <c r="K1066" s="2">
        <v>0</v>
      </c>
      <c r="L1066" s="2">
        <v>2.0566666666666666</v>
      </c>
      <c r="M1066" s="2">
        <v>2.2566666666666664</v>
      </c>
      <c r="N1066" s="244">
        <v>1.2993999999999999E-2</v>
      </c>
      <c r="O1066" s="2" t="s">
        <v>18</v>
      </c>
      <c r="P1066" s="2">
        <v>50</v>
      </c>
      <c r="Q1066" s="2">
        <v>0</v>
      </c>
      <c r="R1066" s="2" t="s">
        <v>38</v>
      </c>
      <c r="S1066" s="2"/>
      <c r="T1066" s="2">
        <v>6.16</v>
      </c>
      <c r="U1066" s="398">
        <v>24.64</v>
      </c>
      <c r="V1066" s="7">
        <v>0</v>
      </c>
      <c r="W1066" s="7" t="s">
        <v>1099</v>
      </c>
    </row>
    <row r="1067" spans="1:23" x14ac:dyDescent="0.35">
      <c r="A1067" s="2">
        <v>115</v>
      </c>
      <c r="B1067" s="109" t="s">
        <v>40</v>
      </c>
      <c r="C1067" s="110" t="s">
        <v>41</v>
      </c>
      <c r="D1067" s="2">
        <v>6</v>
      </c>
      <c r="E1067" s="51"/>
      <c r="F1067" s="105"/>
      <c r="H1067" s="2"/>
      <c r="I1067" s="2">
        <v>1</v>
      </c>
      <c r="J1067" s="2">
        <v>0</v>
      </c>
      <c r="K1067" s="2">
        <v>0</v>
      </c>
      <c r="L1067" s="2">
        <v>3.085</v>
      </c>
      <c r="M1067" s="2">
        <v>3.3849999999999998</v>
      </c>
      <c r="N1067" s="244">
        <v>1.9491000000000001E-2</v>
      </c>
      <c r="O1067" s="2" t="s">
        <v>18</v>
      </c>
      <c r="P1067" s="2">
        <v>50</v>
      </c>
      <c r="Q1067" s="2">
        <v>0</v>
      </c>
      <c r="R1067" s="2" t="s">
        <v>40</v>
      </c>
      <c r="S1067" s="2"/>
      <c r="T1067" s="2">
        <v>6.16</v>
      </c>
      <c r="U1067" s="398">
        <v>36.96</v>
      </c>
      <c r="V1067" s="7">
        <v>0</v>
      </c>
      <c r="W1067" s="7" t="s">
        <v>1099</v>
      </c>
    </row>
    <row r="1068" spans="1:23" x14ac:dyDescent="0.35">
      <c r="A1068" s="2">
        <v>115</v>
      </c>
      <c r="B1068" s="109" t="s">
        <v>42</v>
      </c>
      <c r="C1068" s="110" t="s">
        <v>43</v>
      </c>
      <c r="D1068" s="2">
        <v>6</v>
      </c>
      <c r="E1068" s="51"/>
      <c r="F1068" s="105"/>
      <c r="H1068" s="2"/>
      <c r="I1068" s="2">
        <v>1</v>
      </c>
      <c r="J1068" s="2">
        <v>0</v>
      </c>
      <c r="K1068" s="2">
        <v>0</v>
      </c>
      <c r="L1068" s="2">
        <v>3.085</v>
      </c>
      <c r="M1068" s="2">
        <v>3.3849999999999998</v>
      </c>
      <c r="N1068" s="244">
        <v>1.9491000000000001E-2</v>
      </c>
      <c r="O1068" s="2" t="s">
        <v>18</v>
      </c>
      <c r="P1068" s="2">
        <v>50</v>
      </c>
      <c r="Q1068" s="2">
        <v>0</v>
      </c>
      <c r="R1068" s="2" t="s">
        <v>42</v>
      </c>
      <c r="S1068" s="2"/>
      <c r="T1068" s="2">
        <v>6.16</v>
      </c>
      <c r="U1068" s="398">
        <v>36.96</v>
      </c>
      <c r="V1068" s="7">
        <v>0</v>
      </c>
      <c r="W1068" s="7" t="s">
        <v>1099</v>
      </c>
    </row>
    <row r="1069" spans="1:23" x14ac:dyDescent="0.35">
      <c r="A1069" s="2">
        <v>115</v>
      </c>
      <c r="B1069" s="109" t="s">
        <v>44</v>
      </c>
      <c r="C1069" s="110" t="s">
        <v>45</v>
      </c>
      <c r="D1069" s="2">
        <v>0</v>
      </c>
      <c r="E1069" s="51"/>
      <c r="F1069" s="105"/>
      <c r="H1069" s="2"/>
      <c r="I1069" s="2">
        <v>0</v>
      </c>
      <c r="J1069" s="2">
        <v>0</v>
      </c>
      <c r="K1069" s="2">
        <v>0</v>
      </c>
      <c r="L1069" s="2">
        <v>0</v>
      </c>
      <c r="M1069" s="2">
        <v>0</v>
      </c>
      <c r="N1069" s="244">
        <v>0</v>
      </c>
      <c r="O1069" s="2" t="s">
        <v>18</v>
      </c>
      <c r="P1069" s="2">
        <v>50</v>
      </c>
      <c r="Q1069" s="2">
        <v>0</v>
      </c>
      <c r="R1069" s="2" t="s">
        <v>44</v>
      </c>
      <c r="S1069" s="2"/>
      <c r="T1069" s="2">
        <v>6.16</v>
      </c>
      <c r="U1069" s="398">
        <v>0</v>
      </c>
      <c r="V1069" s="7">
        <v>0</v>
      </c>
      <c r="W1069" s="7" t="s">
        <v>1099</v>
      </c>
    </row>
    <row r="1070" spans="1:23" x14ac:dyDescent="0.35">
      <c r="A1070" s="2">
        <v>115</v>
      </c>
      <c r="B1070" s="109" t="s">
        <v>46</v>
      </c>
      <c r="C1070" s="110" t="s">
        <v>47</v>
      </c>
      <c r="D1070" s="2">
        <v>6</v>
      </c>
      <c r="E1070" s="51"/>
      <c r="F1070" s="105"/>
      <c r="H1070" s="2"/>
      <c r="I1070" s="2">
        <v>1</v>
      </c>
      <c r="J1070" s="2">
        <v>0</v>
      </c>
      <c r="K1070" s="2">
        <v>0</v>
      </c>
      <c r="L1070" s="2">
        <v>2.85</v>
      </c>
      <c r="M1070" s="2">
        <v>3.15</v>
      </c>
      <c r="N1070" s="244">
        <v>1.9491000000000001E-2</v>
      </c>
      <c r="O1070" s="2" t="s">
        <v>18</v>
      </c>
      <c r="P1070" s="2">
        <v>50</v>
      </c>
      <c r="Q1070" s="2">
        <v>0</v>
      </c>
      <c r="R1070" s="2" t="s">
        <v>46</v>
      </c>
      <c r="S1070" s="2"/>
      <c r="T1070" s="2">
        <v>6.16</v>
      </c>
      <c r="U1070" s="398">
        <v>36.96</v>
      </c>
      <c r="V1070" s="7">
        <v>0</v>
      </c>
      <c r="W1070" s="7" t="s">
        <v>1099</v>
      </c>
    </row>
    <row r="1071" spans="1:23" x14ac:dyDescent="0.35">
      <c r="A1071" s="2">
        <v>115</v>
      </c>
      <c r="B1071" s="109" t="s">
        <v>48</v>
      </c>
      <c r="C1071" s="110" t="s">
        <v>49</v>
      </c>
      <c r="D1071" s="2">
        <v>0</v>
      </c>
      <c r="E1071" s="51"/>
      <c r="F1071" s="105"/>
      <c r="H1071" s="2"/>
      <c r="I1071" s="2">
        <v>0</v>
      </c>
      <c r="J1071" s="2">
        <v>0</v>
      </c>
      <c r="K1071" s="2">
        <v>0</v>
      </c>
      <c r="L1071" s="2">
        <v>0</v>
      </c>
      <c r="M1071" s="2">
        <v>0</v>
      </c>
      <c r="N1071" s="244">
        <v>0</v>
      </c>
      <c r="O1071" s="2" t="s">
        <v>18</v>
      </c>
      <c r="P1071" s="2">
        <v>50</v>
      </c>
      <c r="Q1071" s="2">
        <v>0</v>
      </c>
      <c r="R1071" s="2" t="s">
        <v>48</v>
      </c>
      <c r="S1071" s="2"/>
      <c r="T1071" s="2">
        <v>6.16</v>
      </c>
      <c r="U1071" s="398">
        <v>0</v>
      </c>
      <c r="V1071" s="7">
        <v>0</v>
      </c>
      <c r="W1071" s="7" t="s">
        <v>1099</v>
      </c>
    </row>
    <row r="1072" spans="1:23" x14ac:dyDescent="0.35">
      <c r="A1072" s="2">
        <v>115</v>
      </c>
      <c r="B1072" s="109" t="s">
        <v>50</v>
      </c>
      <c r="C1072" s="110" t="s">
        <v>51</v>
      </c>
      <c r="D1072" s="2">
        <v>6</v>
      </c>
      <c r="E1072" s="51"/>
      <c r="F1072" s="105"/>
      <c r="H1072" s="2"/>
      <c r="I1072" s="2">
        <v>1</v>
      </c>
      <c r="J1072" s="2">
        <v>0</v>
      </c>
      <c r="K1072" s="2">
        <v>0</v>
      </c>
      <c r="L1072" s="2">
        <v>2.85</v>
      </c>
      <c r="M1072" s="2">
        <v>3.15</v>
      </c>
      <c r="N1072" s="244">
        <v>1.9491000000000001E-2</v>
      </c>
      <c r="O1072" s="2" t="s">
        <v>18</v>
      </c>
      <c r="P1072" s="2">
        <v>50</v>
      </c>
      <c r="Q1072" s="2">
        <v>0</v>
      </c>
      <c r="R1072" s="2" t="s">
        <v>50</v>
      </c>
      <c r="S1072" s="2"/>
      <c r="T1072" s="2">
        <v>6.16</v>
      </c>
      <c r="U1072" s="398">
        <v>36.96</v>
      </c>
      <c r="V1072" s="7">
        <v>0</v>
      </c>
      <c r="W1072" s="7" t="s">
        <v>1099</v>
      </c>
    </row>
    <row r="1073" spans="1:23" x14ac:dyDescent="0.35">
      <c r="A1073" s="2">
        <v>115</v>
      </c>
      <c r="B1073" s="109" t="s">
        <v>52</v>
      </c>
      <c r="C1073" s="110" t="s">
        <v>53</v>
      </c>
      <c r="D1073" s="2">
        <v>6</v>
      </c>
      <c r="E1073" s="51"/>
      <c r="F1073" s="105"/>
      <c r="H1073" s="2"/>
      <c r="I1073" s="2">
        <v>1</v>
      </c>
      <c r="J1073" s="2">
        <v>0</v>
      </c>
      <c r="K1073" s="2">
        <v>0</v>
      </c>
      <c r="L1073" s="2">
        <v>2.85</v>
      </c>
      <c r="M1073" s="2">
        <v>3.15</v>
      </c>
      <c r="N1073" s="244">
        <v>1.9491000000000001E-2</v>
      </c>
      <c r="O1073" s="2" t="s">
        <v>18</v>
      </c>
      <c r="P1073" s="2">
        <v>50</v>
      </c>
      <c r="Q1073" s="2">
        <v>0</v>
      </c>
      <c r="R1073" s="2" t="s">
        <v>52</v>
      </c>
      <c r="S1073" s="2"/>
      <c r="T1073" s="2">
        <v>6.16</v>
      </c>
      <c r="U1073" s="398">
        <v>36.96</v>
      </c>
      <c r="V1073" s="7">
        <v>0</v>
      </c>
      <c r="W1073" s="7" t="s">
        <v>1099</v>
      </c>
    </row>
    <row r="1074" spans="1:23" x14ac:dyDescent="0.35">
      <c r="A1074" s="2">
        <v>115</v>
      </c>
      <c r="B1074" s="109" t="s">
        <v>1422</v>
      </c>
      <c r="C1074" s="110" t="s">
        <v>1427</v>
      </c>
      <c r="D1074" s="2">
        <v>35</v>
      </c>
      <c r="E1074" s="51"/>
      <c r="F1074" s="105"/>
      <c r="H1074" s="2"/>
      <c r="I1074" s="2" t="s">
        <v>861</v>
      </c>
      <c r="J1074" s="2" t="s">
        <v>861</v>
      </c>
      <c r="K1074" s="2" t="s">
        <v>861</v>
      </c>
      <c r="L1074" s="2" t="s">
        <v>861</v>
      </c>
      <c r="M1074" s="2" t="s">
        <v>861</v>
      </c>
      <c r="N1074" s="244" t="s">
        <v>861</v>
      </c>
      <c r="O1074" s="2" t="s">
        <v>1426</v>
      </c>
      <c r="P1074" s="2">
        <v>0</v>
      </c>
      <c r="Q1074" s="2">
        <v>0</v>
      </c>
      <c r="R1074" s="2">
        <v>0</v>
      </c>
      <c r="S1074" s="2"/>
      <c r="T1074" s="2">
        <v>0</v>
      </c>
      <c r="U1074" s="398">
        <v>0</v>
      </c>
      <c r="V1074" s="7">
        <v>0</v>
      </c>
      <c r="W1074" s="7" t="s">
        <v>1099</v>
      </c>
    </row>
    <row r="1075" spans="1:23" x14ac:dyDescent="0.35">
      <c r="A1075" s="2">
        <v>115</v>
      </c>
      <c r="B1075" s="109" t="s">
        <v>1423</v>
      </c>
      <c r="C1075" s="110" t="s">
        <v>1428</v>
      </c>
      <c r="D1075" s="2">
        <v>16</v>
      </c>
      <c r="E1075" s="51"/>
      <c r="F1075" s="105"/>
      <c r="H1075" s="2"/>
      <c r="I1075" s="2" t="s">
        <v>861</v>
      </c>
      <c r="J1075" s="2" t="s">
        <v>861</v>
      </c>
      <c r="K1075" s="2" t="s">
        <v>861</v>
      </c>
      <c r="L1075" s="2" t="s">
        <v>861</v>
      </c>
      <c r="M1075" s="2" t="s">
        <v>861</v>
      </c>
      <c r="N1075" s="244" t="s">
        <v>861</v>
      </c>
      <c r="O1075" s="2" t="s">
        <v>1426</v>
      </c>
      <c r="P1075" s="2">
        <v>0</v>
      </c>
      <c r="Q1075" s="2">
        <v>0</v>
      </c>
      <c r="R1075" s="2">
        <v>0</v>
      </c>
      <c r="S1075" s="2"/>
      <c r="T1075" s="2">
        <v>0</v>
      </c>
      <c r="U1075" s="398">
        <v>0</v>
      </c>
      <c r="V1075" s="7">
        <v>0</v>
      </c>
      <c r="W1075" s="7" t="s">
        <v>1099</v>
      </c>
    </row>
    <row r="1076" spans="1:23" x14ac:dyDescent="0.35">
      <c r="A1076" s="2">
        <v>115</v>
      </c>
      <c r="B1076" s="109" t="s">
        <v>1424</v>
      </c>
      <c r="C1076" s="110" t="s">
        <v>1429</v>
      </c>
      <c r="D1076" s="2">
        <v>32</v>
      </c>
      <c r="E1076" s="51"/>
      <c r="F1076" s="105"/>
      <c r="H1076" s="2"/>
      <c r="I1076" s="2" t="s">
        <v>861</v>
      </c>
      <c r="J1076" s="2" t="s">
        <v>861</v>
      </c>
      <c r="K1076" s="2" t="s">
        <v>861</v>
      </c>
      <c r="L1076" s="2" t="s">
        <v>861</v>
      </c>
      <c r="M1076" s="2" t="s">
        <v>861</v>
      </c>
      <c r="N1076" s="244" t="s">
        <v>861</v>
      </c>
      <c r="O1076" s="2" t="s">
        <v>1426</v>
      </c>
      <c r="P1076" s="2">
        <v>0</v>
      </c>
      <c r="Q1076" s="2">
        <v>0</v>
      </c>
      <c r="R1076" s="2">
        <v>0</v>
      </c>
      <c r="S1076" s="2"/>
      <c r="T1076" s="2">
        <v>0</v>
      </c>
      <c r="U1076" s="398">
        <v>0</v>
      </c>
      <c r="V1076" s="7">
        <v>0</v>
      </c>
      <c r="W1076" s="7" t="s">
        <v>1099</v>
      </c>
    </row>
    <row r="1077" spans="1:23" x14ac:dyDescent="0.35">
      <c r="A1077" s="2">
        <v>115</v>
      </c>
      <c r="B1077" s="109" t="s">
        <v>1425</v>
      </c>
      <c r="C1077" s="110" t="s">
        <v>1430</v>
      </c>
      <c r="D1077" s="2">
        <v>52</v>
      </c>
      <c r="E1077" s="51"/>
      <c r="F1077" s="105"/>
      <c r="H1077" s="2"/>
      <c r="I1077" s="2" t="s">
        <v>861</v>
      </c>
      <c r="J1077" s="2" t="s">
        <v>861</v>
      </c>
      <c r="K1077" s="2" t="s">
        <v>861</v>
      </c>
      <c r="L1077" s="2" t="s">
        <v>861</v>
      </c>
      <c r="M1077" s="2" t="s">
        <v>861</v>
      </c>
      <c r="N1077" s="244" t="s">
        <v>861</v>
      </c>
      <c r="O1077" s="2" t="s">
        <v>1426</v>
      </c>
      <c r="P1077" s="2">
        <v>0</v>
      </c>
      <c r="Q1077" s="2">
        <v>0</v>
      </c>
      <c r="R1077" s="2">
        <v>0</v>
      </c>
      <c r="S1077" s="2"/>
      <c r="T1077" s="2">
        <v>0</v>
      </c>
      <c r="U1077" s="398">
        <v>0</v>
      </c>
      <c r="V1077" s="7">
        <v>0</v>
      </c>
      <c r="W1077" s="7" t="s">
        <v>1099</v>
      </c>
    </row>
    <row r="1078" spans="1:23" x14ac:dyDescent="0.35">
      <c r="A1078" s="2">
        <v>115</v>
      </c>
      <c r="B1078" s="109" t="s">
        <v>1492</v>
      </c>
      <c r="C1078" s="110" t="s">
        <v>1498</v>
      </c>
      <c r="D1078" s="2">
        <v>5</v>
      </c>
      <c r="E1078" s="51"/>
      <c r="F1078" s="105"/>
      <c r="H1078" s="2"/>
      <c r="I1078" s="2" t="s">
        <v>861</v>
      </c>
      <c r="J1078" s="2" t="s">
        <v>861</v>
      </c>
      <c r="K1078" s="2" t="s">
        <v>861</v>
      </c>
      <c r="L1078" s="2" t="s">
        <v>861</v>
      </c>
      <c r="M1078" s="2" t="s">
        <v>861</v>
      </c>
      <c r="N1078" s="244" t="s">
        <v>861</v>
      </c>
      <c r="O1078" s="2" t="s">
        <v>1426</v>
      </c>
      <c r="P1078" s="2">
        <v>0</v>
      </c>
      <c r="Q1078" s="2">
        <v>0</v>
      </c>
      <c r="R1078" s="2">
        <v>0</v>
      </c>
      <c r="S1078" s="2"/>
      <c r="T1078" s="2">
        <v>0</v>
      </c>
      <c r="U1078" s="398">
        <v>0</v>
      </c>
      <c r="V1078" s="7">
        <v>0</v>
      </c>
      <c r="W1078" s="7" t="s">
        <v>1099</v>
      </c>
    </row>
    <row r="1079" spans="1:23" x14ac:dyDescent="0.35">
      <c r="A1079" s="2">
        <v>115</v>
      </c>
      <c r="B1079" s="109" t="s">
        <v>1493</v>
      </c>
      <c r="C1079" s="110" t="s">
        <v>1499</v>
      </c>
      <c r="D1079" s="2">
        <v>5</v>
      </c>
      <c r="E1079" s="51"/>
      <c r="F1079" s="105"/>
      <c r="H1079" s="2"/>
      <c r="I1079" s="2" t="s">
        <v>861</v>
      </c>
      <c r="J1079" s="2" t="s">
        <v>861</v>
      </c>
      <c r="K1079" s="2" t="s">
        <v>861</v>
      </c>
      <c r="L1079" s="2" t="s">
        <v>861</v>
      </c>
      <c r="M1079" s="2" t="s">
        <v>861</v>
      </c>
      <c r="N1079" s="244" t="s">
        <v>861</v>
      </c>
      <c r="O1079" s="2" t="s">
        <v>1426</v>
      </c>
      <c r="P1079" s="2">
        <v>0</v>
      </c>
      <c r="Q1079" s="2">
        <v>0</v>
      </c>
      <c r="R1079" s="2">
        <v>0</v>
      </c>
      <c r="S1079" s="2"/>
      <c r="T1079" s="2">
        <v>0</v>
      </c>
      <c r="U1079" s="398">
        <v>0</v>
      </c>
      <c r="V1079" s="7">
        <v>0</v>
      </c>
      <c r="W1079" s="7" t="s">
        <v>1099</v>
      </c>
    </row>
    <row r="1080" spans="1:23" x14ac:dyDescent="0.35">
      <c r="A1080" s="2">
        <v>115</v>
      </c>
      <c r="B1080" s="109" t="s">
        <v>1494</v>
      </c>
      <c r="C1080" s="110" t="s">
        <v>1529</v>
      </c>
      <c r="D1080" s="2">
        <v>5</v>
      </c>
      <c r="E1080" s="51"/>
      <c r="F1080" s="105"/>
      <c r="H1080" s="2"/>
      <c r="I1080" s="2" t="s">
        <v>861</v>
      </c>
      <c r="J1080" s="2" t="s">
        <v>861</v>
      </c>
      <c r="K1080" s="2" t="s">
        <v>861</v>
      </c>
      <c r="L1080" s="2" t="s">
        <v>861</v>
      </c>
      <c r="M1080" s="2" t="s">
        <v>861</v>
      </c>
      <c r="N1080" s="244" t="s">
        <v>861</v>
      </c>
      <c r="O1080" s="2" t="s">
        <v>1426</v>
      </c>
      <c r="P1080" s="2">
        <v>0</v>
      </c>
      <c r="Q1080" s="2">
        <v>0</v>
      </c>
      <c r="R1080" s="2">
        <v>0</v>
      </c>
      <c r="S1080" s="2"/>
      <c r="T1080" s="2">
        <v>0</v>
      </c>
      <c r="U1080" s="398">
        <v>0</v>
      </c>
      <c r="V1080" s="7">
        <v>0</v>
      </c>
      <c r="W1080" s="7" t="s">
        <v>1099</v>
      </c>
    </row>
    <row r="1081" spans="1:23" x14ac:dyDescent="0.35">
      <c r="A1081" s="2">
        <v>115</v>
      </c>
      <c r="B1081" s="109" t="s">
        <v>1495</v>
      </c>
      <c r="C1081" s="110" t="s">
        <v>1500</v>
      </c>
      <c r="D1081" s="2">
        <v>4</v>
      </c>
      <c r="E1081" s="51"/>
      <c r="F1081" s="105"/>
      <c r="H1081" s="2"/>
      <c r="I1081" s="2" t="s">
        <v>861</v>
      </c>
      <c r="J1081" s="2" t="s">
        <v>861</v>
      </c>
      <c r="K1081" s="2" t="s">
        <v>861</v>
      </c>
      <c r="L1081" s="2" t="s">
        <v>861</v>
      </c>
      <c r="M1081" s="2" t="s">
        <v>861</v>
      </c>
      <c r="N1081" s="244" t="s">
        <v>861</v>
      </c>
      <c r="O1081" s="2" t="s">
        <v>1426</v>
      </c>
      <c r="P1081" s="2">
        <v>0</v>
      </c>
      <c r="Q1081" s="2">
        <v>0</v>
      </c>
      <c r="R1081" s="2">
        <v>0</v>
      </c>
      <c r="S1081" s="2"/>
      <c r="T1081" s="2">
        <v>0</v>
      </c>
      <c r="U1081" s="398">
        <v>0</v>
      </c>
      <c r="V1081" s="7">
        <v>0</v>
      </c>
      <c r="W1081" s="7" t="s">
        <v>1099</v>
      </c>
    </row>
    <row r="1082" spans="1:23" x14ac:dyDescent="0.35">
      <c r="A1082" s="2">
        <v>115</v>
      </c>
      <c r="B1082" s="109" t="s">
        <v>1504</v>
      </c>
      <c r="C1082" s="110" t="s">
        <v>1510</v>
      </c>
      <c r="D1082" s="2">
        <v>4</v>
      </c>
      <c r="E1082" s="51"/>
      <c r="F1082" s="105"/>
      <c r="H1082" s="2"/>
      <c r="I1082" s="2" t="s">
        <v>861</v>
      </c>
      <c r="J1082" s="2" t="s">
        <v>861</v>
      </c>
      <c r="K1082" s="2" t="s">
        <v>861</v>
      </c>
      <c r="L1082" s="2" t="s">
        <v>861</v>
      </c>
      <c r="M1082" s="2" t="s">
        <v>861</v>
      </c>
      <c r="N1082" s="244" t="s">
        <v>861</v>
      </c>
      <c r="O1082" s="2" t="s">
        <v>1426</v>
      </c>
      <c r="P1082" s="2">
        <v>0</v>
      </c>
      <c r="Q1082" s="2">
        <v>0</v>
      </c>
      <c r="R1082" s="2">
        <v>0</v>
      </c>
      <c r="S1082" s="2"/>
      <c r="T1082" s="2">
        <v>0</v>
      </c>
      <c r="U1082" s="398">
        <v>0</v>
      </c>
      <c r="V1082" s="7">
        <v>0</v>
      </c>
      <c r="W1082" s="7" t="s">
        <v>1099</v>
      </c>
    </row>
    <row r="1083" spans="1:23" x14ac:dyDescent="0.35">
      <c r="A1083" s="2">
        <v>115</v>
      </c>
      <c r="B1083" s="109" t="s">
        <v>1505</v>
      </c>
      <c r="C1083" s="110" t="s">
        <v>1527</v>
      </c>
      <c r="D1083" s="2">
        <v>4</v>
      </c>
      <c r="E1083" s="51"/>
      <c r="F1083" s="105"/>
      <c r="H1083" s="2"/>
      <c r="I1083" s="2" t="s">
        <v>861</v>
      </c>
      <c r="J1083" s="2" t="s">
        <v>861</v>
      </c>
      <c r="K1083" s="2" t="s">
        <v>861</v>
      </c>
      <c r="L1083" s="2" t="s">
        <v>861</v>
      </c>
      <c r="M1083" s="2" t="s">
        <v>861</v>
      </c>
      <c r="N1083" s="244" t="s">
        <v>861</v>
      </c>
      <c r="O1083" s="2" t="s">
        <v>1426</v>
      </c>
      <c r="P1083" s="2">
        <v>0</v>
      </c>
      <c r="Q1083" s="2">
        <v>0</v>
      </c>
      <c r="R1083" s="2">
        <v>0</v>
      </c>
      <c r="S1083" s="2"/>
      <c r="T1083" s="2">
        <v>0</v>
      </c>
      <c r="U1083" s="398">
        <v>0</v>
      </c>
      <c r="V1083" s="7">
        <v>0</v>
      </c>
      <c r="W1083" s="7" t="s">
        <v>1099</v>
      </c>
    </row>
    <row r="1084" spans="1:23" x14ac:dyDescent="0.35">
      <c r="A1084" s="2">
        <v>115</v>
      </c>
      <c r="B1084" s="109" t="s">
        <v>1506</v>
      </c>
      <c r="C1084" s="110" t="s">
        <v>1511</v>
      </c>
      <c r="D1084" s="2">
        <v>3</v>
      </c>
      <c r="E1084" s="51"/>
      <c r="F1084" s="105"/>
      <c r="H1084" s="2"/>
      <c r="I1084" s="2" t="s">
        <v>861</v>
      </c>
      <c r="J1084" s="2" t="s">
        <v>861</v>
      </c>
      <c r="K1084" s="2" t="s">
        <v>861</v>
      </c>
      <c r="L1084" s="2" t="s">
        <v>861</v>
      </c>
      <c r="M1084" s="2" t="s">
        <v>861</v>
      </c>
      <c r="N1084" s="244" t="s">
        <v>861</v>
      </c>
      <c r="O1084" s="2" t="s">
        <v>1426</v>
      </c>
      <c r="P1084" s="2">
        <v>0</v>
      </c>
      <c r="Q1084" s="2">
        <v>0</v>
      </c>
      <c r="R1084" s="2">
        <v>0</v>
      </c>
      <c r="S1084" s="2"/>
      <c r="T1084" s="2">
        <v>0</v>
      </c>
      <c r="U1084" s="398">
        <v>0</v>
      </c>
      <c r="V1084" s="7">
        <v>0</v>
      </c>
      <c r="W1084" s="7" t="s">
        <v>1099</v>
      </c>
    </row>
    <row r="1085" spans="1:23" x14ac:dyDescent="0.35">
      <c r="A1085" s="2">
        <v>115</v>
      </c>
      <c r="B1085" s="109" t="s">
        <v>1488</v>
      </c>
      <c r="C1085" s="110" t="s">
        <v>1526</v>
      </c>
      <c r="D1085" s="2">
        <v>2</v>
      </c>
      <c r="E1085" s="51"/>
      <c r="F1085" s="105"/>
      <c r="H1085" s="2"/>
      <c r="I1085" s="2" t="s">
        <v>861</v>
      </c>
      <c r="J1085" s="2" t="s">
        <v>861</v>
      </c>
      <c r="K1085" s="2" t="s">
        <v>861</v>
      </c>
      <c r="L1085" s="2" t="s">
        <v>861</v>
      </c>
      <c r="M1085" s="2" t="s">
        <v>861</v>
      </c>
      <c r="N1085" s="244" t="s">
        <v>861</v>
      </c>
      <c r="O1085" s="2" t="s">
        <v>1426</v>
      </c>
      <c r="P1085" s="2">
        <v>0</v>
      </c>
      <c r="Q1085" s="2">
        <v>0</v>
      </c>
      <c r="R1085" s="2">
        <v>0</v>
      </c>
      <c r="S1085" s="2"/>
      <c r="T1085" s="2">
        <v>0</v>
      </c>
      <c r="U1085" s="398">
        <v>0</v>
      </c>
      <c r="V1085" s="7">
        <v>0</v>
      </c>
      <c r="W1085" s="7" t="s">
        <v>1099</v>
      </c>
    </row>
    <row r="1086" spans="1:23" x14ac:dyDescent="0.35">
      <c r="A1086" s="2">
        <v>115</v>
      </c>
      <c r="B1086" s="109" t="s">
        <v>1489</v>
      </c>
      <c r="C1086" s="110" t="s">
        <v>1525</v>
      </c>
      <c r="D1086" s="2">
        <v>1</v>
      </c>
      <c r="E1086" s="51"/>
      <c r="F1086" s="105"/>
      <c r="H1086" s="2"/>
      <c r="I1086" s="2" t="s">
        <v>861</v>
      </c>
      <c r="J1086" s="2" t="s">
        <v>861</v>
      </c>
      <c r="K1086" s="2" t="s">
        <v>861</v>
      </c>
      <c r="L1086" s="2" t="s">
        <v>861</v>
      </c>
      <c r="M1086" s="2" t="s">
        <v>861</v>
      </c>
      <c r="N1086" s="244" t="s">
        <v>861</v>
      </c>
      <c r="O1086" s="2" t="s">
        <v>1426</v>
      </c>
      <c r="P1086" s="2">
        <v>0</v>
      </c>
      <c r="Q1086" s="2">
        <v>0</v>
      </c>
      <c r="R1086" s="2">
        <v>0</v>
      </c>
      <c r="S1086" s="2"/>
      <c r="T1086" s="2">
        <v>0</v>
      </c>
      <c r="U1086" s="398">
        <v>0</v>
      </c>
      <c r="V1086" s="7">
        <v>0</v>
      </c>
      <c r="W1086" s="7" t="s">
        <v>1099</v>
      </c>
    </row>
    <row r="1087" spans="1:23" x14ac:dyDescent="0.35">
      <c r="A1087" s="2">
        <v>115</v>
      </c>
      <c r="B1087" s="109" t="s">
        <v>1477</v>
      </c>
      <c r="C1087" s="110" t="s">
        <v>1528</v>
      </c>
      <c r="D1087" s="2">
        <v>4</v>
      </c>
      <c r="E1087" s="51"/>
      <c r="F1087" s="105"/>
      <c r="H1087" s="2"/>
      <c r="I1087" s="2" t="s">
        <v>861</v>
      </c>
      <c r="J1087" s="2" t="s">
        <v>861</v>
      </c>
      <c r="K1087" s="2" t="s">
        <v>861</v>
      </c>
      <c r="L1087" s="2" t="s">
        <v>861</v>
      </c>
      <c r="M1087" s="2" t="s">
        <v>861</v>
      </c>
      <c r="N1087" s="244" t="s">
        <v>861</v>
      </c>
      <c r="O1087" s="2" t="s">
        <v>1426</v>
      </c>
      <c r="P1087" s="2">
        <v>0</v>
      </c>
      <c r="Q1087" s="2">
        <v>0</v>
      </c>
      <c r="R1087" s="2">
        <v>0</v>
      </c>
      <c r="S1087" s="2"/>
      <c r="T1087" s="2">
        <v>0</v>
      </c>
      <c r="U1087" s="398">
        <v>0</v>
      </c>
      <c r="V1087" s="7">
        <v>0</v>
      </c>
      <c r="W1087" s="7" t="s">
        <v>1099</v>
      </c>
    </row>
    <row r="1088" spans="1:23" x14ac:dyDescent="0.35">
      <c r="A1088" s="2">
        <v>115</v>
      </c>
      <c r="B1088" s="109" t="s">
        <v>1476</v>
      </c>
      <c r="C1088" s="110" t="s">
        <v>1482</v>
      </c>
      <c r="D1088" s="2">
        <v>3</v>
      </c>
      <c r="E1088" s="51"/>
      <c r="F1088" s="105"/>
      <c r="H1088" s="2"/>
      <c r="I1088" s="2" t="s">
        <v>861</v>
      </c>
      <c r="J1088" s="2" t="s">
        <v>861</v>
      </c>
      <c r="K1088" s="2" t="s">
        <v>861</v>
      </c>
      <c r="L1088" s="2" t="s">
        <v>861</v>
      </c>
      <c r="M1088" s="2" t="s">
        <v>861</v>
      </c>
      <c r="N1088" s="244" t="s">
        <v>861</v>
      </c>
      <c r="O1088" s="2" t="s">
        <v>1426</v>
      </c>
      <c r="P1088" s="2">
        <v>0</v>
      </c>
      <c r="Q1088" s="2">
        <v>0</v>
      </c>
      <c r="R1088" s="2">
        <v>0</v>
      </c>
      <c r="S1088" s="2"/>
      <c r="T1088" s="2">
        <v>0</v>
      </c>
      <c r="U1088" s="398">
        <v>0</v>
      </c>
      <c r="V1088" s="7">
        <v>0</v>
      </c>
      <c r="W1088" s="7" t="s">
        <v>1099</v>
      </c>
    </row>
    <row r="1089" spans="1:23" x14ac:dyDescent="0.35">
      <c r="A1089" s="2">
        <v>115</v>
      </c>
      <c r="B1089" s="109" t="s">
        <v>1478</v>
      </c>
      <c r="C1089" s="110" t="s">
        <v>1483</v>
      </c>
      <c r="D1089" s="2">
        <v>4</v>
      </c>
      <c r="E1089" s="51"/>
      <c r="F1089" s="105"/>
      <c r="H1089" s="2"/>
      <c r="I1089" s="2" t="s">
        <v>861</v>
      </c>
      <c r="J1089" s="2" t="s">
        <v>861</v>
      </c>
      <c r="K1089" s="2" t="s">
        <v>861</v>
      </c>
      <c r="L1089" s="2" t="s">
        <v>861</v>
      </c>
      <c r="M1089" s="2" t="s">
        <v>861</v>
      </c>
      <c r="N1089" s="244" t="s">
        <v>861</v>
      </c>
      <c r="O1089" s="2" t="s">
        <v>1426</v>
      </c>
      <c r="P1089" s="2">
        <v>0</v>
      </c>
      <c r="Q1089" s="2">
        <v>0</v>
      </c>
      <c r="R1089" s="2">
        <v>0</v>
      </c>
      <c r="S1089" s="2"/>
      <c r="T1089" s="2">
        <v>0</v>
      </c>
      <c r="U1089" s="398">
        <v>0</v>
      </c>
      <c r="V1089" s="7">
        <v>0</v>
      </c>
      <c r="W1089" s="7" t="s">
        <v>1099</v>
      </c>
    </row>
    <row r="1090" spans="1:23" x14ac:dyDescent="0.35">
      <c r="A1090" s="2">
        <v>115</v>
      </c>
      <c r="B1090" s="109" t="s">
        <v>1437</v>
      </c>
      <c r="C1090" s="110" t="s">
        <v>1457</v>
      </c>
      <c r="D1090" s="2">
        <v>3</v>
      </c>
      <c r="E1090" s="51"/>
      <c r="F1090" s="105"/>
      <c r="H1090" s="2"/>
      <c r="I1090" s="2" t="s">
        <v>861</v>
      </c>
      <c r="J1090" s="2" t="s">
        <v>861</v>
      </c>
      <c r="K1090" s="2" t="s">
        <v>861</v>
      </c>
      <c r="L1090" s="2" t="s">
        <v>861</v>
      </c>
      <c r="M1090" s="2" t="s">
        <v>861</v>
      </c>
      <c r="N1090" s="244" t="s">
        <v>861</v>
      </c>
      <c r="O1090" s="2" t="s">
        <v>1426</v>
      </c>
      <c r="P1090" s="2">
        <v>0</v>
      </c>
      <c r="Q1090" s="2">
        <v>0</v>
      </c>
      <c r="R1090" s="2">
        <v>0</v>
      </c>
      <c r="S1090" s="2"/>
      <c r="T1090" s="2">
        <v>0</v>
      </c>
      <c r="U1090" s="398">
        <v>0</v>
      </c>
      <c r="V1090" s="7">
        <v>0</v>
      </c>
      <c r="W1090" s="7" t="s">
        <v>1099</v>
      </c>
    </row>
    <row r="1091" spans="1:23" x14ac:dyDescent="0.35">
      <c r="A1091" s="2">
        <v>115</v>
      </c>
      <c r="B1091" s="109" t="s">
        <v>1436</v>
      </c>
      <c r="C1091" s="110" t="s">
        <v>1456</v>
      </c>
      <c r="D1091" s="2">
        <v>4</v>
      </c>
      <c r="E1091" s="51"/>
      <c r="F1091" s="105"/>
      <c r="H1091" s="2"/>
      <c r="I1091" s="2" t="s">
        <v>861</v>
      </c>
      <c r="J1091" s="2" t="s">
        <v>861</v>
      </c>
      <c r="K1091" s="2" t="s">
        <v>861</v>
      </c>
      <c r="L1091" s="2" t="s">
        <v>861</v>
      </c>
      <c r="M1091" s="2" t="s">
        <v>861</v>
      </c>
      <c r="N1091" s="244" t="s">
        <v>861</v>
      </c>
      <c r="O1091" s="2" t="s">
        <v>1426</v>
      </c>
      <c r="P1091" s="2">
        <v>0</v>
      </c>
      <c r="Q1091" s="2">
        <v>0</v>
      </c>
      <c r="R1091" s="2">
        <v>0</v>
      </c>
      <c r="S1091" s="2"/>
      <c r="T1091" s="2">
        <v>0</v>
      </c>
      <c r="U1091" s="398">
        <v>0</v>
      </c>
      <c r="V1091" s="7">
        <v>0</v>
      </c>
      <c r="W1091" s="7" t="s">
        <v>1099</v>
      </c>
    </row>
    <row r="1092" spans="1:23" x14ac:dyDescent="0.35">
      <c r="A1092" s="2">
        <v>115</v>
      </c>
      <c r="B1092" s="109" t="s">
        <v>1435</v>
      </c>
      <c r="C1092" s="110" t="s">
        <v>1455</v>
      </c>
      <c r="D1092" s="2">
        <v>3</v>
      </c>
      <c r="E1092" s="51"/>
      <c r="F1092" s="105"/>
      <c r="H1092" s="2"/>
      <c r="I1092" s="2" t="s">
        <v>861</v>
      </c>
      <c r="J1092" s="2" t="s">
        <v>861</v>
      </c>
      <c r="K1092" s="2" t="s">
        <v>861</v>
      </c>
      <c r="L1092" s="2" t="s">
        <v>861</v>
      </c>
      <c r="M1092" s="2" t="s">
        <v>861</v>
      </c>
      <c r="N1092" s="244" t="s">
        <v>861</v>
      </c>
      <c r="O1092" s="2" t="s">
        <v>1426</v>
      </c>
      <c r="P1092" s="2">
        <v>0</v>
      </c>
      <c r="Q1092" s="2">
        <v>0</v>
      </c>
      <c r="R1092" s="2">
        <v>0</v>
      </c>
      <c r="S1092" s="2"/>
      <c r="T1092" s="2">
        <v>0</v>
      </c>
      <c r="U1092" s="398">
        <v>0</v>
      </c>
      <c r="V1092" s="7">
        <v>0</v>
      </c>
      <c r="W1092" s="7" t="s">
        <v>1099</v>
      </c>
    </row>
    <row r="1093" spans="1:23" x14ac:dyDescent="0.35">
      <c r="A1093" s="2">
        <v>115</v>
      </c>
      <c r="B1093" s="109" t="s">
        <v>1441</v>
      </c>
      <c r="C1093" s="110" t="s">
        <v>1461</v>
      </c>
      <c r="D1093" s="2">
        <v>3</v>
      </c>
      <c r="E1093" s="51"/>
      <c r="F1093" s="105"/>
      <c r="H1093" s="2"/>
      <c r="I1093" s="2" t="s">
        <v>861</v>
      </c>
      <c r="J1093" s="2" t="s">
        <v>861</v>
      </c>
      <c r="K1093" s="2" t="s">
        <v>861</v>
      </c>
      <c r="L1093" s="2" t="s">
        <v>861</v>
      </c>
      <c r="M1093" s="2" t="s">
        <v>861</v>
      </c>
      <c r="N1093" s="244" t="s">
        <v>861</v>
      </c>
      <c r="O1093" s="2" t="s">
        <v>1426</v>
      </c>
      <c r="P1093" s="2">
        <v>0</v>
      </c>
      <c r="Q1093" s="2">
        <v>0</v>
      </c>
      <c r="R1093" s="2">
        <v>0</v>
      </c>
      <c r="S1093" s="2"/>
      <c r="T1093" s="2">
        <v>0</v>
      </c>
      <c r="U1093" s="398">
        <v>0</v>
      </c>
      <c r="V1093" s="7">
        <v>0</v>
      </c>
      <c r="W1093" s="7" t="s">
        <v>1099</v>
      </c>
    </row>
    <row r="1094" spans="1:23" x14ac:dyDescent="0.35">
      <c r="A1094" s="2">
        <v>115</v>
      </c>
      <c r="B1094" s="109" t="s">
        <v>1440</v>
      </c>
      <c r="C1094" s="110" t="s">
        <v>1460</v>
      </c>
      <c r="D1094" s="2">
        <v>4</v>
      </c>
      <c r="E1094" s="51"/>
      <c r="F1094" s="105"/>
      <c r="H1094" s="2"/>
      <c r="I1094" s="2" t="s">
        <v>861</v>
      </c>
      <c r="J1094" s="2" t="s">
        <v>861</v>
      </c>
      <c r="K1094" s="2" t="s">
        <v>861</v>
      </c>
      <c r="L1094" s="2" t="s">
        <v>861</v>
      </c>
      <c r="M1094" s="2" t="s">
        <v>861</v>
      </c>
      <c r="N1094" s="244" t="s">
        <v>861</v>
      </c>
      <c r="O1094" s="2" t="s">
        <v>1426</v>
      </c>
      <c r="P1094" s="2">
        <v>0</v>
      </c>
      <c r="Q1094" s="2">
        <v>0</v>
      </c>
      <c r="R1094" s="2">
        <v>0</v>
      </c>
      <c r="S1094" s="2"/>
      <c r="T1094" s="2">
        <v>0</v>
      </c>
      <c r="U1094" s="398">
        <v>0</v>
      </c>
      <c r="V1094" s="7">
        <v>0</v>
      </c>
      <c r="W1094" s="7" t="s">
        <v>1099</v>
      </c>
    </row>
    <row r="1095" spans="1:23" x14ac:dyDescent="0.35">
      <c r="A1095" s="2">
        <v>115</v>
      </c>
      <c r="B1095" s="109" t="s">
        <v>1439</v>
      </c>
      <c r="C1095" s="110" t="s">
        <v>1459</v>
      </c>
      <c r="D1095" s="2">
        <v>3</v>
      </c>
      <c r="E1095" s="51"/>
      <c r="F1095" s="105"/>
      <c r="H1095" s="2"/>
      <c r="I1095" s="2" t="s">
        <v>861</v>
      </c>
      <c r="J1095" s="2" t="s">
        <v>861</v>
      </c>
      <c r="K1095" s="2" t="s">
        <v>861</v>
      </c>
      <c r="L1095" s="2" t="s">
        <v>861</v>
      </c>
      <c r="M1095" s="2" t="s">
        <v>861</v>
      </c>
      <c r="N1095" s="244" t="s">
        <v>861</v>
      </c>
      <c r="O1095" s="2" t="s">
        <v>1426</v>
      </c>
      <c r="P1095" s="2">
        <v>0</v>
      </c>
      <c r="Q1095" s="2">
        <v>0</v>
      </c>
      <c r="R1095" s="2">
        <v>0</v>
      </c>
      <c r="S1095" s="2"/>
      <c r="T1095" s="2">
        <v>0</v>
      </c>
      <c r="U1095" s="398">
        <v>0</v>
      </c>
      <c r="V1095" s="7">
        <v>0</v>
      </c>
      <c r="W1095" s="7" t="s">
        <v>1099</v>
      </c>
    </row>
    <row r="1096" spans="1:23" x14ac:dyDescent="0.35">
      <c r="A1096" s="2">
        <v>115</v>
      </c>
      <c r="B1096" s="109" t="s">
        <v>1445</v>
      </c>
      <c r="C1096" s="110" t="s">
        <v>1465</v>
      </c>
      <c r="D1096" s="2">
        <v>3</v>
      </c>
      <c r="E1096" s="51"/>
      <c r="F1096" s="105"/>
      <c r="H1096" s="2"/>
      <c r="I1096" s="2" t="s">
        <v>861</v>
      </c>
      <c r="J1096" s="2" t="s">
        <v>861</v>
      </c>
      <c r="K1096" s="2" t="s">
        <v>861</v>
      </c>
      <c r="L1096" s="2" t="s">
        <v>861</v>
      </c>
      <c r="M1096" s="2" t="s">
        <v>861</v>
      </c>
      <c r="N1096" s="244" t="s">
        <v>861</v>
      </c>
      <c r="O1096" s="2" t="s">
        <v>1426</v>
      </c>
      <c r="P1096" s="2">
        <v>0</v>
      </c>
      <c r="Q1096" s="2">
        <v>0</v>
      </c>
      <c r="R1096" s="2">
        <v>0</v>
      </c>
      <c r="S1096" s="2"/>
      <c r="T1096" s="2">
        <v>0</v>
      </c>
      <c r="U1096" s="398">
        <v>0</v>
      </c>
      <c r="V1096" s="7">
        <v>0</v>
      </c>
      <c r="W1096" s="7" t="s">
        <v>1099</v>
      </c>
    </row>
    <row r="1097" spans="1:23" x14ac:dyDescent="0.35">
      <c r="A1097" s="2">
        <v>115</v>
      </c>
      <c r="B1097" s="109" t="s">
        <v>1444</v>
      </c>
      <c r="C1097" s="110" t="s">
        <v>1464</v>
      </c>
      <c r="D1097" s="2">
        <v>4</v>
      </c>
      <c r="E1097" s="51"/>
      <c r="F1097" s="105"/>
      <c r="H1097" s="2"/>
      <c r="I1097" s="2" t="s">
        <v>861</v>
      </c>
      <c r="J1097" s="2" t="s">
        <v>861</v>
      </c>
      <c r="K1097" s="2" t="s">
        <v>861</v>
      </c>
      <c r="L1097" s="2" t="s">
        <v>861</v>
      </c>
      <c r="M1097" s="2" t="s">
        <v>861</v>
      </c>
      <c r="N1097" s="244" t="s">
        <v>861</v>
      </c>
      <c r="O1097" s="2" t="s">
        <v>1426</v>
      </c>
      <c r="P1097" s="2">
        <v>0</v>
      </c>
      <c r="Q1097" s="2">
        <v>0</v>
      </c>
      <c r="R1097" s="2">
        <v>0</v>
      </c>
      <c r="S1097" s="2"/>
      <c r="T1097" s="2">
        <v>0</v>
      </c>
      <c r="U1097" s="398">
        <v>0</v>
      </c>
      <c r="V1097" s="7">
        <v>0</v>
      </c>
      <c r="W1097" s="7" t="s">
        <v>1099</v>
      </c>
    </row>
    <row r="1098" spans="1:23" x14ac:dyDescent="0.35">
      <c r="A1098" s="2">
        <v>115</v>
      </c>
      <c r="B1098" s="109" t="s">
        <v>1443</v>
      </c>
      <c r="C1098" s="110" t="s">
        <v>1463</v>
      </c>
      <c r="D1098" s="2">
        <v>3</v>
      </c>
      <c r="E1098" s="51"/>
      <c r="F1098" s="105"/>
      <c r="H1098" s="2"/>
      <c r="I1098" s="2" t="s">
        <v>861</v>
      </c>
      <c r="J1098" s="2" t="s">
        <v>861</v>
      </c>
      <c r="K1098" s="2" t="s">
        <v>861</v>
      </c>
      <c r="L1098" s="2" t="s">
        <v>861</v>
      </c>
      <c r="M1098" s="2" t="s">
        <v>861</v>
      </c>
      <c r="N1098" s="244" t="s">
        <v>861</v>
      </c>
      <c r="O1098" s="2" t="s">
        <v>1426</v>
      </c>
      <c r="P1098" s="2">
        <v>0</v>
      </c>
      <c r="Q1098" s="2">
        <v>0</v>
      </c>
      <c r="R1098" s="2">
        <v>0</v>
      </c>
      <c r="S1098" s="2"/>
      <c r="T1098" s="2">
        <v>0</v>
      </c>
      <c r="U1098" s="398">
        <v>0</v>
      </c>
      <c r="V1098" s="7">
        <v>0</v>
      </c>
      <c r="W1098" s="7" t="s">
        <v>1099</v>
      </c>
    </row>
    <row r="1099" spans="1:23" x14ac:dyDescent="0.35">
      <c r="A1099" s="2">
        <v>115</v>
      </c>
      <c r="B1099" s="109" t="s">
        <v>1449</v>
      </c>
      <c r="C1099" s="110" t="s">
        <v>1469</v>
      </c>
      <c r="D1099" s="2">
        <v>3</v>
      </c>
      <c r="E1099" s="51"/>
      <c r="F1099" s="105"/>
      <c r="H1099" s="2"/>
      <c r="I1099" s="2" t="s">
        <v>861</v>
      </c>
      <c r="J1099" s="2" t="s">
        <v>861</v>
      </c>
      <c r="K1099" s="2" t="s">
        <v>861</v>
      </c>
      <c r="L1099" s="2" t="s">
        <v>861</v>
      </c>
      <c r="M1099" s="2" t="s">
        <v>861</v>
      </c>
      <c r="N1099" s="244" t="s">
        <v>861</v>
      </c>
      <c r="O1099" s="2" t="s">
        <v>1426</v>
      </c>
      <c r="P1099" s="2">
        <v>0</v>
      </c>
      <c r="Q1099" s="2">
        <v>0</v>
      </c>
      <c r="R1099" s="2">
        <v>0</v>
      </c>
      <c r="S1099" s="2"/>
      <c r="T1099" s="2">
        <v>0</v>
      </c>
      <c r="U1099" s="398">
        <v>0</v>
      </c>
      <c r="V1099" s="7">
        <v>0</v>
      </c>
      <c r="W1099" s="7" t="s">
        <v>1099</v>
      </c>
    </row>
    <row r="1100" spans="1:23" x14ac:dyDescent="0.35">
      <c r="A1100" s="2">
        <v>115</v>
      </c>
      <c r="B1100" s="109" t="s">
        <v>1448</v>
      </c>
      <c r="C1100" s="110" t="s">
        <v>1468</v>
      </c>
      <c r="D1100" s="2">
        <v>4</v>
      </c>
      <c r="E1100" s="51"/>
      <c r="F1100" s="105"/>
      <c r="H1100" s="2"/>
      <c r="I1100" s="2" t="s">
        <v>861</v>
      </c>
      <c r="J1100" s="2" t="s">
        <v>861</v>
      </c>
      <c r="K1100" s="2" t="s">
        <v>861</v>
      </c>
      <c r="L1100" s="2" t="s">
        <v>861</v>
      </c>
      <c r="M1100" s="2" t="s">
        <v>861</v>
      </c>
      <c r="N1100" s="244" t="s">
        <v>861</v>
      </c>
      <c r="O1100" s="2" t="s">
        <v>1426</v>
      </c>
      <c r="P1100" s="2">
        <v>0</v>
      </c>
      <c r="Q1100" s="2">
        <v>0</v>
      </c>
      <c r="R1100" s="2">
        <v>0</v>
      </c>
      <c r="S1100" s="2"/>
      <c r="T1100" s="2">
        <v>0</v>
      </c>
      <c r="U1100" s="398">
        <v>0</v>
      </c>
      <c r="V1100" s="7">
        <v>0</v>
      </c>
      <c r="W1100" s="7" t="s">
        <v>1099</v>
      </c>
    </row>
    <row r="1101" spans="1:23" x14ac:dyDescent="0.35">
      <c r="A1101" s="2">
        <v>115</v>
      </c>
      <c r="B1101" s="109" t="s">
        <v>1447</v>
      </c>
      <c r="C1101" s="110" t="s">
        <v>1467</v>
      </c>
      <c r="D1101" s="2">
        <v>3</v>
      </c>
      <c r="E1101" s="51"/>
      <c r="F1101" s="105"/>
      <c r="H1101" s="2"/>
      <c r="I1101" s="2" t="s">
        <v>861</v>
      </c>
      <c r="J1101" s="2" t="s">
        <v>861</v>
      </c>
      <c r="K1101" s="2" t="s">
        <v>861</v>
      </c>
      <c r="L1101" s="2" t="s">
        <v>861</v>
      </c>
      <c r="M1101" s="2" t="s">
        <v>861</v>
      </c>
      <c r="N1101" s="244" t="s">
        <v>861</v>
      </c>
      <c r="O1101" s="2" t="s">
        <v>1426</v>
      </c>
      <c r="P1101" s="2">
        <v>0</v>
      </c>
      <c r="Q1101" s="2">
        <v>0</v>
      </c>
      <c r="R1101" s="2">
        <v>0</v>
      </c>
      <c r="S1101" s="2"/>
      <c r="T1101" s="2">
        <v>0</v>
      </c>
      <c r="U1101" s="398">
        <v>0</v>
      </c>
      <c r="V1101" s="7">
        <v>0</v>
      </c>
      <c r="W1101" s="7" t="s">
        <v>1099</v>
      </c>
    </row>
    <row r="1102" spans="1:23" x14ac:dyDescent="0.35">
      <c r="A1102" s="2">
        <v>115</v>
      </c>
      <c r="B1102" s="109" t="s">
        <v>1452</v>
      </c>
      <c r="C1102" s="110" t="s">
        <v>1472</v>
      </c>
      <c r="D1102" s="2">
        <v>5</v>
      </c>
      <c r="E1102" s="51"/>
      <c r="F1102" s="105"/>
      <c r="H1102" s="2"/>
      <c r="I1102" s="2" t="s">
        <v>861</v>
      </c>
      <c r="J1102" s="2" t="s">
        <v>861</v>
      </c>
      <c r="K1102" s="2" t="s">
        <v>861</v>
      </c>
      <c r="L1102" s="2" t="s">
        <v>861</v>
      </c>
      <c r="M1102" s="2" t="s">
        <v>861</v>
      </c>
      <c r="N1102" s="244" t="s">
        <v>861</v>
      </c>
      <c r="O1102" s="2" t="s">
        <v>1426</v>
      </c>
      <c r="P1102" s="2">
        <v>0</v>
      </c>
      <c r="Q1102" s="2">
        <v>0</v>
      </c>
      <c r="R1102" s="2">
        <v>0</v>
      </c>
      <c r="S1102" s="2"/>
      <c r="T1102" s="2">
        <v>0</v>
      </c>
      <c r="U1102" s="398">
        <v>0</v>
      </c>
      <c r="V1102" s="7">
        <v>0</v>
      </c>
      <c r="W1102" s="7" t="s">
        <v>1099</v>
      </c>
    </row>
    <row r="1103" spans="1:23" x14ac:dyDescent="0.35">
      <c r="A1103" s="2">
        <v>115</v>
      </c>
      <c r="B1103" s="109" t="s">
        <v>1451</v>
      </c>
      <c r="C1103" s="110" t="s">
        <v>1471</v>
      </c>
      <c r="D1103" s="2">
        <v>5</v>
      </c>
      <c r="E1103" s="51"/>
      <c r="F1103" s="105"/>
      <c r="H1103" s="2"/>
      <c r="I1103" s="2" t="s">
        <v>861</v>
      </c>
      <c r="J1103" s="2" t="s">
        <v>861</v>
      </c>
      <c r="K1103" s="2" t="s">
        <v>861</v>
      </c>
      <c r="L1103" s="2" t="s">
        <v>861</v>
      </c>
      <c r="M1103" s="2" t="s">
        <v>861</v>
      </c>
      <c r="N1103" s="244" t="s">
        <v>861</v>
      </c>
      <c r="O1103" s="2" t="s">
        <v>1426</v>
      </c>
      <c r="P1103" s="2">
        <v>0</v>
      </c>
      <c r="Q1103" s="2">
        <v>0</v>
      </c>
      <c r="R1103" s="2">
        <v>0</v>
      </c>
      <c r="S1103" s="2"/>
      <c r="T1103" s="2">
        <v>0</v>
      </c>
      <c r="U1103" s="398">
        <v>0</v>
      </c>
      <c r="V1103" s="7">
        <v>0</v>
      </c>
      <c r="W1103" s="7" t="s">
        <v>1099</v>
      </c>
    </row>
    <row r="1104" spans="1:23" x14ac:dyDescent="0.35">
      <c r="A1104" s="2">
        <v>115</v>
      </c>
      <c r="B1104" s="109" t="s">
        <v>166</v>
      </c>
      <c r="C1104" s="110" t="s">
        <v>167</v>
      </c>
      <c r="D1104" s="2">
        <v>6</v>
      </c>
      <c r="E1104" s="51"/>
      <c r="F1104" s="105"/>
      <c r="H1104" s="2"/>
      <c r="I1104" s="2">
        <v>1</v>
      </c>
      <c r="J1104" s="2">
        <v>0</v>
      </c>
      <c r="K1104" s="2">
        <v>0</v>
      </c>
      <c r="L1104" s="2">
        <v>0.93500000000000005</v>
      </c>
      <c r="M1104" s="2">
        <v>0.96250000000000002</v>
      </c>
      <c r="N1104" s="244">
        <v>4.2558750000000001E-3</v>
      </c>
      <c r="O1104" s="2" t="s">
        <v>150</v>
      </c>
      <c r="P1104" s="2">
        <v>175</v>
      </c>
      <c r="Q1104" s="2" t="s">
        <v>151</v>
      </c>
      <c r="R1104" s="2" t="s">
        <v>166</v>
      </c>
      <c r="S1104" s="2"/>
      <c r="T1104" s="2">
        <v>0.81599999999999995</v>
      </c>
      <c r="U1104" s="398">
        <v>4.8959999999999999</v>
      </c>
      <c r="V1104" s="7">
        <v>0</v>
      </c>
      <c r="W1104" s="7" t="s">
        <v>1099</v>
      </c>
    </row>
    <row r="1105" spans="1:23" x14ac:dyDescent="0.35">
      <c r="A1105" s="2">
        <v>115</v>
      </c>
      <c r="B1105" s="109" t="s">
        <v>154</v>
      </c>
      <c r="C1105" s="110" t="s">
        <v>155</v>
      </c>
      <c r="D1105" s="2">
        <v>6</v>
      </c>
      <c r="E1105" s="51"/>
      <c r="F1105" s="105"/>
      <c r="H1105" s="2"/>
      <c r="I1105" s="2">
        <v>1</v>
      </c>
      <c r="J1105" s="2">
        <v>0</v>
      </c>
      <c r="K1105" s="2">
        <v>0</v>
      </c>
      <c r="L1105" s="2">
        <v>0.78600000000000003</v>
      </c>
      <c r="M1105" s="2">
        <v>0.87949999999999995</v>
      </c>
      <c r="N1105" s="244">
        <v>3.2799999999999999E-3</v>
      </c>
      <c r="O1105" s="2" t="s">
        <v>150</v>
      </c>
      <c r="P1105" s="2">
        <v>150</v>
      </c>
      <c r="Q1105" s="2" t="s">
        <v>151</v>
      </c>
      <c r="R1105" s="2" t="s">
        <v>154</v>
      </c>
      <c r="S1105" s="2"/>
      <c r="T1105" s="2">
        <v>0.81599999999999995</v>
      </c>
      <c r="U1105" s="398">
        <v>4.8959999999999999</v>
      </c>
      <c r="V1105" s="7">
        <v>0</v>
      </c>
      <c r="W1105" s="7" t="s">
        <v>1099</v>
      </c>
    </row>
    <row r="1106" spans="1:23" x14ac:dyDescent="0.35">
      <c r="A1106" s="2">
        <v>116</v>
      </c>
      <c r="B1106" s="109" t="s">
        <v>141</v>
      </c>
      <c r="C1106" s="110" t="s">
        <v>142</v>
      </c>
      <c r="D1106" s="2">
        <v>1</v>
      </c>
      <c r="E1106" s="51"/>
      <c r="F1106" s="105"/>
      <c r="H1106" s="2"/>
      <c r="I1106" s="2">
        <v>1</v>
      </c>
      <c r="J1106" s="2">
        <v>0</v>
      </c>
      <c r="K1106" s="2">
        <v>0</v>
      </c>
      <c r="L1106" s="2">
        <v>0.39500000000000002</v>
      </c>
      <c r="M1106" s="2">
        <v>0.41249999999999998</v>
      </c>
      <c r="N1106" s="244">
        <v>7.3046875E-4</v>
      </c>
      <c r="O1106" s="2" t="s">
        <v>108</v>
      </c>
      <c r="P1106" s="2">
        <v>100</v>
      </c>
      <c r="Q1106" s="2" t="s">
        <v>55</v>
      </c>
      <c r="R1106" s="2" t="s">
        <v>141</v>
      </c>
      <c r="S1106" s="2"/>
      <c r="T1106" s="2">
        <v>11.68</v>
      </c>
      <c r="U1106" s="398">
        <v>11.68</v>
      </c>
      <c r="V1106" s="7">
        <v>0</v>
      </c>
      <c r="W1106" s="7" t="s">
        <v>1099</v>
      </c>
    </row>
    <row r="1107" spans="1:23" x14ac:dyDescent="0.35">
      <c r="A1107" s="2">
        <v>116</v>
      </c>
      <c r="B1107" s="109" t="s">
        <v>143</v>
      </c>
      <c r="C1107" s="110" t="s">
        <v>144</v>
      </c>
      <c r="D1107" s="2">
        <v>1</v>
      </c>
      <c r="E1107" s="51"/>
      <c r="F1107" s="105"/>
      <c r="H1107" s="2"/>
      <c r="I1107" s="2">
        <v>1</v>
      </c>
      <c r="J1107" s="2">
        <v>0</v>
      </c>
      <c r="K1107" s="2">
        <v>0</v>
      </c>
      <c r="L1107" s="2">
        <v>0.39500000000000002</v>
      </c>
      <c r="M1107" s="2">
        <v>0.41249999999999998</v>
      </c>
      <c r="N1107" s="244">
        <v>7.3046875E-4</v>
      </c>
      <c r="O1107" s="2" t="s">
        <v>108</v>
      </c>
      <c r="P1107" s="2">
        <v>100</v>
      </c>
      <c r="Q1107" s="2" t="s">
        <v>55</v>
      </c>
      <c r="R1107" s="2" t="s">
        <v>143</v>
      </c>
      <c r="S1107" s="2"/>
      <c r="T1107" s="2">
        <v>11.68</v>
      </c>
      <c r="U1107" s="398">
        <v>11.68</v>
      </c>
      <c r="V1107" s="7">
        <v>0</v>
      </c>
      <c r="W1107" s="7" t="s">
        <v>1099</v>
      </c>
    </row>
    <row r="1108" spans="1:23" x14ac:dyDescent="0.35">
      <c r="A1108" s="2">
        <v>116</v>
      </c>
      <c r="B1108" s="109" t="s">
        <v>88</v>
      </c>
      <c r="C1108" s="110" t="s">
        <v>89</v>
      </c>
      <c r="D1108" s="2">
        <v>3</v>
      </c>
      <c r="E1108" s="51"/>
      <c r="F1108" s="105"/>
      <c r="H1108" s="2"/>
      <c r="I1108" s="2">
        <v>1</v>
      </c>
      <c r="J1108" s="2">
        <v>0</v>
      </c>
      <c r="K1108" s="2">
        <v>0</v>
      </c>
      <c r="L1108" s="2">
        <v>2.19</v>
      </c>
      <c r="M1108" s="2">
        <v>3.0749999999999997</v>
      </c>
      <c r="N1108" s="244">
        <v>1.1039999999999999E-2</v>
      </c>
      <c r="O1108" s="2" t="s">
        <v>18</v>
      </c>
      <c r="P1108" s="2">
        <v>100</v>
      </c>
      <c r="Q1108" s="2">
        <v>0</v>
      </c>
      <c r="R1108" s="2" t="s">
        <v>88</v>
      </c>
      <c r="S1108" s="2">
        <v>3</v>
      </c>
      <c r="T1108" s="2">
        <v>15.89</v>
      </c>
      <c r="U1108" s="398">
        <v>47.67</v>
      </c>
      <c r="V1108" s="7">
        <v>0</v>
      </c>
      <c r="W1108" s="7" t="s">
        <v>1099</v>
      </c>
    </row>
    <row r="1109" spans="1:23" x14ac:dyDescent="0.35">
      <c r="A1109" s="2">
        <v>117</v>
      </c>
      <c r="B1109" s="109" t="s">
        <v>88</v>
      </c>
      <c r="C1109" s="110" t="s">
        <v>89</v>
      </c>
      <c r="D1109" s="2">
        <v>3</v>
      </c>
      <c r="E1109" s="51"/>
      <c r="F1109" s="105"/>
      <c r="H1109" s="2"/>
      <c r="I1109" s="2">
        <v>1</v>
      </c>
      <c r="J1109" s="2">
        <v>0</v>
      </c>
      <c r="K1109" s="2">
        <v>0</v>
      </c>
      <c r="L1109" s="2">
        <v>2.19</v>
      </c>
      <c r="M1109" s="2">
        <v>3.0749999999999997</v>
      </c>
      <c r="N1109" s="244">
        <v>1.1039999999999999E-2</v>
      </c>
      <c r="O1109" s="2" t="s">
        <v>18</v>
      </c>
      <c r="P1109" s="2">
        <v>100</v>
      </c>
      <c r="Q1109" s="2">
        <v>0</v>
      </c>
      <c r="R1109" s="2" t="s">
        <v>88</v>
      </c>
      <c r="S1109" s="2"/>
      <c r="T1109" s="2" t="s">
        <v>861</v>
      </c>
      <c r="U1109" s="398" t="s">
        <v>861</v>
      </c>
      <c r="V1109" s="7">
        <v>0</v>
      </c>
      <c r="W1109" s="7" t="s">
        <v>1334</v>
      </c>
    </row>
    <row r="1110" spans="1:23" x14ac:dyDescent="0.35">
      <c r="A1110" s="2">
        <v>117</v>
      </c>
      <c r="B1110" s="109" t="s">
        <v>107</v>
      </c>
      <c r="C1110" s="110" t="s">
        <v>109</v>
      </c>
      <c r="D1110" s="2">
        <v>-3</v>
      </c>
      <c r="E1110" s="51"/>
      <c r="F1110" s="105"/>
      <c r="H1110" s="2"/>
      <c r="I1110" s="2">
        <v>-1</v>
      </c>
      <c r="J1110" s="2">
        <v>0</v>
      </c>
      <c r="K1110" s="2">
        <v>0</v>
      </c>
      <c r="L1110" s="2">
        <v>-1.1850000000000001</v>
      </c>
      <c r="M1110" s="2">
        <v>-1.2375</v>
      </c>
      <c r="N1110" s="244">
        <v>-2.1621875E-3</v>
      </c>
      <c r="O1110" s="2" t="s">
        <v>108</v>
      </c>
      <c r="P1110" s="2">
        <v>100</v>
      </c>
      <c r="Q1110" s="2" t="s">
        <v>55</v>
      </c>
      <c r="R1110" s="2" t="s">
        <v>107</v>
      </c>
      <c r="S1110" s="2"/>
      <c r="T1110" s="2" t="s">
        <v>861</v>
      </c>
      <c r="U1110" s="398" t="s">
        <v>861</v>
      </c>
      <c r="V1110" s="7">
        <v>0</v>
      </c>
      <c r="W1110" s="7" t="s">
        <v>1334</v>
      </c>
    </row>
    <row r="1111" spans="1:23" x14ac:dyDescent="0.35">
      <c r="A1111" s="2">
        <v>117</v>
      </c>
      <c r="B1111" s="109" t="s">
        <v>680</v>
      </c>
      <c r="C1111" s="110" t="s">
        <v>847</v>
      </c>
      <c r="D1111" s="2">
        <v>-3</v>
      </c>
      <c r="E1111" s="51"/>
      <c r="F1111" s="105"/>
      <c r="H1111" s="2"/>
      <c r="I1111" s="2">
        <v>-1</v>
      </c>
      <c r="J1111" s="2">
        <v>0</v>
      </c>
      <c r="K1111" s="2">
        <v>0</v>
      </c>
      <c r="L1111" s="2">
        <v>-0.76200000000000001</v>
      </c>
      <c r="M1111" s="2">
        <v>-0.85</v>
      </c>
      <c r="N1111" s="244">
        <v>-2.8339687500000001E-3</v>
      </c>
      <c r="O1111" s="2" t="s">
        <v>150</v>
      </c>
      <c r="P1111" s="2">
        <v>300</v>
      </c>
      <c r="Q1111" s="2" t="s">
        <v>151</v>
      </c>
      <c r="R1111" s="2" t="s">
        <v>680</v>
      </c>
      <c r="S1111" s="2"/>
      <c r="T1111" s="2" t="s">
        <v>861</v>
      </c>
      <c r="U1111" s="398" t="s">
        <v>861</v>
      </c>
      <c r="V1111" s="7">
        <v>0</v>
      </c>
      <c r="W1111" s="7" t="s">
        <v>1334</v>
      </c>
    </row>
    <row r="1112" spans="1:23" x14ac:dyDescent="0.35">
      <c r="A1112" s="2">
        <v>117</v>
      </c>
      <c r="B1112" s="109" t="s">
        <v>749</v>
      </c>
      <c r="C1112" s="110" t="s">
        <v>750</v>
      </c>
      <c r="D1112" s="2">
        <v>-3</v>
      </c>
      <c r="E1112" s="51"/>
      <c r="F1112" s="105"/>
      <c r="H1112" s="2"/>
      <c r="I1112" s="2" t="s">
        <v>861</v>
      </c>
      <c r="J1112" s="2" t="s">
        <v>861</v>
      </c>
      <c r="K1112" s="2" t="s">
        <v>861</v>
      </c>
      <c r="L1112" s="2" t="s">
        <v>861</v>
      </c>
      <c r="M1112" s="2" t="s">
        <v>861</v>
      </c>
      <c r="N1112" s="244" t="s">
        <v>861</v>
      </c>
      <c r="O1112" s="2" t="s">
        <v>1055</v>
      </c>
      <c r="P1112" s="2">
        <v>0</v>
      </c>
      <c r="Q1112" s="2" t="s">
        <v>1154</v>
      </c>
      <c r="R1112" s="2" t="s">
        <v>749</v>
      </c>
      <c r="S1112" s="2"/>
      <c r="T1112" s="2" t="s">
        <v>861</v>
      </c>
      <c r="U1112" s="398" t="s">
        <v>861</v>
      </c>
      <c r="V1112" s="7">
        <v>0</v>
      </c>
      <c r="W1112" s="7" t="s">
        <v>1334</v>
      </c>
    </row>
    <row r="1113" spans="1:23" x14ac:dyDescent="0.35">
      <c r="A1113" s="2">
        <v>117</v>
      </c>
      <c r="B1113" s="109" t="s">
        <v>1018</v>
      </c>
      <c r="C1113" s="110" t="s">
        <v>1068</v>
      </c>
      <c r="D1113" s="2">
        <v>-3</v>
      </c>
      <c r="E1113" s="51"/>
      <c r="F1113" s="105"/>
      <c r="H1113" s="2"/>
      <c r="I1113" s="2" t="s">
        <v>861</v>
      </c>
      <c r="J1113" s="2" t="s">
        <v>861</v>
      </c>
      <c r="K1113" s="2" t="s">
        <v>861</v>
      </c>
      <c r="L1113" s="2" t="s">
        <v>861</v>
      </c>
      <c r="M1113" s="2" t="s">
        <v>861</v>
      </c>
      <c r="N1113" s="244" t="s">
        <v>861</v>
      </c>
      <c r="O1113" s="2" t="s">
        <v>1055</v>
      </c>
      <c r="P1113" s="2">
        <v>0</v>
      </c>
      <c r="Q1113" s="2">
        <v>0</v>
      </c>
      <c r="R1113" s="2">
        <v>0</v>
      </c>
      <c r="S1113" s="2"/>
      <c r="T1113" s="2" t="s">
        <v>861</v>
      </c>
      <c r="U1113" s="398" t="s">
        <v>861</v>
      </c>
      <c r="V1113" s="7">
        <v>0</v>
      </c>
      <c r="W1113" s="7" t="s">
        <v>1334</v>
      </c>
    </row>
    <row r="1114" spans="1:23" x14ac:dyDescent="0.35">
      <c r="A1114" s="2">
        <v>118</v>
      </c>
      <c r="B1114" s="109" t="s">
        <v>17</v>
      </c>
      <c r="C1114" s="110" t="s">
        <v>20</v>
      </c>
      <c r="D1114" s="2">
        <v>4</v>
      </c>
      <c r="E1114" s="51"/>
      <c r="F1114" s="105"/>
      <c r="H1114" s="2"/>
      <c r="I1114" s="2">
        <v>1</v>
      </c>
      <c r="J1114" s="2">
        <v>0</v>
      </c>
      <c r="K1114" s="2">
        <v>0</v>
      </c>
      <c r="L1114" s="2">
        <v>1.68</v>
      </c>
      <c r="M1114" s="2">
        <v>1.93</v>
      </c>
      <c r="N1114" s="244">
        <v>9.3609999999999995E-3</v>
      </c>
      <c r="O1114" s="2" t="s">
        <v>18</v>
      </c>
      <c r="P1114" s="2">
        <v>50</v>
      </c>
      <c r="Q1114" s="2">
        <v>0</v>
      </c>
      <c r="R1114" s="2" t="s">
        <v>17</v>
      </c>
      <c r="S1114" s="2"/>
      <c r="T1114" s="2" t="s">
        <v>861</v>
      </c>
      <c r="U1114" s="398" t="s">
        <v>861</v>
      </c>
      <c r="V1114" s="7">
        <v>0</v>
      </c>
      <c r="W1114" s="7" t="s">
        <v>1334</v>
      </c>
    </row>
    <row r="1115" spans="1:23" x14ac:dyDescent="0.35">
      <c r="A1115" s="2">
        <v>118</v>
      </c>
      <c r="B1115" s="109" t="s">
        <v>23</v>
      </c>
      <c r="C1115" s="110" t="s">
        <v>24</v>
      </c>
      <c r="D1115" s="2">
        <v>6</v>
      </c>
      <c r="E1115" s="51"/>
      <c r="F1115" s="105"/>
      <c r="H1115" s="2"/>
      <c r="I1115" s="2">
        <v>1</v>
      </c>
      <c r="J1115" s="2">
        <v>0</v>
      </c>
      <c r="K1115" s="2">
        <v>0</v>
      </c>
      <c r="L1115" s="2">
        <v>2.52</v>
      </c>
      <c r="M1115" s="2">
        <v>2.895</v>
      </c>
      <c r="N1115" s="244">
        <v>1.40415E-2</v>
      </c>
      <c r="O1115" s="2" t="s">
        <v>18</v>
      </c>
      <c r="P1115" s="2">
        <v>50</v>
      </c>
      <c r="Q1115" s="2">
        <v>0</v>
      </c>
      <c r="R1115" s="2" t="s">
        <v>23</v>
      </c>
      <c r="S1115" s="2"/>
      <c r="T1115" s="2" t="s">
        <v>861</v>
      </c>
      <c r="U1115" s="398" t="s">
        <v>861</v>
      </c>
      <c r="V1115" s="7">
        <v>0</v>
      </c>
      <c r="W1115" s="7" t="s">
        <v>1334</v>
      </c>
    </row>
    <row r="1116" spans="1:23" x14ac:dyDescent="0.35">
      <c r="A1116" s="2">
        <v>118</v>
      </c>
      <c r="B1116" s="109" t="s">
        <v>25</v>
      </c>
      <c r="C1116" s="110" t="s">
        <v>26</v>
      </c>
      <c r="D1116" s="2">
        <v>6</v>
      </c>
      <c r="E1116" s="51"/>
      <c r="F1116" s="105"/>
      <c r="H1116" s="2"/>
      <c r="I1116" s="2">
        <v>1</v>
      </c>
      <c r="J1116" s="2">
        <v>0</v>
      </c>
      <c r="K1116" s="2">
        <v>0</v>
      </c>
      <c r="L1116" s="2">
        <v>2.52</v>
      </c>
      <c r="M1116" s="2">
        <v>2.895</v>
      </c>
      <c r="N1116" s="244">
        <v>1.40415E-2</v>
      </c>
      <c r="O1116" s="2" t="s">
        <v>18</v>
      </c>
      <c r="P1116" s="2">
        <v>50</v>
      </c>
      <c r="Q1116" s="2">
        <v>0</v>
      </c>
      <c r="R1116" s="2" t="s">
        <v>25</v>
      </c>
      <c r="S1116" s="2"/>
      <c r="T1116" s="2" t="s">
        <v>861</v>
      </c>
      <c r="U1116" s="398" t="s">
        <v>861</v>
      </c>
      <c r="V1116" s="7">
        <v>0</v>
      </c>
      <c r="W1116" s="7" t="s">
        <v>1334</v>
      </c>
    </row>
    <row r="1117" spans="1:23" x14ac:dyDescent="0.35">
      <c r="A1117" s="2">
        <v>118</v>
      </c>
      <c r="B1117" s="109" t="s">
        <v>27</v>
      </c>
      <c r="C1117" s="110" t="s">
        <v>28</v>
      </c>
      <c r="D1117" s="2">
        <v>6</v>
      </c>
      <c r="E1117" s="51"/>
      <c r="F1117" s="105"/>
      <c r="H1117" s="2"/>
      <c r="I1117" s="2">
        <v>1</v>
      </c>
      <c r="J1117" s="2">
        <v>0</v>
      </c>
      <c r="K1117" s="2">
        <v>0</v>
      </c>
      <c r="L1117" s="2">
        <v>2.52</v>
      </c>
      <c r="M1117" s="2">
        <v>2.895</v>
      </c>
      <c r="N1117" s="244">
        <v>1.40415E-2</v>
      </c>
      <c r="O1117" s="2" t="s">
        <v>18</v>
      </c>
      <c r="P1117" s="2">
        <v>50</v>
      </c>
      <c r="Q1117" s="2">
        <v>0</v>
      </c>
      <c r="R1117" s="2" t="s">
        <v>27</v>
      </c>
      <c r="S1117" s="2"/>
      <c r="T1117" s="2" t="s">
        <v>861</v>
      </c>
      <c r="U1117" s="398" t="s">
        <v>861</v>
      </c>
      <c r="V1117" s="7">
        <v>0</v>
      </c>
      <c r="W1117" s="7" t="s">
        <v>1334</v>
      </c>
    </row>
    <row r="1118" spans="1:23" x14ac:dyDescent="0.35">
      <c r="A1118" s="2">
        <v>118</v>
      </c>
      <c r="B1118" s="109" t="s">
        <v>29</v>
      </c>
      <c r="C1118" s="110" t="s">
        <v>31</v>
      </c>
      <c r="D1118" s="2">
        <v>6</v>
      </c>
      <c r="E1118" s="51"/>
      <c r="F1118" s="105"/>
      <c r="H1118" s="2"/>
      <c r="I1118" s="2">
        <v>1</v>
      </c>
      <c r="J1118" s="2">
        <v>0</v>
      </c>
      <c r="K1118" s="2">
        <v>0</v>
      </c>
      <c r="L1118" s="2">
        <v>2.39</v>
      </c>
      <c r="M1118" s="2">
        <v>2.625</v>
      </c>
      <c r="N1118" s="244">
        <v>1.40415E-2</v>
      </c>
      <c r="O1118" s="2" t="s">
        <v>18</v>
      </c>
      <c r="P1118" s="2">
        <v>50</v>
      </c>
      <c r="Q1118" s="2">
        <v>0</v>
      </c>
      <c r="R1118" s="2" t="s">
        <v>29</v>
      </c>
      <c r="S1118" s="2"/>
      <c r="T1118" s="2" t="s">
        <v>861</v>
      </c>
      <c r="U1118" s="398" t="s">
        <v>861</v>
      </c>
      <c r="V1118" s="7">
        <v>0</v>
      </c>
      <c r="W1118" s="7" t="s">
        <v>1334</v>
      </c>
    </row>
    <row r="1119" spans="1:23" x14ac:dyDescent="0.35">
      <c r="A1119" s="2">
        <v>118</v>
      </c>
      <c r="B1119" s="109" t="s">
        <v>32</v>
      </c>
      <c r="C1119" s="110" t="s">
        <v>33</v>
      </c>
      <c r="D1119" s="2">
        <v>6</v>
      </c>
      <c r="E1119" s="51"/>
      <c r="F1119" s="105"/>
      <c r="H1119" s="2"/>
      <c r="I1119" s="2">
        <v>1</v>
      </c>
      <c r="J1119" s="2">
        <v>0</v>
      </c>
      <c r="K1119" s="2">
        <v>0</v>
      </c>
      <c r="L1119" s="2">
        <v>2.39</v>
      </c>
      <c r="M1119" s="2">
        <v>2.625</v>
      </c>
      <c r="N1119" s="244">
        <v>1.40415E-2</v>
      </c>
      <c r="O1119" s="2" t="s">
        <v>18</v>
      </c>
      <c r="P1119" s="2">
        <v>50</v>
      </c>
      <c r="Q1119" s="2">
        <v>0</v>
      </c>
      <c r="R1119" s="2" t="s">
        <v>32</v>
      </c>
      <c r="S1119" s="2"/>
      <c r="T1119" s="2" t="s">
        <v>861</v>
      </c>
      <c r="U1119" s="398" t="s">
        <v>861</v>
      </c>
      <c r="V1119" s="7">
        <v>0</v>
      </c>
      <c r="W1119" s="7" t="s">
        <v>1334</v>
      </c>
    </row>
    <row r="1120" spans="1:23" x14ac:dyDescent="0.35">
      <c r="A1120" s="2">
        <v>118</v>
      </c>
      <c r="B1120" s="109" t="s">
        <v>34</v>
      </c>
      <c r="C1120" s="110" t="s">
        <v>35</v>
      </c>
      <c r="D1120" s="2">
        <v>6</v>
      </c>
      <c r="E1120" s="51"/>
      <c r="F1120" s="105"/>
      <c r="H1120" s="2"/>
      <c r="I1120" s="2">
        <v>1</v>
      </c>
      <c r="J1120" s="2">
        <v>0</v>
      </c>
      <c r="K1120" s="2">
        <v>0</v>
      </c>
      <c r="L1120" s="2">
        <v>2.39</v>
      </c>
      <c r="M1120" s="2">
        <v>2.625</v>
      </c>
      <c r="N1120" s="244">
        <v>1.40415E-2</v>
      </c>
      <c r="O1120" s="2" t="s">
        <v>18</v>
      </c>
      <c r="P1120" s="2">
        <v>50</v>
      </c>
      <c r="Q1120" s="2">
        <v>0</v>
      </c>
      <c r="R1120" s="2" t="s">
        <v>34</v>
      </c>
      <c r="S1120" s="2"/>
      <c r="T1120" s="2" t="s">
        <v>861</v>
      </c>
      <c r="U1120" s="398" t="s">
        <v>861</v>
      </c>
      <c r="V1120" s="7">
        <v>0</v>
      </c>
      <c r="W1120" s="7" t="s">
        <v>1334</v>
      </c>
    </row>
    <row r="1121" spans="1:23" x14ac:dyDescent="0.35">
      <c r="A1121" s="2">
        <v>118</v>
      </c>
      <c r="B1121" s="109" t="s">
        <v>36</v>
      </c>
      <c r="C1121" s="110" t="s">
        <v>37</v>
      </c>
      <c r="D1121" s="2">
        <v>6</v>
      </c>
      <c r="E1121" s="51"/>
      <c r="F1121" s="105"/>
      <c r="H1121" s="2"/>
      <c r="I1121" s="2">
        <v>1</v>
      </c>
      <c r="J1121" s="2">
        <v>0</v>
      </c>
      <c r="K1121" s="2">
        <v>0</v>
      </c>
      <c r="L1121" s="2">
        <v>2.39</v>
      </c>
      <c r="M1121" s="2">
        <v>2.625</v>
      </c>
      <c r="N1121" s="244">
        <v>1.40415E-2</v>
      </c>
      <c r="O1121" s="2" t="s">
        <v>18</v>
      </c>
      <c r="P1121" s="2">
        <v>50</v>
      </c>
      <c r="Q1121" s="2">
        <v>0</v>
      </c>
      <c r="R1121" s="2" t="s">
        <v>36</v>
      </c>
      <c r="S1121" s="2"/>
      <c r="T1121" s="2" t="s">
        <v>861</v>
      </c>
      <c r="U1121" s="398" t="s">
        <v>861</v>
      </c>
      <c r="V1121" s="7">
        <v>0</v>
      </c>
      <c r="W1121" s="7" t="s">
        <v>1334</v>
      </c>
    </row>
    <row r="1122" spans="1:23" x14ac:dyDescent="0.35">
      <c r="A1122" s="2">
        <v>118</v>
      </c>
      <c r="B1122" s="109" t="s">
        <v>1061</v>
      </c>
      <c r="C1122" s="110" t="s">
        <v>1208</v>
      </c>
      <c r="D1122" s="2">
        <v>-4</v>
      </c>
      <c r="E1122" s="51"/>
      <c r="F1122" s="105"/>
      <c r="H1122" s="2"/>
      <c r="I1122" s="2">
        <v>-1</v>
      </c>
      <c r="J1122" s="2">
        <v>0</v>
      </c>
      <c r="K1122" s="2">
        <v>0</v>
      </c>
      <c r="L1122" s="2">
        <v>-0.72062499999999996</v>
      </c>
      <c r="M1122" s="2">
        <v>-0.75624999999999998</v>
      </c>
      <c r="N1122" s="244">
        <v>-1.6256875E-3</v>
      </c>
      <c r="O1122" s="2" t="s">
        <v>934</v>
      </c>
      <c r="P1122" s="2">
        <v>50</v>
      </c>
      <c r="Q1122" s="2" t="s">
        <v>55</v>
      </c>
      <c r="R1122" s="2" t="s">
        <v>54</v>
      </c>
      <c r="S1122" s="2"/>
      <c r="T1122" s="2" t="s">
        <v>861</v>
      </c>
      <c r="U1122" s="398" t="s">
        <v>861</v>
      </c>
      <c r="V1122" s="7">
        <v>0</v>
      </c>
      <c r="W1122" s="7" t="s">
        <v>1334</v>
      </c>
    </row>
    <row r="1123" spans="1:23" x14ac:dyDescent="0.35">
      <c r="A1123" s="2">
        <v>118</v>
      </c>
      <c r="B1123" s="109" t="s">
        <v>160</v>
      </c>
      <c r="C1123" s="110" t="s">
        <v>161</v>
      </c>
      <c r="D1123" s="2">
        <v>-4</v>
      </c>
      <c r="E1123" s="51"/>
      <c r="F1123" s="105"/>
      <c r="H1123" s="2"/>
      <c r="I1123" s="2">
        <v>-1</v>
      </c>
      <c r="J1123" s="2">
        <v>0</v>
      </c>
      <c r="K1123" s="2">
        <v>0</v>
      </c>
      <c r="L1123" s="2">
        <v>-0.62333333333333329</v>
      </c>
      <c r="M1123" s="2">
        <v>-0.64166666666666661</v>
      </c>
      <c r="N1123" s="244">
        <v>-2.8372499999999999E-3</v>
      </c>
      <c r="O1123" s="2" t="s">
        <v>150</v>
      </c>
      <c r="P1123" s="2">
        <v>175</v>
      </c>
      <c r="Q1123" s="2" t="s">
        <v>151</v>
      </c>
      <c r="R1123" s="2" t="s">
        <v>160</v>
      </c>
      <c r="S1123" s="2"/>
      <c r="T1123" s="2" t="s">
        <v>861</v>
      </c>
      <c r="U1123" s="398" t="s">
        <v>861</v>
      </c>
      <c r="V1123" s="7">
        <v>0</v>
      </c>
      <c r="W1123" s="7" t="s">
        <v>1334</v>
      </c>
    </row>
    <row r="1124" spans="1:23" x14ac:dyDescent="0.35">
      <c r="A1124" s="2">
        <v>118</v>
      </c>
      <c r="B1124" s="109" t="s">
        <v>725</v>
      </c>
      <c r="C1124" s="110" t="s">
        <v>726</v>
      </c>
      <c r="D1124" s="2">
        <v>-4</v>
      </c>
      <c r="E1124" s="51"/>
      <c r="F1124" s="105"/>
      <c r="H1124" s="2"/>
      <c r="I1124" s="2" t="s">
        <v>861</v>
      </c>
      <c r="J1124" s="2" t="s">
        <v>861</v>
      </c>
      <c r="K1124" s="2" t="s">
        <v>861</v>
      </c>
      <c r="L1124" s="2" t="s">
        <v>861</v>
      </c>
      <c r="M1124" s="2" t="s">
        <v>861</v>
      </c>
      <c r="N1124" s="244" t="s">
        <v>861</v>
      </c>
      <c r="O1124" s="2" t="s">
        <v>1055</v>
      </c>
      <c r="P1124" s="2">
        <v>50</v>
      </c>
      <c r="Q1124" s="2" t="s">
        <v>1154</v>
      </c>
      <c r="R1124" s="2" t="s">
        <v>725</v>
      </c>
      <c r="S1124" s="2"/>
      <c r="T1124" s="2" t="s">
        <v>861</v>
      </c>
      <c r="U1124" s="398" t="s">
        <v>861</v>
      </c>
      <c r="V1124" s="7">
        <v>0</v>
      </c>
      <c r="W1124" s="7" t="s">
        <v>1334</v>
      </c>
    </row>
    <row r="1125" spans="1:23" x14ac:dyDescent="0.35">
      <c r="A1125" s="2">
        <v>118</v>
      </c>
      <c r="B1125" s="109" t="s">
        <v>751</v>
      </c>
      <c r="C1125" s="110" t="s">
        <v>752</v>
      </c>
      <c r="D1125" s="2">
        <v>-4</v>
      </c>
      <c r="E1125" s="51"/>
      <c r="F1125" s="105"/>
      <c r="H1125" s="2"/>
      <c r="I1125" s="2" t="s">
        <v>861</v>
      </c>
      <c r="J1125" s="2" t="s">
        <v>861</v>
      </c>
      <c r="K1125" s="2" t="s">
        <v>861</v>
      </c>
      <c r="L1125" s="2" t="s">
        <v>861</v>
      </c>
      <c r="M1125" s="2" t="s">
        <v>861</v>
      </c>
      <c r="N1125" s="244" t="s">
        <v>861</v>
      </c>
      <c r="O1125" s="2" t="s">
        <v>1055</v>
      </c>
      <c r="P1125" s="2">
        <v>50</v>
      </c>
      <c r="Q1125" s="2" t="s">
        <v>1155</v>
      </c>
      <c r="R1125" s="2" t="s">
        <v>751</v>
      </c>
      <c r="S1125" s="2"/>
      <c r="T1125" s="2" t="s">
        <v>861</v>
      </c>
      <c r="U1125" s="398" t="s">
        <v>861</v>
      </c>
      <c r="V1125" s="7">
        <v>0</v>
      </c>
      <c r="W1125" s="7" t="s">
        <v>1334</v>
      </c>
    </row>
    <row r="1126" spans="1:23" x14ac:dyDescent="0.35">
      <c r="A1126" s="2">
        <v>118</v>
      </c>
      <c r="B1126" s="109" t="s">
        <v>1667</v>
      </c>
      <c r="C1126" s="110" t="s">
        <v>1035</v>
      </c>
      <c r="D1126" s="2">
        <v>-0.33333333333333331</v>
      </c>
      <c r="E1126" s="51"/>
      <c r="F1126" s="105"/>
      <c r="H1126" s="2"/>
      <c r="I1126" s="2" t="s">
        <v>861</v>
      </c>
      <c r="J1126" s="2" t="s">
        <v>861</v>
      </c>
      <c r="K1126" s="2" t="s">
        <v>861</v>
      </c>
      <c r="L1126" s="2" t="s">
        <v>861</v>
      </c>
      <c r="M1126" s="2" t="s">
        <v>861</v>
      </c>
      <c r="N1126" s="244" t="s">
        <v>861</v>
      </c>
      <c r="O1126" s="2" t="s">
        <v>1055</v>
      </c>
      <c r="P1126" s="2">
        <v>0</v>
      </c>
      <c r="Q1126" s="2" t="s">
        <v>1154</v>
      </c>
      <c r="R1126" s="2" t="s">
        <v>1037</v>
      </c>
      <c r="S1126" s="2"/>
      <c r="T1126" s="2" t="s">
        <v>861</v>
      </c>
      <c r="U1126" s="398" t="s">
        <v>861</v>
      </c>
      <c r="V1126" s="7">
        <v>0</v>
      </c>
      <c r="W1126" s="7" t="s">
        <v>1334</v>
      </c>
    </row>
    <row r="1127" spans="1:23" x14ac:dyDescent="0.35">
      <c r="A1127" s="2">
        <v>118</v>
      </c>
      <c r="B1127" s="109" t="s">
        <v>1201</v>
      </c>
      <c r="C1127" s="110" t="s">
        <v>1209</v>
      </c>
      <c r="D1127" s="2">
        <v>-6</v>
      </c>
      <c r="E1127" s="51"/>
      <c r="F1127" s="105"/>
      <c r="H1127" s="2"/>
      <c r="I1127" s="2">
        <v>-1</v>
      </c>
      <c r="J1127" s="2">
        <v>0</v>
      </c>
      <c r="K1127" s="2">
        <v>0</v>
      </c>
      <c r="L1127" s="2">
        <v>-1.0809374999999999</v>
      </c>
      <c r="M1127" s="2">
        <v>-1.1343749999999999</v>
      </c>
      <c r="N1127" s="244">
        <v>-2.4385312500000002E-3</v>
      </c>
      <c r="O1127" s="2" t="s">
        <v>934</v>
      </c>
      <c r="P1127" s="2">
        <v>50</v>
      </c>
      <c r="Q1127" s="2" t="s">
        <v>55</v>
      </c>
      <c r="R1127" s="2" t="s">
        <v>54</v>
      </c>
      <c r="S1127" s="2"/>
      <c r="T1127" s="2" t="s">
        <v>861</v>
      </c>
      <c r="U1127" s="398" t="s">
        <v>861</v>
      </c>
      <c r="V1127" s="7">
        <v>0</v>
      </c>
      <c r="W1127" s="7" t="s">
        <v>1334</v>
      </c>
    </row>
    <row r="1128" spans="1:23" x14ac:dyDescent="0.35">
      <c r="A1128" s="2">
        <v>118</v>
      </c>
      <c r="B1128" s="109" t="s">
        <v>162</v>
      </c>
      <c r="C1128" s="110" t="s">
        <v>163</v>
      </c>
      <c r="D1128" s="2">
        <v>-6</v>
      </c>
      <c r="E1128" s="51"/>
      <c r="F1128" s="105"/>
      <c r="H1128" s="2"/>
      <c r="I1128" s="2">
        <v>-1</v>
      </c>
      <c r="J1128" s="2">
        <v>0</v>
      </c>
      <c r="K1128" s="2">
        <v>0</v>
      </c>
      <c r="L1128" s="2">
        <v>-0.93500000000000005</v>
      </c>
      <c r="M1128" s="2">
        <v>-0.96250000000000002</v>
      </c>
      <c r="N1128" s="244">
        <v>-4.2558750000000001E-3</v>
      </c>
      <c r="O1128" s="2" t="s">
        <v>150</v>
      </c>
      <c r="P1128" s="2">
        <v>175</v>
      </c>
      <c r="Q1128" s="2" t="s">
        <v>151</v>
      </c>
      <c r="R1128" s="2" t="s">
        <v>162</v>
      </c>
      <c r="S1128" s="2"/>
      <c r="T1128" s="2" t="s">
        <v>861</v>
      </c>
      <c r="U1128" s="398" t="s">
        <v>861</v>
      </c>
      <c r="V1128" s="7">
        <v>0</v>
      </c>
      <c r="W1128" s="7" t="s">
        <v>1334</v>
      </c>
    </row>
    <row r="1129" spans="1:23" x14ac:dyDescent="0.35">
      <c r="A1129" s="2">
        <v>118</v>
      </c>
      <c r="B1129" s="109" t="s">
        <v>727</v>
      </c>
      <c r="C1129" s="110" t="s">
        <v>728</v>
      </c>
      <c r="D1129" s="2">
        <v>-6</v>
      </c>
      <c r="E1129" s="51"/>
      <c r="F1129" s="105"/>
      <c r="H1129" s="2"/>
      <c r="I1129" s="2" t="s">
        <v>861</v>
      </c>
      <c r="J1129" s="2" t="s">
        <v>861</v>
      </c>
      <c r="K1129" s="2" t="s">
        <v>861</v>
      </c>
      <c r="L1129" s="2" t="s">
        <v>861</v>
      </c>
      <c r="M1129" s="2" t="s">
        <v>861</v>
      </c>
      <c r="N1129" s="244" t="s">
        <v>861</v>
      </c>
      <c r="O1129" s="2" t="s">
        <v>1055</v>
      </c>
      <c r="P1129" s="2">
        <v>50</v>
      </c>
      <c r="Q1129" s="2" t="s">
        <v>1154</v>
      </c>
      <c r="R1129" s="2" t="s">
        <v>727</v>
      </c>
      <c r="S1129" s="2"/>
      <c r="T1129" s="2" t="s">
        <v>861</v>
      </c>
      <c r="U1129" s="398" t="s">
        <v>861</v>
      </c>
      <c r="V1129" s="7">
        <v>0</v>
      </c>
      <c r="W1129" s="7" t="s">
        <v>1334</v>
      </c>
    </row>
    <row r="1130" spans="1:23" x14ac:dyDescent="0.35">
      <c r="A1130" s="2">
        <v>118</v>
      </c>
      <c r="B1130" s="109" t="s">
        <v>751</v>
      </c>
      <c r="C1130" s="110" t="s">
        <v>752</v>
      </c>
      <c r="D1130" s="2">
        <v>-6</v>
      </c>
      <c r="E1130" s="51"/>
      <c r="F1130" s="105"/>
      <c r="H1130" s="2"/>
      <c r="I1130" s="2" t="s">
        <v>861</v>
      </c>
      <c r="J1130" s="2" t="s">
        <v>861</v>
      </c>
      <c r="K1130" s="2" t="s">
        <v>861</v>
      </c>
      <c r="L1130" s="2" t="s">
        <v>861</v>
      </c>
      <c r="M1130" s="2" t="s">
        <v>861</v>
      </c>
      <c r="N1130" s="244" t="s">
        <v>861</v>
      </c>
      <c r="O1130" s="2" t="s">
        <v>1055</v>
      </c>
      <c r="P1130" s="2">
        <v>50</v>
      </c>
      <c r="Q1130" s="2" t="s">
        <v>1155</v>
      </c>
      <c r="R1130" s="2" t="s">
        <v>751</v>
      </c>
      <c r="S1130" s="2"/>
      <c r="T1130" s="2" t="s">
        <v>861</v>
      </c>
      <c r="U1130" s="398" t="s">
        <v>861</v>
      </c>
      <c r="V1130" s="7">
        <v>0</v>
      </c>
      <c r="W1130" s="7" t="s">
        <v>1334</v>
      </c>
    </row>
    <row r="1131" spans="1:23" x14ac:dyDescent="0.35">
      <c r="A1131" s="2">
        <v>118</v>
      </c>
      <c r="B1131" s="109" t="s">
        <v>1667</v>
      </c>
      <c r="C1131" s="110" t="s">
        <v>1035</v>
      </c>
      <c r="D1131" s="2">
        <v>0</v>
      </c>
      <c r="E1131" s="51"/>
      <c r="F1131" s="105"/>
      <c r="H1131" s="2"/>
      <c r="I1131" s="2" t="s">
        <v>861</v>
      </c>
      <c r="J1131" s="2" t="s">
        <v>861</v>
      </c>
      <c r="K1131" s="2" t="s">
        <v>861</v>
      </c>
      <c r="L1131" s="2" t="s">
        <v>861</v>
      </c>
      <c r="M1131" s="2" t="s">
        <v>861</v>
      </c>
      <c r="N1131" s="244" t="s">
        <v>861</v>
      </c>
      <c r="O1131" s="2" t="s">
        <v>1055</v>
      </c>
      <c r="P1131" s="2">
        <v>0</v>
      </c>
      <c r="Q1131" s="2" t="s">
        <v>1154</v>
      </c>
      <c r="R1131" s="2" t="s">
        <v>1037</v>
      </c>
      <c r="S1131" s="2"/>
      <c r="T1131" s="2" t="s">
        <v>861</v>
      </c>
      <c r="U1131" s="398" t="s">
        <v>861</v>
      </c>
      <c r="V1131" s="7">
        <v>0</v>
      </c>
      <c r="W1131" s="7" t="s">
        <v>1334</v>
      </c>
    </row>
    <row r="1132" spans="1:23" x14ac:dyDescent="0.35">
      <c r="A1132" s="2">
        <v>118</v>
      </c>
      <c r="B1132" s="109" t="s">
        <v>1202</v>
      </c>
      <c r="C1132" s="110" t="s">
        <v>1210</v>
      </c>
      <c r="D1132" s="2">
        <v>-6</v>
      </c>
      <c r="E1132" s="51"/>
      <c r="F1132" s="105"/>
      <c r="H1132" s="2"/>
      <c r="I1132" s="2">
        <v>-1</v>
      </c>
      <c r="J1132" s="2">
        <v>0</v>
      </c>
      <c r="K1132" s="2">
        <v>0</v>
      </c>
      <c r="L1132" s="2">
        <v>-1.0809374999999999</v>
      </c>
      <c r="M1132" s="2">
        <v>-1.1343749999999999</v>
      </c>
      <c r="N1132" s="244">
        <v>-2.4385312500000002E-3</v>
      </c>
      <c r="O1132" s="2" t="s">
        <v>934</v>
      </c>
      <c r="P1132" s="2">
        <v>50</v>
      </c>
      <c r="Q1132" s="2" t="s">
        <v>55</v>
      </c>
      <c r="R1132" s="2" t="s">
        <v>54</v>
      </c>
      <c r="S1132" s="2"/>
      <c r="T1132" s="2" t="s">
        <v>861</v>
      </c>
      <c r="U1132" s="398" t="s">
        <v>861</v>
      </c>
      <c r="V1132" s="7">
        <v>0</v>
      </c>
      <c r="W1132" s="7" t="s">
        <v>1334</v>
      </c>
    </row>
    <row r="1133" spans="1:23" x14ac:dyDescent="0.35">
      <c r="A1133" s="2">
        <v>118</v>
      </c>
      <c r="B1133" s="109" t="s">
        <v>164</v>
      </c>
      <c r="C1133" s="110" t="s">
        <v>165</v>
      </c>
      <c r="D1133" s="2">
        <v>-6</v>
      </c>
      <c r="E1133" s="51"/>
      <c r="F1133" s="105"/>
      <c r="H1133" s="2"/>
      <c r="I1133" s="2">
        <v>-1</v>
      </c>
      <c r="J1133" s="2">
        <v>0</v>
      </c>
      <c r="K1133" s="2">
        <v>0</v>
      </c>
      <c r="L1133" s="2">
        <v>-0.93500000000000005</v>
      </c>
      <c r="M1133" s="2">
        <v>-0.96250000000000002</v>
      </c>
      <c r="N1133" s="244">
        <v>-4.2558750000000001E-3</v>
      </c>
      <c r="O1133" s="2" t="s">
        <v>150</v>
      </c>
      <c r="P1133" s="2">
        <v>175</v>
      </c>
      <c r="Q1133" s="2" t="s">
        <v>151</v>
      </c>
      <c r="R1133" s="2" t="s">
        <v>164</v>
      </c>
      <c r="S1133" s="2"/>
      <c r="T1133" s="2" t="s">
        <v>861</v>
      </c>
      <c r="U1133" s="398" t="s">
        <v>861</v>
      </c>
      <c r="V1133" s="7">
        <v>0</v>
      </c>
      <c r="W1133" s="7" t="s">
        <v>1334</v>
      </c>
    </row>
    <row r="1134" spans="1:23" x14ac:dyDescent="0.35">
      <c r="A1134" s="2">
        <v>118</v>
      </c>
      <c r="B1134" s="109" t="s">
        <v>729</v>
      </c>
      <c r="C1134" s="110" t="s">
        <v>730</v>
      </c>
      <c r="D1134" s="2">
        <v>-6</v>
      </c>
      <c r="E1134" s="51"/>
      <c r="F1134" s="105"/>
      <c r="H1134" s="2"/>
      <c r="I1134" s="2" t="s">
        <v>861</v>
      </c>
      <c r="J1134" s="2" t="s">
        <v>861</v>
      </c>
      <c r="K1134" s="2" t="s">
        <v>861</v>
      </c>
      <c r="L1134" s="2" t="s">
        <v>861</v>
      </c>
      <c r="M1134" s="2" t="s">
        <v>861</v>
      </c>
      <c r="N1134" s="244" t="s">
        <v>861</v>
      </c>
      <c r="O1134" s="2" t="s">
        <v>1055</v>
      </c>
      <c r="P1134" s="2">
        <v>50</v>
      </c>
      <c r="Q1134" s="2" t="s">
        <v>1154</v>
      </c>
      <c r="R1134" s="2" t="s">
        <v>729</v>
      </c>
      <c r="S1134" s="2"/>
      <c r="T1134" s="2" t="s">
        <v>861</v>
      </c>
      <c r="U1134" s="398" t="s">
        <v>861</v>
      </c>
      <c r="V1134" s="7">
        <v>0</v>
      </c>
      <c r="W1134" s="7" t="s">
        <v>1334</v>
      </c>
    </row>
    <row r="1135" spans="1:23" x14ac:dyDescent="0.35">
      <c r="A1135" s="2">
        <v>118</v>
      </c>
      <c r="B1135" s="109" t="s">
        <v>751</v>
      </c>
      <c r="C1135" s="110" t="s">
        <v>752</v>
      </c>
      <c r="D1135" s="2">
        <v>-6</v>
      </c>
      <c r="E1135" s="51"/>
      <c r="F1135" s="105"/>
      <c r="H1135" s="2"/>
      <c r="I1135" s="2" t="s">
        <v>861</v>
      </c>
      <c r="J1135" s="2" t="s">
        <v>861</v>
      </c>
      <c r="K1135" s="2" t="s">
        <v>861</v>
      </c>
      <c r="L1135" s="2" t="s">
        <v>861</v>
      </c>
      <c r="M1135" s="2" t="s">
        <v>861</v>
      </c>
      <c r="N1135" s="244" t="s">
        <v>861</v>
      </c>
      <c r="O1135" s="2" t="s">
        <v>1055</v>
      </c>
      <c r="P1135" s="2">
        <v>50</v>
      </c>
      <c r="Q1135" s="2" t="s">
        <v>1155</v>
      </c>
      <c r="R1135" s="2" t="s">
        <v>751</v>
      </c>
      <c r="S1135" s="2"/>
      <c r="T1135" s="2" t="s">
        <v>861</v>
      </c>
      <c r="U1135" s="398" t="s">
        <v>861</v>
      </c>
      <c r="V1135" s="7">
        <v>0</v>
      </c>
      <c r="W1135" s="7" t="s">
        <v>1334</v>
      </c>
    </row>
    <row r="1136" spans="1:23" x14ac:dyDescent="0.35">
      <c r="A1136" s="2">
        <v>118</v>
      </c>
      <c r="B1136" s="109" t="s">
        <v>1667</v>
      </c>
      <c r="C1136" s="110" t="s">
        <v>1035</v>
      </c>
      <c r="D1136" s="2">
        <v>0</v>
      </c>
      <c r="E1136" s="51"/>
      <c r="F1136" s="105"/>
      <c r="H1136" s="2"/>
      <c r="I1136" s="2" t="s">
        <v>861</v>
      </c>
      <c r="J1136" s="2" t="s">
        <v>861</v>
      </c>
      <c r="K1136" s="2" t="s">
        <v>861</v>
      </c>
      <c r="L1136" s="2" t="s">
        <v>861</v>
      </c>
      <c r="M1136" s="2" t="s">
        <v>861</v>
      </c>
      <c r="N1136" s="244" t="s">
        <v>861</v>
      </c>
      <c r="O1136" s="2" t="s">
        <v>1055</v>
      </c>
      <c r="P1136" s="2">
        <v>0</v>
      </c>
      <c r="Q1136" s="2" t="s">
        <v>1154</v>
      </c>
      <c r="R1136" s="2" t="s">
        <v>1037</v>
      </c>
      <c r="S1136" s="2"/>
      <c r="T1136" s="2" t="s">
        <v>861</v>
      </c>
      <c r="U1136" s="398" t="s">
        <v>861</v>
      </c>
      <c r="V1136" s="7">
        <v>0</v>
      </c>
      <c r="W1136" s="7" t="s">
        <v>1334</v>
      </c>
    </row>
    <row r="1137" spans="1:23" x14ac:dyDescent="0.35">
      <c r="A1137" s="2">
        <v>118</v>
      </c>
      <c r="B1137" s="109" t="s">
        <v>1203</v>
      </c>
      <c r="C1137" s="110" t="s">
        <v>1211</v>
      </c>
      <c r="D1137" s="2">
        <v>-6</v>
      </c>
      <c r="E1137" s="51"/>
      <c r="F1137" s="105"/>
      <c r="H1137" s="2"/>
      <c r="I1137" s="2">
        <v>-1</v>
      </c>
      <c r="J1137" s="2">
        <v>0</v>
      </c>
      <c r="K1137" s="2">
        <v>0</v>
      </c>
      <c r="L1137" s="2">
        <v>-1.0809374999999999</v>
      </c>
      <c r="M1137" s="2">
        <v>-1.1343749999999999</v>
      </c>
      <c r="N1137" s="244">
        <v>-2.4385312500000002E-3</v>
      </c>
      <c r="O1137" s="2" t="s">
        <v>934</v>
      </c>
      <c r="P1137" s="2">
        <v>50</v>
      </c>
      <c r="Q1137" s="2" t="s">
        <v>55</v>
      </c>
      <c r="R1137" s="2" t="s">
        <v>54</v>
      </c>
      <c r="S1137" s="2"/>
      <c r="T1137" s="2" t="s">
        <v>861</v>
      </c>
      <c r="U1137" s="398" t="s">
        <v>861</v>
      </c>
      <c r="V1137" s="7">
        <v>0</v>
      </c>
      <c r="W1137" s="7" t="s">
        <v>1334</v>
      </c>
    </row>
    <row r="1138" spans="1:23" x14ac:dyDescent="0.35">
      <c r="A1138" s="2">
        <v>118</v>
      </c>
      <c r="B1138" s="109" t="s">
        <v>166</v>
      </c>
      <c r="C1138" s="110" t="s">
        <v>167</v>
      </c>
      <c r="D1138" s="2">
        <v>-6</v>
      </c>
      <c r="E1138" s="51"/>
      <c r="F1138" s="105"/>
      <c r="H1138" s="2"/>
      <c r="I1138" s="2">
        <v>-1</v>
      </c>
      <c r="J1138" s="2">
        <v>0</v>
      </c>
      <c r="K1138" s="2">
        <v>0</v>
      </c>
      <c r="L1138" s="2">
        <v>-0.93500000000000005</v>
      </c>
      <c r="M1138" s="2">
        <v>-0.96250000000000002</v>
      </c>
      <c r="N1138" s="244">
        <v>-4.2558750000000001E-3</v>
      </c>
      <c r="O1138" s="2" t="s">
        <v>150</v>
      </c>
      <c r="P1138" s="2">
        <v>175</v>
      </c>
      <c r="Q1138" s="2" t="s">
        <v>151</v>
      </c>
      <c r="R1138" s="2" t="s">
        <v>166</v>
      </c>
      <c r="S1138" s="2"/>
      <c r="T1138" s="2" t="s">
        <v>861</v>
      </c>
      <c r="U1138" s="398" t="s">
        <v>861</v>
      </c>
      <c r="V1138" s="7">
        <v>0</v>
      </c>
      <c r="W1138" s="7" t="s">
        <v>1334</v>
      </c>
    </row>
    <row r="1139" spans="1:23" x14ac:dyDescent="0.35">
      <c r="A1139" s="2">
        <v>118</v>
      </c>
      <c r="B1139" s="109" t="s">
        <v>731</v>
      </c>
      <c r="C1139" s="110" t="s">
        <v>732</v>
      </c>
      <c r="D1139" s="2">
        <v>-6</v>
      </c>
      <c r="E1139" s="51"/>
      <c r="F1139" s="105"/>
      <c r="H1139" s="2"/>
      <c r="I1139" s="2" t="s">
        <v>861</v>
      </c>
      <c r="J1139" s="2" t="s">
        <v>861</v>
      </c>
      <c r="K1139" s="2" t="s">
        <v>861</v>
      </c>
      <c r="L1139" s="2" t="s">
        <v>861</v>
      </c>
      <c r="M1139" s="2" t="s">
        <v>861</v>
      </c>
      <c r="N1139" s="244" t="s">
        <v>861</v>
      </c>
      <c r="O1139" s="2" t="s">
        <v>1055</v>
      </c>
      <c r="P1139" s="2">
        <v>50</v>
      </c>
      <c r="Q1139" s="2" t="s">
        <v>1154</v>
      </c>
      <c r="R1139" s="2" t="s">
        <v>731</v>
      </c>
      <c r="S1139" s="2"/>
      <c r="T1139" s="2" t="s">
        <v>861</v>
      </c>
      <c r="U1139" s="398" t="s">
        <v>861</v>
      </c>
      <c r="V1139" s="7">
        <v>0</v>
      </c>
      <c r="W1139" s="7" t="s">
        <v>1334</v>
      </c>
    </row>
    <row r="1140" spans="1:23" x14ac:dyDescent="0.35">
      <c r="A1140" s="2">
        <v>118</v>
      </c>
      <c r="B1140" s="109" t="s">
        <v>751</v>
      </c>
      <c r="C1140" s="110" t="s">
        <v>752</v>
      </c>
      <c r="D1140" s="2">
        <v>-6</v>
      </c>
      <c r="E1140" s="51"/>
      <c r="F1140" s="105"/>
      <c r="H1140" s="2"/>
      <c r="I1140" s="2" t="s">
        <v>861</v>
      </c>
      <c r="J1140" s="2" t="s">
        <v>861</v>
      </c>
      <c r="K1140" s="2" t="s">
        <v>861</v>
      </c>
      <c r="L1140" s="2" t="s">
        <v>861</v>
      </c>
      <c r="M1140" s="2" t="s">
        <v>861</v>
      </c>
      <c r="N1140" s="244" t="s">
        <v>861</v>
      </c>
      <c r="O1140" s="2" t="s">
        <v>1055</v>
      </c>
      <c r="P1140" s="2">
        <v>50</v>
      </c>
      <c r="Q1140" s="2" t="s">
        <v>1155</v>
      </c>
      <c r="R1140" s="2" t="s">
        <v>751</v>
      </c>
      <c r="S1140" s="2"/>
      <c r="T1140" s="2" t="s">
        <v>861</v>
      </c>
      <c r="U1140" s="398" t="s">
        <v>861</v>
      </c>
      <c r="V1140" s="7">
        <v>0</v>
      </c>
      <c r="W1140" s="7" t="s">
        <v>1334</v>
      </c>
    </row>
    <row r="1141" spans="1:23" x14ac:dyDescent="0.35">
      <c r="A1141" s="2">
        <v>118</v>
      </c>
      <c r="B1141" s="109" t="s">
        <v>1667</v>
      </c>
      <c r="C1141" s="110" t="s">
        <v>1035</v>
      </c>
      <c r="D1141" s="2">
        <v>0</v>
      </c>
      <c r="E1141" s="51"/>
      <c r="F1141" s="105"/>
      <c r="H1141" s="2"/>
      <c r="I1141" s="2" t="s">
        <v>861</v>
      </c>
      <c r="J1141" s="2" t="s">
        <v>861</v>
      </c>
      <c r="K1141" s="2" t="s">
        <v>861</v>
      </c>
      <c r="L1141" s="2" t="s">
        <v>861</v>
      </c>
      <c r="M1141" s="2" t="s">
        <v>861</v>
      </c>
      <c r="N1141" s="244" t="s">
        <v>861</v>
      </c>
      <c r="O1141" s="2" t="s">
        <v>1055</v>
      </c>
      <c r="P1141" s="2">
        <v>0</v>
      </c>
      <c r="Q1141" s="2" t="s">
        <v>1154</v>
      </c>
      <c r="R1141" s="2" t="s">
        <v>1037</v>
      </c>
      <c r="S1141" s="2"/>
      <c r="T1141" s="2" t="s">
        <v>861</v>
      </c>
      <c r="U1141" s="398" t="s">
        <v>861</v>
      </c>
      <c r="V1141" s="7">
        <v>0</v>
      </c>
      <c r="W1141" s="7" t="s">
        <v>1334</v>
      </c>
    </row>
    <row r="1142" spans="1:23" x14ac:dyDescent="0.35">
      <c r="A1142" s="2">
        <v>118</v>
      </c>
      <c r="B1142" s="109" t="s">
        <v>1204</v>
      </c>
      <c r="C1142" s="110" t="s">
        <v>1212</v>
      </c>
      <c r="D1142" s="2">
        <v>-6</v>
      </c>
      <c r="E1142" s="51"/>
      <c r="F1142" s="105"/>
      <c r="H1142" s="2"/>
      <c r="I1142" s="2">
        <v>-1</v>
      </c>
      <c r="J1142" s="2">
        <v>0</v>
      </c>
      <c r="K1142" s="2">
        <v>0</v>
      </c>
      <c r="L1142" s="2">
        <v>-1.0809374999999999</v>
      </c>
      <c r="M1142" s="2">
        <v>-1.1343749999999999</v>
      </c>
      <c r="N1142" s="244">
        <v>-2.4385312500000002E-3</v>
      </c>
      <c r="O1142" s="2" t="s">
        <v>934</v>
      </c>
      <c r="P1142" s="2">
        <v>50</v>
      </c>
      <c r="Q1142" s="2" t="s">
        <v>55</v>
      </c>
      <c r="R1142" s="2" t="s">
        <v>54</v>
      </c>
      <c r="S1142" s="2"/>
      <c r="T1142" s="2" t="s">
        <v>861</v>
      </c>
      <c r="U1142" s="398" t="s">
        <v>861</v>
      </c>
      <c r="V1142" s="7">
        <v>0</v>
      </c>
      <c r="W1142" s="7" t="s">
        <v>1334</v>
      </c>
    </row>
    <row r="1143" spans="1:23" x14ac:dyDescent="0.35">
      <c r="A1143" s="2">
        <v>118</v>
      </c>
      <c r="B1143" s="109" t="s">
        <v>149</v>
      </c>
      <c r="C1143" s="110" t="s">
        <v>152</v>
      </c>
      <c r="D1143" s="2">
        <v>-6</v>
      </c>
      <c r="E1143" s="51"/>
      <c r="F1143" s="105"/>
      <c r="H1143" s="2"/>
      <c r="I1143" s="2">
        <v>-1</v>
      </c>
      <c r="J1143" s="2">
        <v>0</v>
      </c>
      <c r="K1143" s="2">
        <v>0</v>
      </c>
      <c r="L1143" s="2">
        <v>-0.78600000000000003</v>
      </c>
      <c r="M1143" s="2">
        <v>-0.87949999999999995</v>
      </c>
      <c r="N1143" s="244">
        <v>-3.2799999999999999E-3</v>
      </c>
      <c r="O1143" s="2" t="s">
        <v>150</v>
      </c>
      <c r="P1143" s="2">
        <v>150</v>
      </c>
      <c r="Q1143" s="2" t="s">
        <v>151</v>
      </c>
      <c r="R1143" s="2" t="s">
        <v>149</v>
      </c>
      <c r="S1143" s="2"/>
      <c r="T1143" s="2" t="s">
        <v>861</v>
      </c>
      <c r="U1143" s="398" t="s">
        <v>861</v>
      </c>
      <c r="V1143" s="7">
        <v>0</v>
      </c>
      <c r="W1143" s="7" t="s">
        <v>1334</v>
      </c>
    </row>
    <row r="1144" spans="1:23" x14ac:dyDescent="0.35">
      <c r="A1144" s="2">
        <v>118</v>
      </c>
      <c r="B1144" s="109" t="s">
        <v>733</v>
      </c>
      <c r="C1144" s="110" t="s">
        <v>734</v>
      </c>
      <c r="D1144" s="2">
        <v>-6</v>
      </c>
      <c r="E1144" s="51"/>
      <c r="F1144" s="105"/>
      <c r="H1144" s="2"/>
      <c r="I1144" s="2" t="s">
        <v>861</v>
      </c>
      <c r="J1144" s="2" t="s">
        <v>861</v>
      </c>
      <c r="K1144" s="2" t="s">
        <v>861</v>
      </c>
      <c r="L1144" s="2" t="s">
        <v>861</v>
      </c>
      <c r="M1144" s="2" t="s">
        <v>861</v>
      </c>
      <c r="N1144" s="244" t="s">
        <v>861</v>
      </c>
      <c r="O1144" s="2" t="s">
        <v>1055</v>
      </c>
      <c r="P1144" s="2">
        <v>50</v>
      </c>
      <c r="Q1144" s="2" t="s">
        <v>1154</v>
      </c>
      <c r="R1144" s="2" t="s">
        <v>733</v>
      </c>
      <c r="S1144" s="2"/>
      <c r="T1144" s="2" t="s">
        <v>861</v>
      </c>
      <c r="U1144" s="398" t="s">
        <v>861</v>
      </c>
      <c r="V1144" s="7">
        <v>0</v>
      </c>
      <c r="W1144" s="7" t="s">
        <v>1334</v>
      </c>
    </row>
    <row r="1145" spans="1:23" x14ac:dyDescent="0.35">
      <c r="A1145" s="2">
        <v>118</v>
      </c>
      <c r="B1145" s="109" t="s">
        <v>753</v>
      </c>
      <c r="C1145" s="110" t="s">
        <v>754</v>
      </c>
      <c r="D1145" s="2">
        <v>-6</v>
      </c>
      <c r="E1145" s="51"/>
      <c r="F1145" s="105"/>
      <c r="H1145" s="2"/>
      <c r="I1145" s="2" t="s">
        <v>861</v>
      </c>
      <c r="J1145" s="2" t="s">
        <v>861</v>
      </c>
      <c r="K1145" s="2" t="s">
        <v>861</v>
      </c>
      <c r="L1145" s="2" t="s">
        <v>861</v>
      </c>
      <c r="M1145" s="2" t="s">
        <v>861</v>
      </c>
      <c r="N1145" s="244" t="s">
        <v>861</v>
      </c>
      <c r="O1145" s="2" t="s">
        <v>1055</v>
      </c>
      <c r="P1145" s="2">
        <v>50</v>
      </c>
      <c r="Q1145" s="2" t="s">
        <v>1155</v>
      </c>
      <c r="R1145" s="2" t="s">
        <v>753</v>
      </c>
      <c r="S1145" s="2"/>
      <c r="T1145" s="2" t="s">
        <v>861</v>
      </c>
      <c r="U1145" s="398" t="s">
        <v>861</v>
      </c>
      <c r="V1145" s="7">
        <v>0</v>
      </c>
      <c r="W1145" s="7" t="s">
        <v>1334</v>
      </c>
    </row>
    <row r="1146" spans="1:23" x14ac:dyDescent="0.35">
      <c r="A1146" s="2">
        <v>118</v>
      </c>
      <c r="B1146" s="109" t="s">
        <v>1667</v>
      </c>
      <c r="C1146" s="110" t="s">
        <v>1035</v>
      </c>
      <c r="D1146" s="2">
        <v>0</v>
      </c>
      <c r="E1146" s="51"/>
      <c r="F1146" s="105"/>
      <c r="H1146" s="2"/>
      <c r="I1146" s="2" t="s">
        <v>861</v>
      </c>
      <c r="J1146" s="2" t="s">
        <v>861</v>
      </c>
      <c r="K1146" s="2" t="s">
        <v>861</v>
      </c>
      <c r="L1146" s="2" t="s">
        <v>861</v>
      </c>
      <c r="M1146" s="2" t="s">
        <v>861</v>
      </c>
      <c r="N1146" s="244" t="s">
        <v>861</v>
      </c>
      <c r="O1146" s="2" t="s">
        <v>1055</v>
      </c>
      <c r="P1146" s="2">
        <v>0</v>
      </c>
      <c r="Q1146" s="2" t="s">
        <v>1154</v>
      </c>
      <c r="R1146" s="2" t="s">
        <v>1037</v>
      </c>
      <c r="S1146" s="2"/>
      <c r="T1146" s="2" t="s">
        <v>861</v>
      </c>
      <c r="U1146" s="398" t="s">
        <v>861</v>
      </c>
      <c r="V1146" s="7">
        <v>0</v>
      </c>
      <c r="W1146" s="7" t="s">
        <v>1334</v>
      </c>
    </row>
    <row r="1147" spans="1:23" x14ac:dyDescent="0.35">
      <c r="A1147" s="2">
        <v>118</v>
      </c>
      <c r="B1147" s="109" t="s">
        <v>1205</v>
      </c>
      <c r="C1147" s="110" t="s">
        <v>1213</v>
      </c>
      <c r="D1147" s="2">
        <v>-6</v>
      </c>
      <c r="E1147" s="51"/>
      <c r="F1147" s="105"/>
      <c r="H1147" s="2"/>
      <c r="I1147" s="2">
        <v>-1</v>
      </c>
      <c r="J1147" s="2">
        <v>0</v>
      </c>
      <c r="K1147" s="2">
        <v>0</v>
      </c>
      <c r="L1147" s="2">
        <v>-1.0809374999999999</v>
      </c>
      <c r="M1147" s="2">
        <v>-1.1343749999999999</v>
      </c>
      <c r="N1147" s="244">
        <v>-2.4385312500000002E-3</v>
      </c>
      <c r="O1147" s="2" t="s">
        <v>934</v>
      </c>
      <c r="P1147" s="2">
        <v>50</v>
      </c>
      <c r="Q1147" s="2" t="s">
        <v>55</v>
      </c>
      <c r="R1147" s="2" t="s">
        <v>54</v>
      </c>
      <c r="S1147" s="2"/>
      <c r="T1147" s="2" t="s">
        <v>861</v>
      </c>
      <c r="U1147" s="398" t="s">
        <v>861</v>
      </c>
      <c r="V1147" s="7">
        <v>0</v>
      </c>
      <c r="W1147" s="7" t="s">
        <v>1334</v>
      </c>
    </row>
    <row r="1148" spans="1:23" x14ac:dyDescent="0.35">
      <c r="A1148" s="2">
        <v>118</v>
      </c>
      <c r="B1148" s="109" t="s">
        <v>154</v>
      </c>
      <c r="C1148" s="110" t="s">
        <v>155</v>
      </c>
      <c r="D1148" s="2">
        <v>-6</v>
      </c>
      <c r="E1148" s="51"/>
      <c r="F1148" s="105"/>
      <c r="H1148" s="2"/>
      <c r="I1148" s="2">
        <v>-1</v>
      </c>
      <c r="J1148" s="2">
        <v>0</v>
      </c>
      <c r="K1148" s="2">
        <v>0</v>
      </c>
      <c r="L1148" s="2">
        <v>-0.78600000000000003</v>
      </c>
      <c r="M1148" s="2">
        <v>-0.87949999999999995</v>
      </c>
      <c r="N1148" s="244">
        <v>-3.2799999999999999E-3</v>
      </c>
      <c r="O1148" s="2" t="s">
        <v>150</v>
      </c>
      <c r="P1148" s="2">
        <v>150</v>
      </c>
      <c r="Q1148" s="2" t="s">
        <v>151</v>
      </c>
      <c r="R1148" s="2" t="s">
        <v>154</v>
      </c>
      <c r="S1148" s="2"/>
      <c r="T1148" s="2" t="s">
        <v>861</v>
      </c>
      <c r="U1148" s="398" t="s">
        <v>861</v>
      </c>
      <c r="V1148" s="7">
        <v>0</v>
      </c>
      <c r="W1148" s="7" t="s">
        <v>1334</v>
      </c>
    </row>
    <row r="1149" spans="1:23" x14ac:dyDescent="0.35">
      <c r="A1149" s="2">
        <v>118</v>
      </c>
      <c r="B1149" s="109" t="s">
        <v>735</v>
      </c>
      <c r="C1149" s="110" t="s">
        <v>736</v>
      </c>
      <c r="D1149" s="2">
        <v>-6</v>
      </c>
      <c r="E1149" s="51"/>
      <c r="F1149" s="105"/>
      <c r="H1149" s="2"/>
      <c r="I1149" s="2" t="s">
        <v>861</v>
      </c>
      <c r="J1149" s="2" t="s">
        <v>861</v>
      </c>
      <c r="K1149" s="2" t="s">
        <v>861</v>
      </c>
      <c r="L1149" s="2" t="s">
        <v>861</v>
      </c>
      <c r="M1149" s="2" t="s">
        <v>861</v>
      </c>
      <c r="N1149" s="244" t="s">
        <v>861</v>
      </c>
      <c r="O1149" s="2" t="s">
        <v>1055</v>
      </c>
      <c r="P1149" s="2">
        <v>50</v>
      </c>
      <c r="Q1149" s="2" t="s">
        <v>1154</v>
      </c>
      <c r="R1149" s="2" t="s">
        <v>735</v>
      </c>
      <c r="S1149" s="2"/>
      <c r="T1149" s="2" t="s">
        <v>861</v>
      </c>
      <c r="U1149" s="398" t="s">
        <v>861</v>
      </c>
      <c r="V1149" s="7">
        <v>0</v>
      </c>
      <c r="W1149" s="7" t="s">
        <v>1334</v>
      </c>
    </row>
    <row r="1150" spans="1:23" x14ac:dyDescent="0.35">
      <c r="A1150" s="2">
        <v>118</v>
      </c>
      <c r="B1150" s="109" t="s">
        <v>753</v>
      </c>
      <c r="C1150" s="110" t="s">
        <v>754</v>
      </c>
      <c r="D1150" s="2">
        <v>-6</v>
      </c>
      <c r="E1150" s="51"/>
      <c r="F1150" s="105"/>
      <c r="H1150" s="2"/>
      <c r="I1150" s="2" t="s">
        <v>861</v>
      </c>
      <c r="J1150" s="2" t="s">
        <v>861</v>
      </c>
      <c r="K1150" s="2" t="s">
        <v>861</v>
      </c>
      <c r="L1150" s="2" t="s">
        <v>861</v>
      </c>
      <c r="M1150" s="2" t="s">
        <v>861</v>
      </c>
      <c r="N1150" s="244" t="s">
        <v>861</v>
      </c>
      <c r="O1150" s="2" t="s">
        <v>1055</v>
      </c>
      <c r="P1150" s="2">
        <v>50</v>
      </c>
      <c r="Q1150" s="2" t="s">
        <v>1155</v>
      </c>
      <c r="R1150" s="2" t="s">
        <v>753</v>
      </c>
      <c r="S1150" s="2"/>
      <c r="T1150" s="2" t="s">
        <v>861</v>
      </c>
      <c r="U1150" s="398" t="s">
        <v>861</v>
      </c>
      <c r="V1150" s="7">
        <v>0</v>
      </c>
      <c r="W1150" s="7" t="s">
        <v>1334</v>
      </c>
    </row>
    <row r="1151" spans="1:23" x14ac:dyDescent="0.35">
      <c r="A1151" s="2">
        <v>118</v>
      </c>
      <c r="B1151" s="109" t="s">
        <v>1667</v>
      </c>
      <c r="C1151" s="110" t="s">
        <v>1035</v>
      </c>
      <c r="D1151" s="2">
        <v>0</v>
      </c>
      <c r="E1151" s="51"/>
      <c r="F1151" s="105"/>
      <c r="H1151" s="2"/>
      <c r="I1151" s="2" t="s">
        <v>861</v>
      </c>
      <c r="J1151" s="2" t="s">
        <v>861</v>
      </c>
      <c r="K1151" s="2" t="s">
        <v>861</v>
      </c>
      <c r="L1151" s="2" t="s">
        <v>861</v>
      </c>
      <c r="M1151" s="2" t="s">
        <v>861</v>
      </c>
      <c r="N1151" s="244" t="s">
        <v>861</v>
      </c>
      <c r="O1151" s="2" t="s">
        <v>1055</v>
      </c>
      <c r="P1151" s="2">
        <v>0</v>
      </c>
      <c r="Q1151" s="2" t="s">
        <v>1154</v>
      </c>
      <c r="R1151" s="2" t="s">
        <v>1037</v>
      </c>
      <c r="S1151" s="2"/>
      <c r="T1151" s="2" t="s">
        <v>861</v>
      </c>
      <c r="U1151" s="398" t="s">
        <v>861</v>
      </c>
      <c r="V1151" s="7">
        <v>0</v>
      </c>
      <c r="W1151" s="7" t="s">
        <v>1334</v>
      </c>
    </row>
    <row r="1152" spans="1:23" x14ac:dyDescent="0.35">
      <c r="A1152" s="2">
        <v>118</v>
      </c>
      <c r="B1152" s="109" t="s">
        <v>1206</v>
      </c>
      <c r="C1152" s="110" t="s">
        <v>1214</v>
      </c>
      <c r="D1152" s="2">
        <v>-6</v>
      </c>
      <c r="E1152" s="51"/>
      <c r="F1152" s="105"/>
      <c r="H1152" s="2"/>
      <c r="I1152" s="2">
        <v>-1</v>
      </c>
      <c r="J1152" s="2">
        <v>0</v>
      </c>
      <c r="K1152" s="2">
        <v>0</v>
      </c>
      <c r="L1152" s="2">
        <v>-1.0809374999999999</v>
      </c>
      <c r="M1152" s="2">
        <v>-1.1343749999999999</v>
      </c>
      <c r="N1152" s="244">
        <v>-2.4385312500000002E-3</v>
      </c>
      <c r="O1152" s="2" t="s">
        <v>934</v>
      </c>
      <c r="P1152" s="2">
        <v>50</v>
      </c>
      <c r="Q1152" s="2" t="s">
        <v>55</v>
      </c>
      <c r="R1152" s="2" t="s">
        <v>54</v>
      </c>
      <c r="S1152" s="2"/>
      <c r="T1152" s="2" t="s">
        <v>861</v>
      </c>
      <c r="U1152" s="398" t="s">
        <v>861</v>
      </c>
      <c r="V1152" s="7">
        <v>0</v>
      </c>
      <c r="W1152" s="7" t="s">
        <v>1334</v>
      </c>
    </row>
    <row r="1153" spans="1:23" x14ac:dyDescent="0.35">
      <c r="A1153" s="2">
        <v>118</v>
      </c>
      <c r="B1153" s="109" t="s">
        <v>156</v>
      </c>
      <c r="C1153" s="110" t="s">
        <v>157</v>
      </c>
      <c r="D1153" s="2">
        <v>-6</v>
      </c>
      <c r="E1153" s="51"/>
      <c r="F1153" s="105"/>
      <c r="H1153" s="2"/>
      <c r="I1153" s="2">
        <v>-1</v>
      </c>
      <c r="J1153" s="2">
        <v>0</v>
      </c>
      <c r="K1153" s="2">
        <v>0</v>
      </c>
      <c r="L1153" s="2">
        <v>-0.78600000000000003</v>
      </c>
      <c r="M1153" s="2">
        <v>-0.87949999999999995</v>
      </c>
      <c r="N1153" s="244">
        <v>-3.2799999999999999E-3</v>
      </c>
      <c r="O1153" s="2" t="s">
        <v>150</v>
      </c>
      <c r="P1153" s="2">
        <v>150</v>
      </c>
      <c r="Q1153" s="2" t="s">
        <v>151</v>
      </c>
      <c r="R1153" s="2" t="s">
        <v>156</v>
      </c>
      <c r="S1153" s="2"/>
      <c r="T1153" s="2" t="s">
        <v>861</v>
      </c>
      <c r="U1153" s="398" t="s">
        <v>861</v>
      </c>
      <c r="V1153" s="7">
        <v>0</v>
      </c>
      <c r="W1153" s="7" t="s">
        <v>1334</v>
      </c>
    </row>
    <row r="1154" spans="1:23" x14ac:dyDescent="0.35">
      <c r="A1154" s="2">
        <v>118</v>
      </c>
      <c r="B1154" s="109" t="s">
        <v>737</v>
      </c>
      <c r="C1154" s="110" t="s">
        <v>738</v>
      </c>
      <c r="D1154" s="2">
        <v>-6</v>
      </c>
      <c r="E1154" s="51"/>
      <c r="F1154" s="105"/>
      <c r="H1154" s="2"/>
      <c r="I1154" s="2" t="s">
        <v>861</v>
      </c>
      <c r="J1154" s="2" t="s">
        <v>861</v>
      </c>
      <c r="K1154" s="2" t="s">
        <v>861</v>
      </c>
      <c r="L1154" s="2" t="s">
        <v>861</v>
      </c>
      <c r="M1154" s="2" t="s">
        <v>861</v>
      </c>
      <c r="N1154" s="244" t="s">
        <v>861</v>
      </c>
      <c r="O1154" s="2" t="s">
        <v>1055</v>
      </c>
      <c r="P1154" s="2">
        <v>50</v>
      </c>
      <c r="Q1154" s="2" t="s">
        <v>1154</v>
      </c>
      <c r="R1154" s="2" t="s">
        <v>737</v>
      </c>
      <c r="S1154" s="2"/>
      <c r="T1154" s="2" t="s">
        <v>861</v>
      </c>
      <c r="U1154" s="398" t="s">
        <v>861</v>
      </c>
      <c r="V1154" s="7">
        <v>0</v>
      </c>
      <c r="W1154" s="7" t="s">
        <v>1334</v>
      </c>
    </row>
    <row r="1155" spans="1:23" x14ac:dyDescent="0.35">
      <c r="A1155" s="2">
        <v>118</v>
      </c>
      <c r="B1155" s="109" t="s">
        <v>753</v>
      </c>
      <c r="C1155" s="110" t="s">
        <v>754</v>
      </c>
      <c r="D1155" s="2">
        <v>-6</v>
      </c>
      <c r="E1155" s="51"/>
      <c r="F1155" s="105"/>
      <c r="H1155" s="2"/>
      <c r="I1155" s="2" t="s">
        <v>861</v>
      </c>
      <c r="J1155" s="2" t="s">
        <v>861</v>
      </c>
      <c r="K1155" s="2" t="s">
        <v>861</v>
      </c>
      <c r="L1155" s="2" t="s">
        <v>861</v>
      </c>
      <c r="M1155" s="2" t="s">
        <v>861</v>
      </c>
      <c r="N1155" s="244" t="s">
        <v>861</v>
      </c>
      <c r="O1155" s="2" t="s">
        <v>1055</v>
      </c>
      <c r="P1155" s="2">
        <v>50</v>
      </c>
      <c r="Q1155" s="2" t="s">
        <v>1155</v>
      </c>
      <c r="R1155" s="2" t="s">
        <v>753</v>
      </c>
      <c r="S1155" s="2"/>
      <c r="T1155" s="2" t="s">
        <v>861</v>
      </c>
      <c r="U1155" s="398" t="s">
        <v>861</v>
      </c>
      <c r="V1155" s="7">
        <v>0</v>
      </c>
      <c r="W1155" s="7" t="s">
        <v>1334</v>
      </c>
    </row>
    <row r="1156" spans="1:23" x14ac:dyDescent="0.35">
      <c r="A1156" s="2">
        <v>118</v>
      </c>
      <c r="B1156" s="109" t="s">
        <v>1667</v>
      </c>
      <c r="C1156" s="110" t="s">
        <v>1035</v>
      </c>
      <c r="D1156" s="2">
        <v>0</v>
      </c>
      <c r="E1156" s="51"/>
      <c r="F1156" s="105"/>
      <c r="H1156" s="2"/>
      <c r="I1156" s="2" t="s">
        <v>861</v>
      </c>
      <c r="J1156" s="2" t="s">
        <v>861</v>
      </c>
      <c r="K1156" s="2" t="s">
        <v>861</v>
      </c>
      <c r="L1156" s="2" t="s">
        <v>861</v>
      </c>
      <c r="M1156" s="2" t="s">
        <v>861</v>
      </c>
      <c r="N1156" s="244" t="s">
        <v>861</v>
      </c>
      <c r="O1156" s="2" t="s">
        <v>1055</v>
      </c>
      <c r="P1156" s="2">
        <v>0</v>
      </c>
      <c r="Q1156" s="2" t="s">
        <v>1154</v>
      </c>
      <c r="R1156" s="2" t="s">
        <v>1037</v>
      </c>
      <c r="S1156" s="2"/>
      <c r="T1156" s="2" t="s">
        <v>861</v>
      </c>
      <c r="U1156" s="398" t="s">
        <v>861</v>
      </c>
      <c r="V1156" s="7">
        <v>0</v>
      </c>
      <c r="W1156" s="7" t="s">
        <v>1334</v>
      </c>
    </row>
    <row r="1157" spans="1:23" x14ac:dyDescent="0.35">
      <c r="A1157" s="2">
        <v>118</v>
      </c>
      <c r="B1157" s="109" t="s">
        <v>1207</v>
      </c>
      <c r="C1157" s="110" t="s">
        <v>1215</v>
      </c>
      <c r="D1157" s="2">
        <v>-6</v>
      </c>
      <c r="E1157" s="51"/>
      <c r="F1157" s="105"/>
      <c r="H1157" s="2"/>
      <c r="I1157" s="2">
        <v>-1</v>
      </c>
      <c r="J1157" s="2">
        <v>0</v>
      </c>
      <c r="K1157" s="2">
        <v>0</v>
      </c>
      <c r="L1157" s="2">
        <v>-1.0809374999999999</v>
      </c>
      <c r="M1157" s="2">
        <v>-1.1343749999999999</v>
      </c>
      <c r="N1157" s="244">
        <v>-2.4385312500000002E-3</v>
      </c>
      <c r="O1157" s="2" t="s">
        <v>934</v>
      </c>
      <c r="P1157" s="2">
        <v>50</v>
      </c>
      <c r="Q1157" s="2" t="s">
        <v>55</v>
      </c>
      <c r="R1157" s="2" t="s">
        <v>54</v>
      </c>
      <c r="S1157" s="2"/>
      <c r="T1157" s="2" t="s">
        <v>861</v>
      </c>
      <c r="U1157" s="398" t="s">
        <v>861</v>
      </c>
      <c r="V1157" s="7">
        <v>0</v>
      </c>
      <c r="W1157" s="7" t="s">
        <v>1334</v>
      </c>
    </row>
    <row r="1158" spans="1:23" x14ac:dyDescent="0.35">
      <c r="A1158" s="2">
        <v>118</v>
      </c>
      <c r="B1158" s="109" t="s">
        <v>158</v>
      </c>
      <c r="C1158" s="110" t="s">
        <v>159</v>
      </c>
      <c r="D1158" s="2">
        <v>-6</v>
      </c>
      <c r="E1158" s="51"/>
      <c r="F1158" s="105"/>
      <c r="H1158" s="2"/>
      <c r="I1158" s="2">
        <v>-1</v>
      </c>
      <c r="J1158" s="2">
        <v>0</v>
      </c>
      <c r="K1158" s="2">
        <v>0</v>
      </c>
      <c r="L1158" s="2">
        <v>-0.78600000000000003</v>
      </c>
      <c r="M1158" s="2">
        <v>-0.87949999999999995</v>
      </c>
      <c r="N1158" s="244">
        <v>-3.2799999999999999E-3</v>
      </c>
      <c r="O1158" s="2" t="s">
        <v>150</v>
      </c>
      <c r="P1158" s="2">
        <v>150</v>
      </c>
      <c r="Q1158" s="2" t="s">
        <v>151</v>
      </c>
      <c r="R1158" s="2" t="s">
        <v>158</v>
      </c>
      <c r="S1158" s="2"/>
      <c r="T1158" s="2" t="s">
        <v>861</v>
      </c>
      <c r="U1158" s="398" t="s">
        <v>861</v>
      </c>
      <c r="V1158" s="7">
        <v>0</v>
      </c>
      <c r="W1158" s="7" t="s">
        <v>1334</v>
      </c>
    </row>
    <row r="1159" spans="1:23" x14ac:dyDescent="0.35">
      <c r="A1159" s="2">
        <v>118</v>
      </c>
      <c r="B1159" s="109" t="s">
        <v>739</v>
      </c>
      <c r="C1159" s="110" t="s">
        <v>740</v>
      </c>
      <c r="D1159" s="2">
        <v>-6</v>
      </c>
      <c r="E1159" s="51"/>
      <c r="F1159" s="105"/>
      <c r="H1159" s="2"/>
      <c r="I1159" s="2" t="s">
        <v>861</v>
      </c>
      <c r="J1159" s="2" t="s">
        <v>861</v>
      </c>
      <c r="K1159" s="2" t="s">
        <v>861</v>
      </c>
      <c r="L1159" s="2" t="s">
        <v>861</v>
      </c>
      <c r="M1159" s="2" t="s">
        <v>861</v>
      </c>
      <c r="N1159" s="244" t="s">
        <v>861</v>
      </c>
      <c r="O1159" s="2" t="s">
        <v>1055</v>
      </c>
      <c r="P1159" s="2">
        <v>50</v>
      </c>
      <c r="Q1159" s="2" t="s">
        <v>1154</v>
      </c>
      <c r="R1159" s="2" t="s">
        <v>739</v>
      </c>
      <c r="S1159" s="2"/>
      <c r="T1159" s="2" t="s">
        <v>861</v>
      </c>
      <c r="U1159" s="398" t="s">
        <v>861</v>
      </c>
      <c r="V1159" s="7">
        <v>0</v>
      </c>
      <c r="W1159" s="7" t="s">
        <v>1334</v>
      </c>
    </row>
    <row r="1160" spans="1:23" x14ac:dyDescent="0.35">
      <c r="A1160" s="2">
        <v>118</v>
      </c>
      <c r="B1160" s="109" t="s">
        <v>753</v>
      </c>
      <c r="C1160" s="110" t="s">
        <v>754</v>
      </c>
      <c r="D1160" s="2">
        <v>-6</v>
      </c>
      <c r="E1160" s="51"/>
      <c r="F1160" s="105"/>
      <c r="H1160" s="2"/>
      <c r="I1160" s="2" t="s">
        <v>861</v>
      </c>
      <c r="J1160" s="2" t="s">
        <v>861</v>
      </c>
      <c r="K1160" s="2" t="s">
        <v>861</v>
      </c>
      <c r="L1160" s="2" t="s">
        <v>861</v>
      </c>
      <c r="M1160" s="2" t="s">
        <v>861</v>
      </c>
      <c r="N1160" s="244" t="s">
        <v>861</v>
      </c>
      <c r="O1160" s="2" t="s">
        <v>1055</v>
      </c>
      <c r="P1160" s="2">
        <v>50</v>
      </c>
      <c r="Q1160" s="2" t="s">
        <v>1155</v>
      </c>
      <c r="R1160" s="2" t="s">
        <v>753</v>
      </c>
      <c r="S1160" s="2"/>
      <c r="T1160" s="2" t="s">
        <v>861</v>
      </c>
      <c r="U1160" s="398" t="s">
        <v>861</v>
      </c>
      <c r="V1160" s="7">
        <v>0</v>
      </c>
      <c r="W1160" s="7" t="s">
        <v>1334</v>
      </c>
    </row>
    <row r="1161" spans="1:23" x14ac:dyDescent="0.35">
      <c r="A1161" s="2">
        <v>118</v>
      </c>
      <c r="B1161" s="109" t="s">
        <v>1667</v>
      </c>
      <c r="C1161" s="110" t="s">
        <v>1035</v>
      </c>
      <c r="D1161" s="2">
        <v>0</v>
      </c>
      <c r="E1161" s="51"/>
      <c r="F1161" s="105"/>
      <c r="H1161" s="2"/>
      <c r="I1161" s="2" t="s">
        <v>861</v>
      </c>
      <c r="J1161" s="2" t="s">
        <v>861</v>
      </c>
      <c r="K1161" s="2" t="s">
        <v>861</v>
      </c>
      <c r="L1161" s="2" t="s">
        <v>861</v>
      </c>
      <c r="M1161" s="2" t="s">
        <v>861</v>
      </c>
      <c r="N1161" s="244" t="s">
        <v>861</v>
      </c>
      <c r="O1161" s="2" t="s">
        <v>1055</v>
      </c>
      <c r="P1161" s="2">
        <v>0</v>
      </c>
      <c r="Q1161" s="2" t="s">
        <v>1154</v>
      </c>
      <c r="R1161" s="2" t="s">
        <v>1037</v>
      </c>
      <c r="S1161" s="2"/>
      <c r="T1161" s="2" t="s">
        <v>861</v>
      </c>
      <c r="U1161" s="398" t="s">
        <v>861</v>
      </c>
      <c r="V1161" s="7">
        <v>0</v>
      </c>
      <c r="W1161" s="7" t="s">
        <v>1334</v>
      </c>
    </row>
    <row r="1162" spans="1:23" x14ac:dyDescent="0.35">
      <c r="A1162" s="2">
        <v>119</v>
      </c>
      <c r="B1162" s="109" t="s">
        <v>38</v>
      </c>
      <c r="C1162" s="110" t="s">
        <v>39</v>
      </c>
      <c r="D1162" s="2">
        <v>1152</v>
      </c>
      <c r="E1162" s="51">
        <v>6.97</v>
      </c>
      <c r="F1162" s="105"/>
      <c r="H1162" s="2"/>
      <c r="I1162" s="2">
        <v>96</v>
      </c>
      <c r="J1162" s="2">
        <v>0</v>
      </c>
      <c r="K1162" s="2" t="s">
        <v>861</v>
      </c>
      <c r="L1162" s="2">
        <v>592.31999999999994</v>
      </c>
      <c r="M1162" s="2">
        <v>649.91999999999996</v>
      </c>
      <c r="N1162" s="244">
        <v>3.7422719999999998</v>
      </c>
      <c r="O1162" s="2" t="s">
        <v>18</v>
      </c>
      <c r="P1162" s="2">
        <v>50</v>
      </c>
      <c r="Q1162" s="2">
        <v>0</v>
      </c>
      <c r="R1162" s="2" t="s">
        <v>38</v>
      </c>
      <c r="S1162" s="2"/>
      <c r="T1162" s="2" t="s">
        <v>861</v>
      </c>
      <c r="U1162" s="398" t="s">
        <v>861</v>
      </c>
      <c r="V1162" s="7">
        <v>8029.44</v>
      </c>
      <c r="W1162" s="7" t="s">
        <v>1084</v>
      </c>
    </row>
    <row r="1163" spans="1:23" x14ac:dyDescent="0.35">
      <c r="A1163" s="2">
        <v>119</v>
      </c>
      <c r="B1163" s="109" t="s">
        <v>44</v>
      </c>
      <c r="C1163" s="110" t="s">
        <v>45</v>
      </c>
      <c r="D1163" s="2">
        <v>1152</v>
      </c>
      <c r="E1163" s="51">
        <v>6.97</v>
      </c>
      <c r="F1163" s="105"/>
      <c r="H1163" s="2"/>
      <c r="I1163" s="2">
        <v>96</v>
      </c>
      <c r="J1163" s="2">
        <v>0</v>
      </c>
      <c r="K1163" s="2" t="s">
        <v>861</v>
      </c>
      <c r="L1163" s="2">
        <v>592.31999999999994</v>
      </c>
      <c r="M1163" s="2">
        <v>649.91999999999996</v>
      </c>
      <c r="N1163" s="244">
        <v>3.7422719999999998</v>
      </c>
      <c r="O1163" s="2" t="s">
        <v>18</v>
      </c>
      <c r="P1163" s="2">
        <v>50</v>
      </c>
      <c r="Q1163" s="2">
        <v>0</v>
      </c>
      <c r="R1163" s="2" t="s">
        <v>44</v>
      </c>
      <c r="S1163" s="2"/>
      <c r="T1163" s="2" t="s">
        <v>861</v>
      </c>
      <c r="U1163" s="398" t="s">
        <v>861</v>
      </c>
      <c r="V1163" s="7">
        <v>8029.44</v>
      </c>
      <c r="W1163" s="7" t="s">
        <v>1084</v>
      </c>
    </row>
    <row r="1164" spans="1:23" x14ac:dyDescent="0.35">
      <c r="A1164" s="2">
        <v>119</v>
      </c>
      <c r="B1164" s="109" t="s">
        <v>42</v>
      </c>
      <c r="C1164" s="110" t="s">
        <v>43</v>
      </c>
      <c r="D1164" s="2">
        <v>1152</v>
      </c>
      <c r="E1164" s="51">
        <v>6.97</v>
      </c>
      <c r="F1164" s="105"/>
      <c r="H1164" s="2"/>
      <c r="I1164" s="2">
        <v>96</v>
      </c>
      <c r="J1164" s="2">
        <v>0</v>
      </c>
      <c r="K1164" s="2" t="s">
        <v>861</v>
      </c>
      <c r="L1164" s="2">
        <v>592.31999999999994</v>
      </c>
      <c r="M1164" s="2">
        <v>649.91999999999996</v>
      </c>
      <c r="N1164" s="244">
        <v>3.7422719999999998</v>
      </c>
      <c r="O1164" s="2" t="s">
        <v>18</v>
      </c>
      <c r="P1164" s="2">
        <v>50</v>
      </c>
      <c r="Q1164" s="2">
        <v>0</v>
      </c>
      <c r="R1164" s="2" t="s">
        <v>42</v>
      </c>
      <c r="S1164" s="2"/>
      <c r="T1164" s="2" t="s">
        <v>861</v>
      </c>
      <c r="U1164" s="398" t="s">
        <v>861</v>
      </c>
      <c r="V1164" s="7">
        <v>8029.44</v>
      </c>
      <c r="W1164" s="7" t="s">
        <v>1084</v>
      </c>
    </row>
    <row r="1165" spans="1:23" x14ac:dyDescent="0.35">
      <c r="A1165" s="2">
        <v>119</v>
      </c>
      <c r="B1165" s="109" t="s">
        <v>40</v>
      </c>
      <c r="C1165" s="110" t="s">
        <v>41</v>
      </c>
      <c r="D1165" s="2">
        <v>1152</v>
      </c>
      <c r="E1165" s="51">
        <v>6.97</v>
      </c>
      <c r="F1165" s="105"/>
      <c r="H1165" s="2"/>
      <c r="I1165" s="2">
        <v>96</v>
      </c>
      <c r="J1165" s="2">
        <v>0</v>
      </c>
      <c r="K1165" s="2" t="s">
        <v>861</v>
      </c>
      <c r="L1165" s="2">
        <v>592.31999999999994</v>
      </c>
      <c r="M1165" s="2">
        <v>649.91999999999996</v>
      </c>
      <c r="N1165" s="244">
        <v>3.7422719999999998</v>
      </c>
      <c r="O1165" s="2" t="s">
        <v>18</v>
      </c>
      <c r="P1165" s="2">
        <v>50</v>
      </c>
      <c r="Q1165" s="2">
        <v>0</v>
      </c>
      <c r="R1165" s="2" t="s">
        <v>40</v>
      </c>
      <c r="S1165" s="2"/>
      <c r="T1165" s="2" t="s">
        <v>861</v>
      </c>
      <c r="U1165" s="398" t="s">
        <v>861</v>
      </c>
      <c r="V1165" s="7">
        <v>8029.44</v>
      </c>
      <c r="W1165" s="7" t="s">
        <v>1084</v>
      </c>
    </row>
    <row r="1166" spans="1:23" x14ac:dyDescent="0.35">
      <c r="A1166" s="2">
        <v>120</v>
      </c>
      <c r="B1166" s="109" t="s">
        <v>91</v>
      </c>
      <c r="C1166" s="110" t="s">
        <v>92</v>
      </c>
      <c r="D1166" s="2">
        <v>555</v>
      </c>
      <c r="E1166" s="51">
        <v>7.43</v>
      </c>
      <c r="F1166" s="105">
        <v>16</v>
      </c>
      <c r="G1166" s="51">
        <v>6</v>
      </c>
      <c r="H1166" s="2">
        <v>69</v>
      </c>
      <c r="I1166" s="2">
        <v>24</v>
      </c>
      <c r="J1166" s="2">
        <v>1</v>
      </c>
      <c r="K1166" s="2">
        <v>3</v>
      </c>
      <c r="L1166" s="2">
        <v>200.53333333333333</v>
      </c>
      <c r="M1166" s="2">
        <v>219.4666666666667</v>
      </c>
      <c r="N1166" s="244">
        <v>0.59856000000000009</v>
      </c>
      <c r="O1166" s="2" t="s">
        <v>934</v>
      </c>
      <c r="P1166" s="2">
        <v>100</v>
      </c>
      <c r="Q1166" s="2" t="s">
        <v>55</v>
      </c>
      <c r="R1166" s="2" t="s">
        <v>91</v>
      </c>
      <c r="S1166" s="2"/>
      <c r="T1166" s="2">
        <v>5</v>
      </c>
      <c r="U1166" s="398">
        <v>2855</v>
      </c>
      <c r="V1166" s="7">
        <v>4219.6499999999996</v>
      </c>
      <c r="W1166" s="7" t="s">
        <v>660</v>
      </c>
    </row>
    <row r="1167" spans="1:23" x14ac:dyDescent="0.35">
      <c r="A1167" s="2">
        <v>120</v>
      </c>
      <c r="B1167" s="109" t="s">
        <v>93</v>
      </c>
      <c r="C1167" s="110" t="s">
        <v>94</v>
      </c>
      <c r="D1167" s="2">
        <v>438</v>
      </c>
      <c r="E1167" s="51">
        <v>7.43</v>
      </c>
      <c r="F1167" s="105">
        <v>18</v>
      </c>
      <c r="G1167" s="51">
        <v>6</v>
      </c>
      <c r="H1167" s="2">
        <v>55</v>
      </c>
      <c r="I1167" s="2">
        <v>19</v>
      </c>
      <c r="J1167" s="2">
        <v>1</v>
      </c>
      <c r="K1167" s="2">
        <v>3</v>
      </c>
      <c r="L1167" s="2">
        <v>160.11333333333334</v>
      </c>
      <c r="M1167" s="2">
        <v>175.23041666666668</v>
      </c>
      <c r="N1167" s="244">
        <v>0.47791275000000005</v>
      </c>
      <c r="O1167" s="2" t="s">
        <v>934</v>
      </c>
      <c r="P1167" s="2">
        <v>100</v>
      </c>
      <c r="Q1167" s="2" t="s">
        <v>55</v>
      </c>
      <c r="R1167" s="2" t="s">
        <v>93</v>
      </c>
      <c r="S1167" s="2"/>
      <c r="T1167" s="2">
        <v>5</v>
      </c>
      <c r="U1167" s="398">
        <v>2280</v>
      </c>
      <c r="V1167" s="7">
        <v>3362.3399999999997</v>
      </c>
      <c r="W1167" s="7" t="s">
        <v>660</v>
      </c>
    </row>
    <row r="1168" spans="1:23" x14ac:dyDescent="0.35">
      <c r="A1168" s="2">
        <v>120</v>
      </c>
      <c r="B1168" s="109" t="s">
        <v>95</v>
      </c>
      <c r="C1168" s="110" t="s">
        <v>96</v>
      </c>
      <c r="D1168" s="2">
        <v>555</v>
      </c>
      <c r="E1168" s="51">
        <v>7.43</v>
      </c>
      <c r="F1168" s="105">
        <v>16</v>
      </c>
      <c r="G1168" s="51">
        <v>6</v>
      </c>
      <c r="H1168" s="2">
        <v>69</v>
      </c>
      <c r="I1168" s="2">
        <v>24</v>
      </c>
      <c r="J1168" s="2">
        <v>1</v>
      </c>
      <c r="K1168" s="2">
        <v>3</v>
      </c>
      <c r="L1168" s="2">
        <v>200.53333333333333</v>
      </c>
      <c r="M1168" s="2">
        <v>219.4666666666667</v>
      </c>
      <c r="N1168" s="244">
        <v>0.59856000000000009</v>
      </c>
      <c r="O1168" s="2" t="s">
        <v>934</v>
      </c>
      <c r="P1168" s="2">
        <v>100</v>
      </c>
      <c r="Q1168" s="2" t="s">
        <v>55</v>
      </c>
      <c r="R1168" s="2" t="s">
        <v>95</v>
      </c>
      <c r="S1168" s="2"/>
      <c r="T1168" s="2">
        <v>5</v>
      </c>
      <c r="U1168" s="398">
        <v>2855</v>
      </c>
      <c r="V1168" s="7">
        <v>4219.6499999999996</v>
      </c>
      <c r="W1168" s="7" t="s">
        <v>660</v>
      </c>
    </row>
    <row r="1169" spans="1:23" x14ac:dyDescent="0.35">
      <c r="A1169" s="2">
        <v>120</v>
      </c>
      <c r="B1169" s="109" t="s">
        <v>97</v>
      </c>
      <c r="C1169" s="110" t="s">
        <v>98</v>
      </c>
      <c r="D1169" s="2">
        <v>438</v>
      </c>
      <c r="E1169" s="51">
        <v>7.43</v>
      </c>
      <c r="F1169" s="105">
        <v>18</v>
      </c>
      <c r="G1169" s="51">
        <v>6</v>
      </c>
      <c r="H1169" s="2">
        <v>55</v>
      </c>
      <c r="I1169" s="2">
        <v>19</v>
      </c>
      <c r="J1169" s="2">
        <v>1</v>
      </c>
      <c r="K1169" s="2">
        <v>3</v>
      </c>
      <c r="L1169" s="2">
        <v>160.11333333333334</v>
      </c>
      <c r="M1169" s="2">
        <v>175.23041666666668</v>
      </c>
      <c r="N1169" s="244">
        <v>0.47791275000000005</v>
      </c>
      <c r="O1169" s="2" t="s">
        <v>934</v>
      </c>
      <c r="P1169" s="2">
        <v>100</v>
      </c>
      <c r="Q1169" s="2" t="s">
        <v>55</v>
      </c>
      <c r="R1169" s="2" t="s">
        <v>97</v>
      </c>
      <c r="S1169" s="2"/>
      <c r="T1169" s="2">
        <v>5</v>
      </c>
      <c r="U1169" s="398">
        <v>2280</v>
      </c>
      <c r="V1169" s="7">
        <v>3362.3399999999997</v>
      </c>
      <c r="W1169" s="7" t="s">
        <v>660</v>
      </c>
    </row>
    <row r="1170" spans="1:23" x14ac:dyDescent="0.35">
      <c r="A1170" s="2">
        <v>120</v>
      </c>
      <c r="B1170" s="109" t="s">
        <v>99</v>
      </c>
      <c r="C1170" s="110" t="s">
        <v>100</v>
      </c>
      <c r="D1170" s="2">
        <v>438</v>
      </c>
      <c r="E1170" s="51">
        <v>7.43</v>
      </c>
      <c r="F1170" s="105">
        <v>18</v>
      </c>
      <c r="G1170" s="51">
        <v>6</v>
      </c>
      <c r="H1170" s="2">
        <v>55</v>
      </c>
      <c r="I1170" s="2">
        <v>19</v>
      </c>
      <c r="J1170" s="2">
        <v>1</v>
      </c>
      <c r="K1170" s="2">
        <v>3</v>
      </c>
      <c r="L1170" s="2">
        <v>146.27375000000001</v>
      </c>
      <c r="M1170" s="2">
        <v>160.965</v>
      </c>
      <c r="N1170" s="244">
        <v>0.53559187500000016</v>
      </c>
      <c r="O1170" s="2" t="s">
        <v>934</v>
      </c>
      <c r="P1170" s="2">
        <v>100</v>
      </c>
      <c r="Q1170" s="2" t="s">
        <v>55</v>
      </c>
      <c r="R1170" s="2" t="s">
        <v>99</v>
      </c>
      <c r="S1170" s="2"/>
      <c r="T1170" s="2">
        <v>5</v>
      </c>
      <c r="U1170" s="398">
        <v>2280</v>
      </c>
      <c r="V1170" s="7">
        <v>3362.3399999999997</v>
      </c>
      <c r="W1170" s="7" t="s">
        <v>660</v>
      </c>
    </row>
    <row r="1171" spans="1:23" x14ac:dyDescent="0.35">
      <c r="A1171" s="2">
        <v>120</v>
      </c>
      <c r="B1171" s="109" t="s">
        <v>101</v>
      </c>
      <c r="C1171" s="110" t="s">
        <v>102</v>
      </c>
      <c r="D1171" s="2">
        <v>555</v>
      </c>
      <c r="E1171" s="51">
        <v>7.43</v>
      </c>
      <c r="F1171" s="105">
        <v>16</v>
      </c>
      <c r="G1171" s="51">
        <v>6</v>
      </c>
      <c r="H1171" s="2">
        <v>69</v>
      </c>
      <c r="I1171" s="2">
        <v>24</v>
      </c>
      <c r="J1171" s="2">
        <v>1</v>
      </c>
      <c r="K1171" s="2">
        <v>3</v>
      </c>
      <c r="L1171" s="2">
        <v>183.20000000000002</v>
      </c>
      <c r="M1171" s="2">
        <v>201.6</v>
      </c>
      <c r="N1171" s="244">
        <v>0.67080000000000017</v>
      </c>
      <c r="O1171" s="2" t="s">
        <v>934</v>
      </c>
      <c r="P1171" s="2">
        <v>100</v>
      </c>
      <c r="Q1171" s="2" t="s">
        <v>55</v>
      </c>
      <c r="R1171" s="2" t="s">
        <v>101</v>
      </c>
      <c r="S1171" s="2"/>
      <c r="T1171" s="2">
        <v>5</v>
      </c>
      <c r="U1171" s="398">
        <v>2855</v>
      </c>
      <c r="V1171" s="7">
        <v>4219.6499999999996</v>
      </c>
      <c r="W1171" s="7" t="s">
        <v>660</v>
      </c>
    </row>
    <row r="1172" spans="1:23" x14ac:dyDescent="0.35">
      <c r="A1172" s="2">
        <v>120</v>
      </c>
      <c r="B1172" s="109" t="s">
        <v>103</v>
      </c>
      <c r="C1172" s="110" t="s">
        <v>104</v>
      </c>
      <c r="D1172" s="2">
        <v>438</v>
      </c>
      <c r="E1172" s="51">
        <v>7.43</v>
      </c>
      <c r="F1172" s="105">
        <v>18</v>
      </c>
      <c r="G1172" s="51">
        <v>6</v>
      </c>
      <c r="H1172" s="2">
        <v>55</v>
      </c>
      <c r="I1172" s="2">
        <v>19</v>
      </c>
      <c r="J1172" s="2">
        <v>1</v>
      </c>
      <c r="K1172" s="2">
        <v>3</v>
      </c>
      <c r="L1172" s="2">
        <v>146.27375000000001</v>
      </c>
      <c r="M1172" s="2">
        <v>160.965</v>
      </c>
      <c r="N1172" s="244">
        <v>0.53559187500000016</v>
      </c>
      <c r="O1172" s="2" t="s">
        <v>934</v>
      </c>
      <c r="P1172" s="2">
        <v>100</v>
      </c>
      <c r="Q1172" s="2" t="s">
        <v>55</v>
      </c>
      <c r="R1172" s="2" t="s">
        <v>103</v>
      </c>
      <c r="S1172" s="2"/>
      <c r="T1172" s="2">
        <v>5</v>
      </c>
      <c r="U1172" s="398">
        <v>2280</v>
      </c>
      <c r="V1172" s="7">
        <v>3362.3399999999997</v>
      </c>
      <c r="W1172" s="7" t="s">
        <v>660</v>
      </c>
    </row>
    <row r="1173" spans="1:23" x14ac:dyDescent="0.35">
      <c r="A1173" s="2">
        <v>120</v>
      </c>
      <c r="B1173" s="109" t="s">
        <v>105</v>
      </c>
      <c r="C1173" s="110" t="s">
        <v>106</v>
      </c>
      <c r="D1173" s="2">
        <v>555</v>
      </c>
      <c r="E1173" s="51">
        <v>7.43</v>
      </c>
      <c r="F1173" s="105">
        <v>16</v>
      </c>
      <c r="G1173" s="51">
        <v>6</v>
      </c>
      <c r="H1173" s="2">
        <v>69</v>
      </c>
      <c r="I1173" s="2">
        <v>24</v>
      </c>
      <c r="J1173" s="2">
        <v>1</v>
      </c>
      <c r="K1173" s="2">
        <v>3</v>
      </c>
      <c r="L1173" s="2">
        <v>183.20000000000002</v>
      </c>
      <c r="M1173" s="2">
        <v>201.6</v>
      </c>
      <c r="N1173" s="244">
        <v>0.67080000000000017</v>
      </c>
      <c r="O1173" s="2" t="s">
        <v>934</v>
      </c>
      <c r="P1173" s="2">
        <v>100</v>
      </c>
      <c r="Q1173" s="2" t="s">
        <v>55</v>
      </c>
      <c r="R1173" s="2" t="s">
        <v>105</v>
      </c>
      <c r="S1173" s="2"/>
      <c r="T1173" s="2">
        <v>5</v>
      </c>
      <c r="U1173" s="398">
        <v>2855</v>
      </c>
      <c r="V1173" s="7">
        <v>4219.6499999999996</v>
      </c>
      <c r="W1173" s="7" t="s">
        <v>660</v>
      </c>
    </row>
    <row r="1174" spans="1:23" x14ac:dyDescent="0.35">
      <c r="A1174" s="2">
        <v>120</v>
      </c>
      <c r="B1174" s="109" t="s">
        <v>168</v>
      </c>
      <c r="C1174" s="110" t="s">
        <v>171</v>
      </c>
      <c r="D1174" s="2">
        <v>324</v>
      </c>
      <c r="E1174" s="51">
        <v>2.85</v>
      </c>
      <c r="F1174" s="105"/>
      <c r="H1174" s="2"/>
      <c r="I1174" s="2">
        <v>14</v>
      </c>
      <c r="J1174" s="2">
        <v>0</v>
      </c>
      <c r="K1174" s="2">
        <v>0</v>
      </c>
      <c r="L1174" s="2">
        <v>85.724999999999994</v>
      </c>
      <c r="M1174" s="2">
        <v>94.5</v>
      </c>
      <c r="N1174" s="244">
        <v>0.21517649999999999</v>
      </c>
      <c r="O1174" s="2" t="s">
        <v>169</v>
      </c>
      <c r="P1174" s="2">
        <v>200</v>
      </c>
      <c r="Q1174" s="2" t="s">
        <v>170</v>
      </c>
      <c r="R1174" s="2" t="s">
        <v>168</v>
      </c>
      <c r="S1174" s="2"/>
      <c r="T1174" s="2">
        <v>2.0499999999999998</v>
      </c>
      <c r="U1174" s="398">
        <v>664.19999999999993</v>
      </c>
      <c r="V1174" s="7">
        <v>923.4</v>
      </c>
      <c r="W1174" s="7" t="s">
        <v>660</v>
      </c>
    </row>
    <row r="1175" spans="1:23" x14ac:dyDescent="0.35">
      <c r="A1175" s="2">
        <v>120</v>
      </c>
      <c r="B1175" s="109" t="s">
        <v>177</v>
      </c>
      <c r="C1175" s="110" t="s">
        <v>178</v>
      </c>
      <c r="D1175" s="2">
        <v>324</v>
      </c>
      <c r="E1175" s="51">
        <v>2.85</v>
      </c>
      <c r="F1175" s="105"/>
      <c r="H1175" s="2"/>
      <c r="I1175" s="2">
        <v>14</v>
      </c>
      <c r="J1175" s="2">
        <v>0</v>
      </c>
      <c r="K1175" s="2">
        <v>0</v>
      </c>
      <c r="L1175" s="2">
        <v>85.724999999999994</v>
      </c>
      <c r="M1175" s="2">
        <v>94.5</v>
      </c>
      <c r="N1175" s="244">
        <v>0.21517649999999999</v>
      </c>
      <c r="O1175" s="2" t="s">
        <v>169</v>
      </c>
      <c r="P1175" s="2">
        <v>200</v>
      </c>
      <c r="Q1175" s="2" t="s">
        <v>170</v>
      </c>
      <c r="R1175" s="2" t="s">
        <v>177</v>
      </c>
      <c r="S1175" s="2"/>
      <c r="T1175" s="2">
        <v>2.0499999999999998</v>
      </c>
      <c r="U1175" s="398">
        <v>664.19999999999993</v>
      </c>
      <c r="V1175" s="7">
        <v>923.4</v>
      </c>
      <c r="W1175" s="7" t="s">
        <v>660</v>
      </c>
    </row>
    <row r="1176" spans="1:23" x14ac:dyDescent="0.35">
      <c r="A1176" s="2">
        <v>120</v>
      </c>
      <c r="B1176" s="109" t="s">
        <v>175</v>
      </c>
      <c r="C1176" s="110" t="s">
        <v>176</v>
      </c>
      <c r="D1176" s="2">
        <v>324</v>
      </c>
      <c r="E1176" s="51">
        <v>2.85</v>
      </c>
      <c r="F1176" s="105"/>
      <c r="H1176" s="2"/>
      <c r="I1176" s="2">
        <v>14</v>
      </c>
      <c r="J1176" s="2">
        <v>0</v>
      </c>
      <c r="K1176" s="2">
        <v>0</v>
      </c>
      <c r="L1176" s="2">
        <v>85.724999999999994</v>
      </c>
      <c r="M1176" s="2">
        <v>94.5</v>
      </c>
      <c r="N1176" s="244">
        <v>0.21517649999999999</v>
      </c>
      <c r="O1176" s="2" t="s">
        <v>169</v>
      </c>
      <c r="P1176" s="2">
        <v>200</v>
      </c>
      <c r="Q1176" s="2" t="s">
        <v>170</v>
      </c>
      <c r="R1176" s="2" t="s">
        <v>175</v>
      </c>
      <c r="S1176" s="2"/>
      <c r="T1176" s="2">
        <v>2.0499999999999998</v>
      </c>
      <c r="U1176" s="398">
        <v>664.19999999999993</v>
      </c>
      <c r="V1176" s="7">
        <v>923.4</v>
      </c>
      <c r="W1176" s="7" t="s">
        <v>660</v>
      </c>
    </row>
    <row r="1177" spans="1:23" x14ac:dyDescent="0.35">
      <c r="A1177" s="2">
        <v>120</v>
      </c>
      <c r="B1177" s="109" t="s">
        <v>173</v>
      </c>
      <c r="C1177" s="110" t="s">
        <v>174</v>
      </c>
      <c r="D1177" s="2">
        <v>324</v>
      </c>
      <c r="E1177" s="51">
        <v>2.85</v>
      </c>
      <c r="F1177" s="105"/>
      <c r="H1177" s="2"/>
      <c r="I1177" s="2">
        <v>14</v>
      </c>
      <c r="J1177" s="2">
        <v>0</v>
      </c>
      <c r="K1177" s="2">
        <v>0</v>
      </c>
      <c r="L1177" s="2">
        <v>85.724999999999994</v>
      </c>
      <c r="M1177" s="2">
        <v>94.5</v>
      </c>
      <c r="N1177" s="244">
        <v>0.21517649999999999</v>
      </c>
      <c r="O1177" s="2" t="s">
        <v>169</v>
      </c>
      <c r="P1177" s="2">
        <v>200</v>
      </c>
      <c r="Q1177" s="2" t="s">
        <v>170</v>
      </c>
      <c r="R1177" s="2" t="s">
        <v>173</v>
      </c>
      <c r="S1177" s="2"/>
      <c r="T1177" s="2">
        <v>2.0499999999999998</v>
      </c>
      <c r="U1177" s="398">
        <v>664.19999999999993</v>
      </c>
      <c r="V1177" s="7">
        <v>923.4</v>
      </c>
      <c r="W1177" s="7" t="s">
        <v>660</v>
      </c>
    </row>
    <row r="1178" spans="1:23" x14ac:dyDescent="0.35">
      <c r="A1178" s="2">
        <v>121</v>
      </c>
      <c r="B1178" s="109" t="s">
        <v>107</v>
      </c>
      <c r="C1178" s="110" t="s">
        <v>109</v>
      </c>
      <c r="D1178" s="2">
        <v>1</v>
      </c>
      <c r="E1178" s="51">
        <v>0</v>
      </c>
      <c r="F1178" s="105"/>
      <c r="H1178" s="2"/>
      <c r="I1178" s="2">
        <v>1</v>
      </c>
      <c r="J1178" s="2">
        <v>0</v>
      </c>
      <c r="K1178" s="2">
        <v>0</v>
      </c>
      <c r="L1178" s="2">
        <v>0.39500000000000002</v>
      </c>
      <c r="M1178" s="2">
        <v>0.41249999999999998</v>
      </c>
      <c r="N1178" s="244">
        <v>7.2072916666666661E-4</v>
      </c>
      <c r="O1178" s="2" t="s">
        <v>108</v>
      </c>
      <c r="P1178" s="2">
        <v>100</v>
      </c>
      <c r="Q1178" s="2" t="s">
        <v>55</v>
      </c>
      <c r="R1178" s="2" t="s">
        <v>107</v>
      </c>
      <c r="S1178" s="2"/>
      <c r="T1178" s="2">
        <v>11.68</v>
      </c>
      <c r="U1178" s="398">
        <v>11.68</v>
      </c>
      <c r="V1178" s="7">
        <v>0</v>
      </c>
      <c r="W1178" s="7" t="s">
        <v>1099</v>
      </c>
    </row>
    <row r="1179" spans="1:23" x14ac:dyDescent="0.35">
      <c r="A1179" s="2">
        <v>121</v>
      </c>
      <c r="B1179" s="109" t="s">
        <v>1216</v>
      </c>
      <c r="C1179" s="110" t="s">
        <v>648</v>
      </c>
      <c r="D1179" s="2">
        <v>1</v>
      </c>
      <c r="E1179" s="51">
        <v>0</v>
      </c>
      <c r="F1179" s="105"/>
      <c r="H1179" s="2"/>
      <c r="I1179" s="2">
        <v>1</v>
      </c>
      <c r="J1179" s="2">
        <v>0</v>
      </c>
      <c r="K1179" s="2">
        <v>0</v>
      </c>
      <c r="L1179" s="2">
        <v>0.39500000000000002</v>
      </c>
      <c r="M1179" s="2">
        <v>0.41249999999999998</v>
      </c>
      <c r="N1179" s="244">
        <v>7.2072916666666661E-4</v>
      </c>
      <c r="O1179" s="2" t="s">
        <v>108</v>
      </c>
      <c r="P1179" s="2">
        <v>100</v>
      </c>
      <c r="Q1179" s="2" t="s">
        <v>55</v>
      </c>
      <c r="R1179" s="2" t="s">
        <v>112</v>
      </c>
      <c r="S1179" s="2"/>
      <c r="T1179" s="2">
        <v>11.68</v>
      </c>
      <c r="U1179" s="398">
        <v>11.68</v>
      </c>
      <c r="V1179" s="7">
        <v>0</v>
      </c>
      <c r="W1179" s="7" t="s">
        <v>1099</v>
      </c>
    </row>
    <row r="1180" spans="1:23" x14ac:dyDescent="0.35">
      <c r="A1180" s="2">
        <v>121</v>
      </c>
      <c r="B1180" s="109" t="s">
        <v>116</v>
      </c>
      <c r="C1180" s="110" t="s">
        <v>117</v>
      </c>
      <c r="D1180" s="2">
        <v>1</v>
      </c>
      <c r="E1180" s="51">
        <v>0</v>
      </c>
      <c r="F1180" s="105"/>
      <c r="H1180" s="2"/>
      <c r="I1180" s="2">
        <v>1</v>
      </c>
      <c r="J1180" s="2">
        <v>0</v>
      </c>
      <c r="K1180" s="2">
        <v>0</v>
      </c>
      <c r="L1180" s="2">
        <v>0.37999999999999995</v>
      </c>
      <c r="M1180" s="2">
        <v>0.39583333333333331</v>
      </c>
      <c r="N1180" s="244">
        <v>7.3046875E-4</v>
      </c>
      <c r="O1180" s="2" t="s">
        <v>108</v>
      </c>
      <c r="P1180" s="2">
        <v>100</v>
      </c>
      <c r="Q1180" s="2" t="s">
        <v>55</v>
      </c>
      <c r="R1180" s="2" t="s">
        <v>116</v>
      </c>
      <c r="S1180" s="2"/>
      <c r="T1180" s="2">
        <v>11.68</v>
      </c>
      <c r="U1180" s="398">
        <v>11.68</v>
      </c>
      <c r="V1180" s="7">
        <v>0</v>
      </c>
      <c r="W1180" s="7" t="s">
        <v>1099</v>
      </c>
    </row>
    <row r="1181" spans="1:23" x14ac:dyDescent="0.35">
      <c r="A1181" s="2">
        <v>121</v>
      </c>
      <c r="B1181" s="109" t="s">
        <v>118</v>
      </c>
      <c r="C1181" s="110" t="s">
        <v>119</v>
      </c>
      <c r="D1181" s="2">
        <v>1</v>
      </c>
      <c r="E1181" s="51">
        <v>0</v>
      </c>
      <c r="F1181" s="105"/>
      <c r="H1181" s="2"/>
      <c r="I1181" s="2">
        <v>1</v>
      </c>
      <c r="J1181" s="2">
        <v>0</v>
      </c>
      <c r="K1181" s="2">
        <v>0</v>
      </c>
      <c r="L1181" s="2">
        <v>0.37999999999999995</v>
      </c>
      <c r="M1181" s="2">
        <v>0.39583333333333331</v>
      </c>
      <c r="N1181" s="244">
        <v>7.3046875E-4</v>
      </c>
      <c r="O1181" s="2" t="s">
        <v>108</v>
      </c>
      <c r="P1181" s="2">
        <v>100</v>
      </c>
      <c r="Q1181" s="2" t="s">
        <v>55</v>
      </c>
      <c r="R1181" s="2" t="s">
        <v>118</v>
      </c>
      <c r="S1181" s="2"/>
      <c r="T1181" s="2">
        <v>11.68</v>
      </c>
      <c r="U1181" s="398">
        <v>11.68</v>
      </c>
      <c r="V1181" s="7">
        <v>0</v>
      </c>
      <c r="W1181" s="7" t="s">
        <v>1099</v>
      </c>
    </row>
    <row r="1182" spans="1:23" x14ac:dyDescent="0.35">
      <c r="A1182" s="2">
        <v>121</v>
      </c>
      <c r="B1182" s="109" t="s">
        <v>1218</v>
      </c>
      <c r="C1182" s="110" t="s">
        <v>1197</v>
      </c>
      <c r="D1182" s="2">
        <v>1</v>
      </c>
      <c r="E1182" s="51">
        <v>0</v>
      </c>
      <c r="F1182" s="105"/>
      <c r="H1182" s="2"/>
      <c r="I1182" s="2">
        <v>1</v>
      </c>
      <c r="J1182" s="2">
        <v>0</v>
      </c>
      <c r="K1182" s="2">
        <v>0</v>
      </c>
      <c r="L1182" s="2">
        <v>0.37999999999999995</v>
      </c>
      <c r="M1182" s="2">
        <v>0.39583333333333331</v>
      </c>
      <c r="N1182" s="244">
        <v>7.3046875E-4</v>
      </c>
      <c r="O1182" s="2" t="s">
        <v>108</v>
      </c>
      <c r="P1182" s="2">
        <v>100</v>
      </c>
      <c r="Q1182" s="2" t="s">
        <v>55</v>
      </c>
      <c r="R1182" s="2" t="s">
        <v>120</v>
      </c>
      <c r="S1182" s="2"/>
      <c r="T1182" s="2">
        <v>11.68</v>
      </c>
      <c r="U1182" s="398">
        <v>11.68</v>
      </c>
      <c r="V1182" s="7">
        <v>0</v>
      </c>
      <c r="W1182" s="7" t="s">
        <v>1099</v>
      </c>
    </row>
    <row r="1183" spans="1:23" x14ac:dyDescent="0.35">
      <c r="A1183" s="2">
        <v>121</v>
      </c>
      <c r="B1183" s="109" t="s">
        <v>122</v>
      </c>
      <c r="C1183" s="110" t="s">
        <v>123</v>
      </c>
      <c r="D1183" s="2">
        <v>1</v>
      </c>
      <c r="E1183" s="51">
        <v>0</v>
      </c>
      <c r="F1183" s="105"/>
      <c r="H1183" s="2"/>
      <c r="I1183" s="2">
        <v>1</v>
      </c>
      <c r="J1183" s="2">
        <v>0</v>
      </c>
      <c r="K1183" s="2">
        <v>0</v>
      </c>
      <c r="L1183" s="2">
        <v>0.37999999999999995</v>
      </c>
      <c r="M1183" s="2">
        <v>0.39583333333333331</v>
      </c>
      <c r="N1183" s="244">
        <v>7.3046875E-4</v>
      </c>
      <c r="O1183" s="2" t="s">
        <v>108</v>
      </c>
      <c r="P1183" s="2">
        <v>100</v>
      </c>
      <c r="Q1183" s="2" t="s">
        <v>55</v>
      </c>
      <c r="R1183" s="2" t="s">
        <v>122</v>
      </c>
      <c r="S1183" s="2"/>
      <c r="T1183" s="2">
        <v>11.68</v>
      </c>
      <c r="U1183" s="398">
        <v>11.68</v>
      </c>
      <c r="V1183" s="7">
        <v>0</v>
      </c>
      <c r="W1183" s="7" t="s">
        <v>1099</v>
      </c>
    </row>
    <row r="1184" spans="1:23" x14ac:dyDescent="0.35">
      <c r="A1184" s="2">
        <v>121</v>
      </c>
      <c r="B1184" s="109" t="s">
        <v>91</v>
      </c>
      <c r="C1184" s="110" t="s">
        <v>92</v>
      </c>
      <c r="D1184" s="2">
        <v>1</v>
      </c>
      <c r="E1184" s="51">
        <v>0</v>
      </c>
      <c r="F1184" s="105"/>
      <c r="H1184" s="2"/>
      <c r="I1184" s="2">
        <v>1</v>
      </c>
      <c r="J1184" s="2">
        <v>0</v>
      </c>
      <c r="K1184" s="2">
        <v>0</v>
      </c>
      <c r="L1184" s="2">
        <v>0.3133333333333333</v>
      </c>
      <c r="M1184" s="2">
        <v>0.34291666666666665</v>
      </c>
      <c r="N1184" s="244">
        <v>9.3524999999999988E-4</v>
      </c>
      <c r="O1184" s="2" t="s">
        <v>934</v>
      </c>
      <c r="P1184" s="2">
        <v>100</v>
      </c>
      <c r="Q1184" s="2" t="s">
        <v>55</v>
      </c>
      <c r="R1184" s="2" t="s">
        <v>91</v>
      </c>
      <c r="S1184" s="2"/>
      <c r="T1184" s="2">
        <v>5</v>
      </c>
      <c r="U1184" s="398">
        <v>5</v>
      </c>
      <c r="V1184" s="7">
        <v>0</v>
      </c>
      <c r="W1184" s="7" t="s">
        <v>1099</v>
      </c>
    </row>
    <row r="1185" spans="1:23" x14ac:dyDescent="0.35">
      <c r="A1185" s="2">
        <v>121</v>
      </c>
      <c r="B1185" s="109" t="s">
        <v>93</v>
      </c>
      <c r="C1185" s="110" t="s">
        <v>94</v>
      </c>
      <c r="D1185" s="2">
        <v>1</v>
      </c>
      <c r="E1185" s="51">
        <v>0</v>
      </c>
      <c r="F1185" s="105"/>
      <c r="H1185" s="2"/>
      <c r="I1185" s="2">
        <v>1</v>
      </c>
      <c r="J1185" s="2">
        <v>0</v>
      </c>
      <c r="K1185" s="2">
        <v>0</v>
      </c>
      <c r="L1185" s="2">
        <v>0.3133333333333333</v>
      </c>
      <c r="M1185" s="2">
        <v>0.34291666666666665</v>
      </c>
      <c r="N1185" s="244">
        <v>9.3524999999999988E-4</v>
      </c>
      <c r="O1185" s="2" t="s">
        <v>934</v>
      </c>
      <c r="P1185" s="2">
        <v>100</v>
      </c>
      <c r="Q1185" s="2" t="s">
        <v>55</v>
      </c>
      <c r="R1185" s="2" t="s">
        <v>93</v>
      </c>
      <c r="S1185" s="2"/>
      <c r="T1185" s="2">
        <v>5</v>
      </c>
      <c r="U1185" s="398">
        <v>5</v>
      </c>
      <c r="V1185" s="7">
        <v>0</v>
      </c>
      <c r="W1185" s="7" t="s">
        <v>1099</v>
      </c>
    </row>
    <row r="1186" spans="1:23" x14ac:dyDescent="0.35">
      <c r="A1186" s="2">
        <v>121</v>
      </c>
      <c r="B1186" s="109" t="s">
        <v>95</v>
      </c>
      <c r="C1186" s="110" t="s">
        <v>96</v>
      </c>
      <c r="D1186" s="2">
        <v>1</v>
      </c>
      <c r="E1186" s="51">
        <v>0</v>
      </c>
      <c r="F1186" s="105"/>
      <c r="H1186" s="2"/>
      <c r="I1186" s="2">
        <v>1</v>
      </c>
      <c r="J1186" s="2">
        <v>0</v>
      </c>
      <c r="K1186" s="2">
        <v>0</v>
      </c>
      <c r="L1186" s="2">
        <v>0.3133333333333333</v>
      </c>
      <c r="M1186" s="2">
        <v>0.34291666666666665</v>
      </c>
      <c r="N1186" s="244">
        <v>9.3524999999999988E-4</v>
      </c>
      <c r="O1186" s="2" t="s">
        <v>934</v>
      </c>
      <c r="P1186" s="2">
        <v>100</v>
      </c>
      <c r="Q1186" s="2" t="s">
        <v>55</v>
      </c>
      <c r="R1186" s="2" t="s">
        <v>95</v>
      </c>
      <c r="S1186" s="2"/>
      <c r="T1186" s="2">
        <v>5</v>
      </c>
      <c r="U1186" s="398">
        <v>5</v>
      </c>
      <c r="V1186" s="7">
        <v>0</v>
      </c>
      <c r="W1186" s="7" t="s">
        <v>1099</v>
      </c>
    </row>
    <row r="1187" spans="1:23" x14ac:dyDescent="0.35">
      <c r="A1187" s="2">
        <v>121</v>
      </c>
      <c r="B1187" s="109" t="s">
        <v>97</v>
      </c>
      <c r="C1187" s="110" t="s">
        <v>98</v>
      </c>
      <c r="D1187" s="2">
        <v>1</v>
      </c>
      <c r="E1187" s="51">
        <v>0</v>
      </c>
      <c r="F1187" s="105"/>
      <c r="H1187" s="2"/>
      <c r="I1187" s="2">
        <v>1</v>
      </c>
      <c r="J1187" s="2">
        <v>0</v>
      </c>
      <c r="K1187" s="2">
        <v>0</v>
      </c>
      <c r="L1187" s="2">
        <v>0.3133333333333333</v>
      </c>
      <c r="M1187" s="2">
        <v>0.34291666666666665</v>
      </c>
      <c r="N1187" s="244">
        <v>9.3524999999999988E-4</v>
      </c>
      <c r="O1187" s="2" t="s">
        <v>934</v>
      </c>
      <c r="P1187" s="2">
        <v>100</v>
      </c>
      <c r="Q1187" s="2" t="s">
        <v>55</v>
      </c>
      <c r="R1187" s="2" t="s">
        <v>97</v>
      </c>
      <c r="S1187" s="2"/>
      <c r="T1187" s="2">
        <v>5</v>
      </c>
      <c r="U1187" s="398">
        <v>5</v>
      </c>
      <c r="V1187" s="7">
        <v>0</v>
      </c>
      <c r="W1187" s="7" t="s">
        <v>1099</v>
      </c>
    </row>
    <row r="1188" spans="1:23" x14ac:dyDescent="0.35">
      <c r="A1188" s="2">
        <v>121</v>
      </c>
      <c r="B1188" s="109" t="s">
        <v>99</v>
      </c>
      <c r="C1188" s="110" t="s">
        <v>100</v>
      </c>
      <c r="D1188" s="2">
        <v>1</v>
      </c>
      <c r="E1188" s="51">
        <v>0</v>
      </c>
      <c r="F1188" s="105"/>
      <c r="H1188" s="2"/>
      <c r="I1188" s="2">
        <v>1</v>
      </c>
      <c r="J1188" s="2">
        <v>0</v>
      </c>
      <c r="K1188" s="2">
        <v>0</v>
      </c>
      <c r="L1188" s="2">
        <v>0.28625</v>
      </c>
      <c r="M1188" s="2">
        <v>0.31499999999999995</v>
      </c>
      <c r="N1188" s="244">
        <v>1.0481249999999998E-3</v>
      </c>
      <c r="O1188" s="2" t="s">
        <v>934</v>
      </c>
      <c r="P1188" s="2">
        <v>100</v>
      </c>
      <c r="Q1188" s="2" t="s">
        <v>55</v>
      </c>
      <c r="R1188" s="2" t="s">
        <v>99</v>
      </c>
      <c r="S1188" s="2"/>
      <c r="T1188" s="2">
        <v>5</v>
      </c>
      <c r="U1188" s="398">
        <v>5</v>
      </c>
      <c r="V1188" s="7">
        <v>0</v>
      </c>
      <c r="W1188" s="7" t="s">
        <v>1099</v>
      </c>
    </row>
    <row r="1189" spans="1:23" x14ac:dyDescent="0.35">
      <c r="A1189" s="2">
        <v>121</v>
      </c>
      <c r="B1189" s="109" t="s">
        <v>101</v>
      </c>
      <c r="C1189" s="110" t="s">
        <v>102</v>
      </c>
      <c r="D1189" s="2">
        <v>1</v>
      </c>
      <c r="E1189" s="51">
        <v>0</v>
      </c>
      <c r="F1189" s="105"/>
      <c r="H1189" s="2"/>
      <c r="I1189" s="2">
        <v>1</v>
      </c>
      <c r="J1189" s="2">
        <v>0</v>
      </c>
      <c r="K1189" s="2">
        <v>0</v>
      </c>
      <c r="L1189" s="2">
        <v>0.28625</v>
      </c>
      <c r="M1189" s="2">
        <v>0.31499999999999995</v>
      </c>
      <c r="N1189" s="244">
        <v>1.0481249999999998E-3</v>
      </c>
      <c r="O1189" s="2" t="s">
        <v>934</v>
      </c>
      <c r="P1189" s="2">
        <v>100</v>
      </c>
      <c r="Q1189" s="2" t="s">
        <v>55</v>
      </c>
      <c r="R1189" s="2" t="s">
        <v>101</v>
      </c>
      <c r="S1189" s="2"/>
      <c r="T1189" s="2">
        <v>5</v>
      </c>
      <c r="U1189" s="398">
        <v>5</v>
      </c>
      <c r="V1189" s="7">
        <v>0</v>
      </c>
      <c r="W1189" s="7" t="s">
        <v>1099</v>
      </c>
    </row>
    <row r="1190" spans="1:23" x14ac:dyDescent="0.35">
      <c r="A1190" s="2">
        <v>121</v>
      </c>
      <c r="B1190" s="109" t="s">
        <v>103</v>
      </c>
      <c r="C1190" s="110" t="s">
        <v>104</v>
      </c>
      <c r="D1190" s="2">
        <v>1</v>
      </c>
      <c r="E1190" s="51">
        <v>0</v>
      </c>
      <c r="F1190" s="105"/>
      <c r="H1190" s="2"/>
      <c r="I1190" s="2">
        <v>1</v>
      </c>
      <c r="J1190" s="2">
        <v>0</v>
      </c>
      <c r="K1190" s="2">
        <v>0</v>
      </c>
      <c r="L1190" s="2">
        <v>0.28625</v>
      </c>
      <c r="M1190" s="2">
        <v>0.31499999999999995</v>
      </c>
      <c r="N1190" s="244">
        <v>1.0481249999999998E-3</v>
      </c>
      <c r="O1190" s="2" t="s">
        <v>934</v>
      </c>
      <c r="P1190" s="2">
        <v>100</v>
      </c>
      <c r="Q1190" s="2" t="s">
        <v>55</v>
      </c>
      <c r="R1190" s="2" t="s">
        <v>103</v>
      </c>
      <c r="S1190" s="2"/>
      <c r="T1190" s="2">
        <v>5</v>
      </c>
      <c r="U1190" s="398">
        <v>5</v>
      </c>
      <c r="V1190" s="7">
        <v>0</v>
      </c>
      <c r="W1190" s="7" t="s">
        <v>1099</v>
      </c>
    </row>
    <row r="1191" spans="1:23" x14ac:dyDescent="0.35">
      <c r="A1191" s="2">
        <v>121</v>
      </c>
      <c r="B1191" s="109" t="s">
        <v>105</v>
      </c>
      <c r="C1191" s="110" t="s">
        <v>106</v>
      </c>
      <c r="D1191" s="2">
        <v>1</v>
      </c>
      <c r="E1191" s="51">
        <v>0</v>
      </c>
      <c r="F1191" s="105"/>
      <c r="H1191" s="2"/>
      <c r="I1191" s="2">
        <v>1</v>
      </c>
      <c r="J1191" s="2">
        <v>0</v>
      </c>
      <c r="K1191" s="2">
        <v>0</v>
      </c>
      <c r="L1191" s="2">
        <v>0.28625</v>
      </c>
      <c r="M1191" s="2">
        <v>0.31499999999999995</v>
      </c>
      <c r="N1191" s="244">
        <v>1.0481249999999998E-3</v>
      </c>
      <c r="O1191" s="2" t="s">
        <v>934</v>
      </c>
      <c r="P1191" s="2">
        <v>100</v>
      </c>
      <c r="Q1191" s="2" t="s">
        <v>55</v>
      </c>
      <c r="R1191" s="2" t="s">
        <v>105</v>
      </c>
      <c r="S1191" s="2"/>
      <c r="T1191" s="2">
        <v>5</v>
      </c>
      <c r="U1191" s="398">
        <v>5</v>
      </c>
      <c r="V1191" s="7">
        <v>0</v>
      </c>
      <c r="W1191" s="7" t="s">
        <v>1099</v>
      </c>
    </row>
    <row r="1192" spans="1:23" x14ac:dyDescent="0.35">
      <c r="A1192" s="2">
        <v>121</v>
      </c>
      <c r="B1192" s="109" t="s">
        <v>23</v>
      </c>
      <c r="C1192" s="110" t="s">
        <v>24</v>
      </c>
      <c r="D1192" s="2">
        <v>1</v>
      </c>
      <c r="E1192" s="51">
        <v>0</v>
      </c>
      <c r="F1192" s="105"/>
      <c r="H1192" s="2"/>
      <c r="I1192" s="2">
        <v>1</v>
      </c>
      <c r="J1192" s="2">
        <v>0</v>
      </c>
      <c r="K1192" s="2">
        <v>0</v>
      </c>
      <c r="L1192" s="2">
        <v>0.42</v>
      </c>
      <c r="M1192" s="2">
        <v>0.48249999999999998</v>
      </c>
      <c r="N1192" s="244">
        <v>2.3402499999999999E-3</v>
      </c>
      <c r="O1192" s="2" t="s">
        <v>18</v>
      </c>
      <c r="P1192" s="2">
        <v>50</v>
      </c>
      <c r="Q1192" s="2">
        <v>0</v>
      </c>
      <c r="R1192" s="2" t="s">
        <v>23</v>
      </c>
      <c r="S1192" s="2">
        <v>1</v>
      </c>
      <c r="T1192" s="2">
        <v>5.23</v>
      </c>
      <c r="U1192" s="398">
        <v>5.23</v>
      </c>
      <c r="V1192" s="7">
        <v>0</v>
      </c>
      <c r="W1192" s="7" t="s">
        <v>1099</v>
      </c>
    </row>
    <row r="1193" spans="1:23" x14ac:dyDescent="0.35">
      <c r="A1193" s="2">
        <v>121</v>
      </c>
      <c r="B1193" s="109" t="s">
        <v>40</v>
      </c>
      <c r="C1193" s="110" t="s">
        <v>41</v>
      </c>
      <c r="D1193" s="2">
        <v>1</v>
      </c>
      <c r="E1193" s="51">
        <v>0</v>
      </c>
      <c r="F1193" s="105"/>
      <c r="H1193" s="2"/>
      <c r="I1193" s="2">
        <v>1</v>
      </c>
      <c r="J1193" s="2">
        <v>0</v>
      </c>
      <c r="K1193" s="2">
        <v>0</v>
      </c>
      <c r="L1193" s="2">
        <v>0.51416666666666666</v>
      </c>
      <c r="M1193" s="2">
        <v>0.56416666666666659</v>
      </c>
      <c r="N1193" s="244">
        <v>3.2484999999999997E-3</v>
      </c>
      <c r="O1193" s="2" t="s">
        <v>18</v>
      </c>
      <c r="P1193" s="2">
        <v>50</v>
      </c>
      <c r="Q1193" s="2">
        <v>0</v>
      </c>
      <c r="R1193" s="2" t="s">
        <v>40</v>
      </c>
      <c r="S1193" s="2"/>
      <c r="T1193" s="2">
        <v>6.16</v>
      </c>
      <c r="U1193" s="398">
        <v>6.16</v>
      </c>
      <c r="V1193" s="7">
        <v>0</v>
      </c>
      <c r="W1193" s="7" t="s">
        <v>1099</v>
      </c>
    </row>
    <row r="1194" spans="1:23" x14ac:dyDescent="0.35">
      <c r="A1194" s="2">
        <v>121</v>
      </c>
      <c r="B1194" s="109" t="s">
        <v>29</v>
      </c>
      <c r="C1194" s="110" t="s">
        <v>31</v>
      </c>
      <c r="D1194" s="2">
        <v>1</v>
      </c>
      <c r="E1194" s="51">
        <v>0</v>
      </c>
      <c r="F1194" s="105"/>
      <c r="H1194" s="2"/>
      <c r="I1194" s="2">
        <v>1</v>
      </c>
      <c r="J1194" s="2">
        <v>0</v>
      </c>
      <c r="K1194" s="2">
        <v>0</v>
      </c>
      <c r="L1194" s="2">
        <v>0.39833333333333332</v>
      </c>
      <c r="M1194" s="2">
        <v>0.4375</v>
      </c>
      <c r="N1194" s="244">
        <v>2.3402499999999999E-3</v>
      </c>
      <c r="O1194" s="2" t="s">
        <v>18</v>
      </c>
      <c r="P1194" s="2">
        <v>50</v>
      </c>
      <c r="Q1194" s="2">
        <v>0</v>
      </c>
      <c r="R1194" s="2" t="s">
        <v>29</v>
      </c>
      <c r="S1194" s="2">
        <v>1</v>
      </c>
      <c r="T1194" s="2">
        <v>5.23</v>
      </c>
      <c r="U1194" s="398">
        <v>5.23</v>
      </c>
      <c r="V1194" s="7">
        <v>0</v>
      </c>
      <c r="W1194" s="7" t="s">
        <v>1099</v>
      </c>
    </row>
    <row r="1195" spans="1:23" x14ac:dyDescent="0.35">
      <c r="A1195" s="2">
        <v>121</v>
      </c>
      <c r="B1195" s="109" t="s">
        <v>52</v>
      </c>
      <c r="C1195" s="110" t="s">
        <v>53</v>
      </c>
      <c r="D1195" s="2">
        <v>1</v>
      </c>
      <c r="E1195" s="51">
        <v>0</v>
      </c>
      <c r="F1195" s="105"/>
      <c r="H1195" s="2"/>
      <c r="I1195" s="2">
        <v>1</v>
      </c>
      <c r="J1195" s="2">
        <v>0</v>
      </c>
      <c r="K1195" s="2">
        <v>0</v>
      </c>
      <c r="L1195" s="2">
        <v>0.47499999999999998</v>
      </c>
      <c r="M1195" s="2">
        <v>0.52499999999999991</v>
      </c>
      <c r="N1195" s="244">
        <v>3.2484999999999997E-3</v>
      </c>
      <c r="O1195" s="2" t="s">
        <v>18</v>
      </c>
      <c r="P1195" s="2">
        <v>50</v>
      </c>
      <c r="Q1195" s="2">
        <v>0</v>
      </c>
      <c r="R1195" s="2" t="s">
        <v>52</v>
      </c>
      <c r="S1195" s="2"/>
      <c r="T1195" s="2">
        <v>6.16</v>
      </c>
      <c r="U1195" s="398">
        <v>6.16</v>
      </c>
      <c r="V1195" s="7">
        <v>0</v>
      </c>
      <c r="W1195" s="7" t="s">
        <v>1099</v>
      </c>
    </row>
    <row r="1196" spans="1:23" x14ac:dyDescent="0.35">
      <c r="A1196" s="2">
        <v>121</v>
      </c>
      <c r="B1196" s="109" t="s">
        <v>88</v>
      </c>
      <c r="C1196" s="110" t="s">
        <v>89</v>
      </c>
      <c r="D1196" s="2">
        <v>1</v>
      </c>
      <c r="E1196" s="51">
        <v>0</v>
      </c>
      <c r="F1196" s="105"/>
      <c r="H1196" s="2"/>
      <c r="I1196" s="2">
        <v>1</v>
      </c>
      <c r="J1196" s="2">
        <v>0</v>
      </c>
      <c r="K1196" s="2">
        <v>0</v>
      </c>
      <c r="L1196" s="2">
        <v>0.73</v>
      </c>
      <c r="M1196" s="2">
        <v>1.0250000000000001</v>
      </c>
      <c r="N1196" s="244">
        <v>3.6800000000000001E-3</v>
      </c>
      <c r="O1196" s="2" t="s">
        <v>18</v>
      </c>
      <c r="P1196" s="2">
        <v>100</v>
      </c>
      <c r="Q1196" s="2">
        <v>0</v>
      </c>
      <c r="R1196" s="2" t="s">
        <v>88</v>
      </c>
      <c r="S1196" s="2">
        <v>1</v>
      </c>
      <c r="T1196" s="2">
        <v>15.89</v>
      </c>
      <c r="U1196" s="398">
        <v>15.89</v>
      </c>
      <c r="V1196" s="7">
        <v>0</v>
      </c>
      <c r="W1196" s="7" t="s">
        <v>1099</v>
      </c>
    </row>
    <row r="1197" spans="1:23" x14ac:dyDescent="0.35">
      <c r="A1197" s="2">
        <v>121</v>
      </c>
      <c r="B1197" s="109" t="s">
        <v>141</v>
      </c>
      <c r="C1197" s="110" t="s">
        <v>142</v>
      </c>
      <c r="D1197" s="2">
        <v>1</v>
      </c>
      <c r="E1197" s="51">
        <v>0</v>
      </c>
      <c r="F1197" s="105"/>
      <c r="H1197" s="2"/>
      <c r="I1197" s="2">
        <v>1</v>
      </c>
      <c r="J1197" s="2">
        <v>0</v>
      </c>
      <c r="K1197" s="2">
        <v>0</v>
      </c>
      <c r="L1197" s="2">
        <v>0.39500000000000002</v>
      </c>
      <c r="M1197" s="2">
        <v>0.41249999999999998</v>
      </c>
      <c r="N1197" s="244">
        <v>7.3046875E-4</v>
      </c>
      <c r="O1197" s="2" t="s">
        <v>108</v>
      </c>
      <c r="P1197" s="2">
        <v>100</v>
      </c>
      <c r="Q1197" s="2" t="s">
        <v>55</v>
      </c>
      <c r="R1197" s="2" t="s">
        <v>141</v>
      </c>
      <c r="S1197" s="2"/>
      <c r="T1197" s="2">
        <v>11.68</v>
      </c>
      <c r="U1197" s="398">
        <v>11.68</v>
      </c>
      <c r="V1197" s="7">
        <v>0</v>
      </c>
      <c r="W1197" s="7" t="s">
        <v>1099</v>
      </c>
    </row>
    <row r="1198" spans="1:23" x14ac:dyDescent="0.35">
      <c r="A1198" s="2">
        <v>121</v>
      </c>
      <c r="B1198" s="109" t="s">
        <v>143</v>
      </c>
      <c r="C1198" s="110" t="s">
        <v>144</v>
      </c>
      <c r="D1198" s="2">
        <v>1</v>
      </c>
      <c r="E1198" s="51">
        <v>0</v>
      </c>
      <c r="F1198" s="105"/>
      <c r="H1198" s="2"/>
      <c r="I1198" s="2">
        <v>1</v>
      </c>
      <c r="J1198" s="2">
        <v>0</v>
      </c>
      <c r="K1198" s="2">
        <v>0</v>
      </c>
      <c r="L1198" s="2">
        <v>0.39500000000000002</v>
      </c>
      <c r="M1198" s="2">
        <v>0.41249999999999998</v>
      </c>
      <c r="N1198" s="244">
        <v>7.3046875E-4</v>
      </c>
      <c r="O1198" s="2" t="s">
        <v>108</v>
      </c>
      <c r="P1198" s="2">
        <v>100</v>
      </c>
      <c r="Q1198" s="2" t="s">
        <v>55</v>
      </c>
      <c r="R1198" s="2" t="s">
        <v>143</v>
      </c>
      <c r="S1198" s="2"/>
      <c r="T1198" s="2">
        <v>11.68</v>
      </c>
      <c r="U1198" s="398">
        <v>11.68</v>
      </c>
      <c r="V1198" s="7">
        <v>0</v>
      </c>
      <c r="W1198" s="7" t="s">
        <v>1099</v>
      </c>
    </row>
    <row r="1199" spans="1:23" x14ac:dyDescent="0.35">
      <c r="A1199" s="2">
        <v>121</v>
      </c>
      <c r="B1199" s="109" t="s">
        <v>168</v>
      </c>
      <c r="C1199" s="110" t="s">
        <v>171</v>
      </c>
      <c r="D1199" s="2">
        <v>1</v>
      </c>
      <c r="E1199" s="51">
        <v>0</v>
      </c>
      <c r="F1199" s="105"/>
      <c r="H1199" s="2"/>
      <c r="I1199" s="2">
        <v>1</v>
      </c>
      <c r="J1199" s="2">
        <v>0</v>
      </c>
      <c r="K1199" s="2">
        <v>0</v>
      </c>
      <c r="L1199" s="2">
        <v>0.26458333333333328</v>
      </c>
      <c r="M1199" s="2">
        <v>0.29166666666666663</v>
      </c>
      <c r="N1199" s="244">
        <v>6.64125E-4</v>
      </c>
      <c r="O1199" s="2" t="s">
        <v>169</v>
      </c>
      <c r="P1199" s="2">
        <v>200</v>
      </c>
      <c r="Q1199" s="2" t="s">
        <v>170</v>
      </c>
      <c r="R1199" s="2" t="s">
        <v>168</v>
      </c>
      <c r="S1199" s="2"/>
      <c r="T1199" s="2">
        <v>2.0499999999999998</v>
      </c>
      <c r="U1199" s="398">
        <v>2.0499999999999998</v>
      </c>
      <c r="V1199" s="7">
        <v>0</v>
      </c>
      <c r="W1199" s="7" t="s">
        <v>1099</v>
      </c>
    </row>
    <row r="1200" spans="1:23" x14ac:dyDescent="0.35">
      <c r="A1200" s="2">
        <v>121</v>
      </c>
      <c r="B1200" s="109" t="s">
        <v>173</v>
      </c>
      <c r="C1200" s="110" t="s">
        <v>174</v>
      </c>
      <c r="D1200" s="2">
        <v>1</v>
      </c>
      <c r="E1200" s="51">
        <v>0</v>
      </c>
      <c r="F1200" s="105"/>
      <c r="H1200" s="2"/>
      <c r="I1200" s="2">
        <v>1</v>
      </c>
      <c r="J1200" s="2">
        <v>0</v>
      </c>
      <c r="K1200" s="2">
        <v>0</v>
      </c>
      <c r="L1200" s="2">
        <v>0.26458333333333328</v>
      </c>
      <c r="M1200" s="2">
        <v>0.29166666666666663</v>
      </c>
      <c r="N1200" s="244">
        <v>6.64125E-4</v>
      </c>
      <c r="O1200" s="2" t="s">
        <v>169</v>
      </c>
      <c r="P1200" s="2">
        <v>200</v>
      </c>
      <c r="Q1200" s="2" t="s">
        <v>170</v>
      </c>
      <c r="R1200" s="2" t="s">
        <v>173</v>
      </c>
      <c r="S1200" s="2"/>
      <c r="T1200" s="2">
        <v>2.0499999999999998</v>
      </c>
      <c r="U1200" s="398">
        <v>2.0499999999999998</v>
      </c>
      <c r="V1200" s="7">
        <v>0</v>
      </c>
      <c r="W1200" s="7" t="s">
        <v>1099</v>
      </c>
    </row>
    <row r="1201" spans="1:23" x14ac:dyDescent="0.35">
      <c r="A1201" s="2">
        <v>121</v>
      </c>
      <c r="B1201" s="109" t="s">
        <v>175</v>
      </c>
      <c r="C1201" s="110" t="s">
        <v>176</v>
      </c>
      <c r="D1201" s="2">
        <v>1</v>
      </c>
      <c r="E1201" s="51">
        <v>0</v>
      </c>
      <c r="F1201" s="105"/>
      <c r="H1201" s="2"/>
      <c r="I1201" s="2">
        <v>1</v>
      </c>
      <c r="J1201" s="2">
        <v>0</v>
      </c>
      <c r="K1201" s="2">
        <v>0</v>
      </c>
      <c r="L1201" s="2">
        <v>0.26458333333333328</v>
      </c>
      <c r="M1201" s="2">
        <v>0.29166666666666663</v>
      </c>
      <c r="N1201" s="244">
        <v>6.64125E-4</v>
      </c>
      <c r="O1201" s="2" t="s">
        <v>169</v>
      </c>
      <c r="P1201" s="2">
        <v>200</v>
      </c>
      <c r="Q1201" s="2" t="s">
        <v>170</v>
      </c>
      <c r="R1201" s="2" t="s">
        <v>175</v>
      </c>
      <c r="S1201" s="2"/>
      <c r="T1201" s="2">
        <v>2.0499999999999998</v>
      </c>
      <c r="U1201" s="398">
        <v>2.0499999999999998</v>
      </c>
      <c r="V1201" s="7">
        <v>0</v>
      </c>
      <c r="W1201" s="7" t="s">
        <v>1099</v>
      </c>
    </row>
    <row r="1202" spans="1:23" x14ac:dyDescent="0.35">
      <c r="A1202" s="2">
        <v>121</v>
      </c>
      <c r="B1202" s="109" t="s">
        <v>177</v>
      </c>
      <c r="C1202" s="110" t="s">
        <v>178</v>
      </c>
      <c r="D1202" s="2">
        <v>1</v>
      </c>
      <c r="E1202" s="51">
        <v>0</v>
      </c>
      <c r="F1202" s="105"/>
      <c r="H1202" s="2"/>
      <c r="I1202" s="2">
        <v>1</v>
      </c>
      <c r="J1202" s="2">
        <v>0</v>
      </c>
      <c r="K1202" s="2">
        <v>0</v>
      </c>
      <c r="L1202" s="2">
        <v>0.26458333333333328</v>
      </c>
      <c r="M1202" s="2">
        <v>0.29166666666666663</v>
      </c>
      <c r="N1202" s="244">
        <v>6.64125E-4</v>
      </c>
      <c r="O1202" s="2" t="s">
        <v>169</v>
      </c>
      <c r="P1202" s="2">
        <v>200</v>
      </c>
      <c r="Q1202" s="2" t="s">
        <v>170</v>
      </c>
      <c r="R1202" s="2" t="s">
        <v>177</v>
      </c>
      <c r="S1202" s="2"/>
      <c r="T1202" s="2">
        <v>2.0499999999999998</v>
      </c>
      <c r="U1202" s="398">
        <v>2.0499999999999998</v>
      </c>
      <c r="V1202" s="7">
        <v>0</v>
      </c>
      <c r="W1202" s="7" t="s">
        <v>1099</v>
      </c>
    </row>
    <row r="1203" spans="1:23" x14ac:dyDescent="0.35">
      <c r="A1203" s="2">
        <v>122</v>
      </c>
      <c r="B1203" s="109" t="s">
        <v>107</v>
      </c>
      <c r="C1203" s="110" t="s">
        <v>109</v>
      </c>
      <c r="D1203" s="2">
        <v>1</v>
      </c>
      <c r="E1203" s="51">
        <v>0</v>
      </c>
      <c r="F1203" s="105"/>
      <c r="H1203" s="2"/>
      <c r="I1203" s="2">
        <v>1</v>
      </c>
      <c r="J1203" s="2">
        <v>0</v>
      </c>
      <c r="K1203" s="2">
        <v>0</v>
      </c>
      <c r="L1203" s="2">
        <v>0.39500000000000002</v>
      </c>
      <c r="M1203" s="2">
        <v>0.41249999999999998</v>
      </c>
      <c r="N1203" s="244">
        <v>7.2072916666666661E-4</v>
      </c>
      <c r="O1203" s="2" t="s">
        <v>108</v>
      </c>
      <c r="P1203" s="2">
        <v>100</v>
      </c>
      <c r="Q1203" s="2" t="s">
        <v>55</v>
      </c>
      <c r="R1203" s="2" t="s">
        <v>107</v>
      </c>
      <c r="S1203" s="2"/>
      <c r="T1203" s="2">
        <v>11.68</v>
      </c>
      <c r="U1203" s="398">
        <v>11.68</v>
      </c>
      <c r="V1203" s="7">
        <v>0</v>
      </c>
      <c r="W1203" s="7" t="s">
        <v>1099</v>
      </c>
    </row>
    <row r="1204" spans="1:23" x14ac:dyDescent="0.35">
      <c r="A1204" s="2">
        <v>122</v>
      </c>
      <c r="B1204" s="109" t="s">
        <v>1216</v>
      </c>
      <c r="C1204" s="110" t="s">
        <v>648</v>
      </c>
      <c r="D1204" s="2">
        <v>1</v>
      </c>
      <c r="E1204" s="51">
        <v>0</v>
      </c>
      <c r="F1204" s="105"/>
      <c r="H1204" s="2"/>
      <c r="I1204" s="2">
        <v>1</v>
      </c>
      <c r="J1204" s="2">
        <v>0</v>
      </c>
      <c r="K1204" s="2">
        <v>0</v>
      </c>
      <c r="L1204" s="2">
        <v>0.39500000000000002</v>
      </c>
      <c r="M1204" s="2">
        <v>0.41249999999999998</v>
      </c>
      <c r="N1204" s="244">
        <v>7.2072916666666661E-4</v>
      </c>
      <c r="O1204" s="2" t="s">
        <v>108</v>
      </c>
      <c r="P1204" s="2">
        <v>100</v>
      </c>
      <c r="Q1204" s="2" t="s">
        <v>55</v>
      </c>
      <c r="R1204" s="2" t="s">
        <v>112</v>
      </c>
      <c r="S1204" s="2"/>
      <c r="T1204" s="2">
        <v>11.68</v>
      </c>
      <c r="U1204" s="398">
        <v>11.68</v>
      </c>
      <c r="V1204" s="7">
        <v>0</v>
      </c>
      <c r="W1204" s="7" t="s">
        <v>1099</v>
      </c>
    </row>
    <row r="1205" spans="1:23" x14ac:dyDescent="0.35">
      <c r="A1205" s="2">
        <v>122</v>
      </c>
      <c r="B1205" s="109" t="s">
        <v>116</v>
      </c>
      <c r="C1205" s="110" t="s">
        <v>117</v>
      </c>
      <c r="D1205" s="2">
        <v>1</v>
      </c>
      <c r="E1205" s="51">
        <v>0</v>
      </c>
      <c r="F1205" s="105"/>
      <c r="H1205" s="2"/>
      <c r="I1205" s="2">
        <v>1</v>
      </c>
      <c r="J1205" s="2">
        <v>0</v>
      </c>
      <c r="K1205" s="2">
        <v>0</v>
      </c>
      <c r="L1205" s="2">
        <v>0.37999999999999995</v>
      </c>
      <c r="M1205" s="2">
        <v>0.39583333333333331</v>
      </c>
      <c r="N1205" s="244">
        <v>7.3046875E-4</v>
      </c>
      <c r="O1205" s="2" t="s">
        <v>108</v>
      </c>
      <c r="P1205" s="2">
        <v>100</v>
      </c>
      <c r="Q1205" s="2" t="s">
        <v>55</v>
      </c>
      <c r="R1205" s="2" t="s">
        <v>116</v>
      </c>
      <c r="S1205" s="2"/>
      <c r="T1205" s="2">
        <v>11.68</v>
      </c>
      <c r="U1205" s="398">
        <v>11.68</v>
      </c>
      <c r="V1205" s="7">
        <v>0</v>
      </c>
      <c r="W1205" s="7" t="s">
        <v>1099</v>
      </c>
    </row>
    <row r="1206" spans="1:23" x14ac:dyDescent="0.35">
      <c r="A1206" s="2">
        <v>122</v>
      </c>
      <c r="B1206" s="109" t="s">
        <v>118</v>
      </c>
      <c r="C1206" s="110" t="s">
        <v>119</v>
      </c>
      <c r="D1206" s="2">
        <v>1</v>
      </c>
      <c r="E1206" s="51">
        <v>0</v>
      </c>
      <c r="F1206" s="105"/>
      <c r="H1206" s="2"/>
      <c r="I1206" s="2">
        <v>1</v>
      </c>
      <c r="J1206" s="2">
        <v>0</v>
      </c>
      <c r="K1206" s="2">
        <v>0</v>
      </c>
      <c r="L1206" s="2">
        <v>0.37999999999999995</v>
      </c>
      <c r="M1206" s="2">
        <v>0.39583333333333331</v>
      </c>
      <c r="N1206" s="244">
        <v>7.3046875E-4</v>
      </c>
      <c r="O1206" s="2" t="s">
        <v>108</v>
      </c>
      <c r="P1206" s="2">
        <v>100</v>
      </c>
      <c r="Q1206" s="2" t="s">
        <v>55</v>
      </c>
      <c r="R1206" s="2" t="s">
        <v>118</v>
      </c>
      <c r="S1206" s="2"/>
      <c r="T1206" s="2">
        <v>11.68</v>
      </c>
      <c r="U1206" s="398">
        <v>11.68</v>
      </c>
      <c r="V1206" s="7">
        <v>0</v>
      </c>
      <c r="W1206" s="7" t="s">
        <v>1099</v>
      </c>
    </row>
    <row r="1207" spans="1:23" x14ac:dyDescent="0.35">
      <c r="A1207" s="2">
        <v>122</v>
      </c>
      <c r="B1207" s="109" t="s">
        <v>1218</v>
      </c>
      <c r="C1207" s="110" t="s">
        <v>1197</v>
      </c>
      <c r="D1207" s="2">
        <v>1</v>
      </c>
      <c r="E1207" s="51">
        <v>0</v>
      </c>
      <c r="F1207" s="105"/>
      <c r="H1207" s="2"/>
      <c r="I1207" s="2">
        <v>1</v>
      </c>
      <c r="J1207" s="2">
        <v>0</v>
      </c>
      <c r="K1207" s="2">
        <v>0</v>
      </c>
      <c r="L1207" s="2">
        <v>0.37999999999999995</v>
      </c>
      <c r="M1207" s="2">
        <v>0.39583333333333331</v>
      </c>
      <c r="N1207" s="244">
        <v>7.3046875E-4</v>
      </c>
      <c r="O1207" s="2" t="s">
        <v>108</v>
      </c>
      <c r="P1207" s="2">
        <v>100</v>
      </c>
      <c r="Q1207" s="2" t="s">
        <v>55</v>
      </c>
      <c r="R1207" s="2" t="s">
        <v>120</v>
      </c>
      <c r="S1207" s="2"/>
      <c r="T1207" s="2">
        <v>11.68</v>
      </c>
      <c r="U1207" s="398">
        <v>11.68</v>
      </c>
      <c r="V1207" s="7">
        <v>0</v>
      </c>
      <c r="W1207" s="7" t="s">
        <v>1099</v>
      </c>
    </row>
    <row r="1208" spans="1:23" x14ac:dyDescent="0.35">
      <c r="A1208" s="2">
        <v>122</v>
      </c>
      <c r="B1208" s="109" t="s">
        <v>122</v>
      </c>
      <c r="C1208" s="110" t="s">
        <v>123</v>
      </c>
      <c r="D1208" s="2">
        <v>1</v>
      </c>
      <c r="E1208" s="51">
        <v>0</v>
      </c>
      <c r="F1208" s="105"/>
      <c r="H1208" s="2"/>
      <c r="I1208" s="2">
        <v>1</v>
      </c>
      <c r="J1208" s="2">
        <v>0</v>
      </c>
      <c r="K1208" s="2">
        <v>0</v>
      </c>
      <c r="L1208" s="2">
        <v>0.37999999999999995</v>
      </c>
      <c r="M1208" s="2">
        <v>0.39583333333333331</v>
      </c>
      <c r="N1208" s="244">
        <v>7.3046875E-4</v>
      </c>
      <c r="O1208" s="2" t="s">
        <v>108</v>
      </c>
      <c r="P1208" s="2">
        <v>100</v>
      </c>
      <c r="Q1208" s="2" t="s">
        <v>55</v>
      </c>
      <c r="R1208" s="2" t="s">
        <v>122</v>
      </c>
      <c r="S1208" s="2"/>
      <c r="T1208" s="2">
        <v>11.68</v>
      </c>
      <c r="U1208" s="398">
        <v>11.68</v>
      </c>
      <c r="V1208" s="7">
        <v>0</v>
      </c>
      <c r="W1208" s="7" t="s">
        <v>1099</v>
      </c>
    </row>
    <row r="1209" spans="1:23" x14ac:dyDescent="0.35">
      <c r="A1209" s="2">
        <v>122</v>
      </c>
      <c r="B1209" s="109" t="s">
        <v>91</v>
      </c>
      <c r="C1209" s="110" t="s">
        <v>92</v>
      </c>
      <c r="D1209" s="2">
        <v>1</v>
      </c>
      <c r="E1209" s="51">
        <v>0</v>
      </c>
      <c r="F1209" s="105"/>
      <c r="H1209" s="2"/>
      <c r="I1209" s="2">
        <v>1</v>
      </c>
      <c r="J1209" s="2">
        <v>0</v>
      </c>
      <c r="K1209" s="2">
        <v>0</v>
      </c>
      <c r="L1209" s="2">
        <v>0.3133333333333333</v>
      </c>
      <c r="M1209" s="2">
        <v>0.34291666666666665</v>
      </c>
      <c r="N1209" s="244">
        <v>9.3524999999999988E-4</v>
      </c>
      <c r="O1209" s="2" t="s">
        <v>934</v>
      </c>
      <c r="P1209" s="2">
        <v>100</v>
      </c>
      <c r="Q1209" s="2" t="s">
        <v>55</v>
      </c>
      <c r="R1209" s="2" t="s">
        <v>91</v>
      </c>
      <c r="S1209" s="2"/>
      <c r="T1209" s="2">
        <v>5</v>
      </c>
      <c r="U1209" s="398">
        <v>5</v>
      </c>
      <c r="V1209" s="7">
        <v>0</v>
      </c>
      <c r="W1209" s="7" t="s">
        <v>1099</v>
      </c>
    </row>
    <row r="1210" spans="1:23" x14ac:dyDescent="0.35">
      <c r="A1210" s="2">
        <v>122</v>
      </c>
      <c r="B1210" s="109" t="s">
        <v>93</v>
      </c>
      <c r="C1210" s="110" t="s">
        <v>94</v>
      </c>
      <c r="D1210" s="2">
        <v>1</v>
      </c>
      <c r="E1210" s="51">
        <v>0</v>
      </c>
      <c r="F1210" s="105"/>
      <c r="H1210" s="2"/>
      <c r="I1210" s="2">
        <v>1</v>
      </c>
      <c r="J1210" s="2">
        <v>0</v>
      </c>
      <c r="K1210" s="2">
        <v>0</v>
      </c>
      <c r="L1210" s="2">
        <v>0.3133333333333333</v>
      </c>
      <c r="M1210" s="2">
        <v>0.34291666666666665</v>
      </c>
      <c r="N1210" s="244">
        <v>9.3524999999999988E-4</v>
      </c>
      <c r="O1210" s="2" t="s">
        <v>934</v>
      </c>
      <c r="P1210" s="2">
        <v>100</v>
      </c>
      <c r="Q1210" s="2" t="s">
        <v>55</v>
      </c>
      <c r="R1210" s="2" t="s">
        <v>93</v>
      </c>
      <c r="S1210" s="2"/>
      <c r="T1210" s="2">
        <v>5</v>
      </c>
      <c r="U1210" s="398">
        <v>5</v>
      </c>
      <c r="V1210" s="7">
        <v>0</v>
      </c>
      <c r="W1210" s="7" t="s">
        <v>1099</v>
      </c>
    </row>
    <row r="1211" spans="1:23" x14ac:dyDescent="0.35">
      <c r="A1211" s="2">
        <v>122</v>
      </c>
      <c r="B1211" s="109" t="s">
        <v>95</v>
      </c>
      <c r="C1211" s="110" t="s">
        <v>96</v>
      </c>
      <c r="D1211" s="2">
        <v>1</v>
      </c>
      <c r="E1211" s="51">
        <v>0</v>
      </c>
      <c r="F1211" s="105"/>
      <c r="H1211" s="2"/>
      <c r="I1211" s="2">
        <v>1</v>
      </c>
      <c r="J1211" s="2">
        <v>0</v>
      </c>
      <c r="K1211" s="2">
        <v>0</v>
      </c>
      <c r="L1211" s="2">
        <v>0.3133333333333333</v>
      </c>
      <c r="M1211" s="2">
        <v>0.34291666666666665</v>
      </c>
      <c r="N1211" s="244">
        <v>9.3524999999999988E-4</v>
      </c>
      <c r="O1211" s="2" t="s">
        <v>934</v>
      </c>
      <c r="P1211" s="2">
        <v>100</v>
      </c>
      <c r="Q1211" s="2" t="s">
        <v>55</v>
      </c>
      <c r="R1211" s="2" t="s">
        <v>95</v>
      </c>
      <c r="S1211" s="2"/>
      <c r="T1211" s="2">
        <v>5</v>
      </c>
      <c r="U1211" s="398">
        <v>5</v>
      </c>
      <c r="V1211" s="7">
        <v>0</v>
      </c>
      <c r="W1211" s="7" t="s">
        <v>1099</v>
      </c>
    </row>
    <row r="1212" spans="1:23" x14ac:dyDescent="0.35">
      <c r="A1212" s="2">
        <v>122</v>
      </c>
      <c r="B1212" s="109" t="s">
        <v>97</v>
      </c>
      <c r="C1212" s="110" t="s">
        <v>98</v>
      </c>
      <c r="D1212" s="2">
        <v>1</v>
      </c>
      <c r="E1212" s="51">
        <v>0</v>
      </c>
      <c r="F1212" s="105"/>
      <c r="H1212" s="2"/>
      <c r="I1212" s="2">
        <v>1</v>
      </c>
      <c r="J1212" s="2">
        <v>0</v>
      </c>
      <c r="K1212" s="2">
        <v>0</v>
      </c>
      <c r="L1212" s="2">
        <v>0.3133333333333333</v>
      </c>
      <c r="M1212" s="2">
        <v>0.34291666666666665</v>
      </c>
      <c r="N1212" s="244">
        <v>9.3524999999999988E-4</v>
      </c>
      <c r="O1212" s="2" t="s">
        <v>934</v>
      </c>
      <c r="P1212" s="2">
        <v>100</v>
      </c>
      <c r="Q1212" s="2" t="s">
        <v>55</v>
      </c>
      <c r="R1212" s="2" t="s">
        <v>97</v>
      </c>
      <c r="S1212" s="2"/>
      <c r="T1212" s="2">
        <v>5</v>
      </c>
      <c r="U1212" s="398">
        <v>5</v>
      </c>
      <c r="V1212" s="7">
        <v>0</v>
      </c>
      <c r="W1212" s="7" t="s">
        <v>1099</v>
      </c>
    </row>
    <row r="1213" spans="1:23" x14ac:dyDescent="0.35">
      <c r="A1213" s="2">
        <v>122</v>
      </c>
      <c r="B1213" s="109" t="s">
        <v>99</v>
      </c>
      <c r="C1213" s="110" t="s">
        <v>100</v>
      </c>
      <c r="D1213" s="2">
        <v>1</v>
      </c>
      <c r="E1213" s="51">
        <v>0</v>
      </c>
      <c r="F1213" s="105"/>
      <c r="H1213" s="2"/>
      <c r="I1213" s="2">
        <v>1</v>
      </c>
      <c r="J1213" s="2">
        <v>0</v>
      </c>
      <c r="K1213" s="2">
        <v>0</v>
      </c>
      <c r="L1213" s="2">
        <v>0.28625</v>
      </c>
      <c r="M1213" s="2">
        <v>0.31499999999999995</v>
      </c>
      <c r="N1213" s="244">
        <v>1.0481249999999998E-3</v>
      </c>
      <c r="O1213" s="2" t="s">
        <v>934</v>
      </c>
      <c r="P1213" s="2">
        <v>100</v>
      </c>
      <c r="Q1213" s="2" t="s">
        <v>55</v>
      </c>
      <c r="R1213" s="2" t="s">
        <v>99</v>
      </c>
      <c r="S1213" s="2"/>
      <c r="T1213" s="2">
        <v>5</v>
      </c>
      <c r="U1213" s="398">
        <v>5</v>
      </c>
      <c r="V1213" s="7">
        <v>0</v>
      </c>
      <c r="W1213" s="7" t="s">
        <v>1099</v>
      </c>
    </row>
    <row r="1214" spans="1:23" x14ac:dyDescent="0.35">
      <c r="A1214" s="2">
        <v>122</v>
      </c>
      <c r="B1214" s="109" t="s">
        <v>101</v>
      </c>
      <c r="C1214" s="110" t="s">
        <v>102</v>
      </c>
      <c r="D1214" s="2">
        <v>1</v>
      </c>
      <c r="E1214" s="51">
        <v>0</v>
      </c>
      <c r="F1214" s="105"/>
      <c r="H1214" s="2"/>
      <c r="I1214" s="2">
        <v>1</v>
      </c>
      <c r="J1214" s="2">
        <v>0</v>
      </c>
      <c r="K1214" s="2">
        <v>0</v>
      </c>
      <c r="L1214" s="2">
        <v>0.28625</v>
      </c>
      <c r="M1214" s="2">
        <v>0.31499999999999995</v>
      </c>
      <c r="N1214" s="244">
        <v>1.0481249999999998E-3</v>
      </c>
      <c r="O1214" s="2" t="s">
        <v>934</v>
      </c>
      <c r="P1214" s="2">
        <v>100</v>
      </c>
      <c r="Q1214" s="2" t="s">
        <v>55</v>
      </c>
      <c r="R1214" s="2" t="s">
        <v>101</v>
      </c>
      <c r="S1214" s="2"/>
      <c r="T1214" s="2">
        <v>5</v>
      </c>
      <c r="U1214" s="398">
        <v>5</v>
      </c>
      <c r="V1214" s="7">
        <v>0</v>
      </c>
      <c r="W1214" s="7" t="s">
        <v>1099</v>
      </c>
    </row>
    <row r="1215" spans="1:23" x14ac:dyDescent="0.35">
      <c r="A1215" s="2">
        <v>122</v>
      </c>
      <c r="B1215" s="109" t="s">
        <v>103</v>
      </c>
      <c r="C1215" s="110" t="s">
        <v>104</v>
      </c>
      <c r="D1215" s="2">
        <v>1</v>
      </c>
      <c r="E1215" s="51">
        <v>0</v>
      </c>
      <c r="F1215" s="105"/>
      <c r="H1215" s="2"/>
      <c r="I1215" s="2">
        <v>1</v>
      </c>
      <c r="J1215" s="2">
        <v>0</v>
      </c>
      <c r="K1215" s="2">
        <v>0</v>
      </c>
      <c r="L1215" s="2">
        <v>0.28625</v>
      </c>
      <c r="M1215" s="2">
        <v>0.31499999999999995</v>
      </c>
      <c r="N1215" s="244">
        <v>1.0481249999999998E-3</v>
      </c>
      <c r="O1215" s="2" t="s">
        <v>934</v>
      </c>
      <c r="P1215" s="2">
        <v>100</v>
      </c>
      <c r="Q1215" s="2" t="s">
        <v>55</v>
      </c>
      <c r="R1215" s="2" t="s">
        <v>103</v>
      </c>
      <c r="S1215" s="2"/>
      <c r="T1215" s="2">
        <v>5</v>
      </c>
      <c r="U1215" s="398">
        <v>5</v>
      </c>
      <c r="V1215" s="7">
        <v>0</v>
      </c>
      <c r="W1215" s="7" t="s">
        <v>1099</v>
      </c>
    </row>
    <row r="1216" spans="1:23" x14ac:dyDescent="0.35">
      <c r="A1216" s="2">
        <v>122</v>
      </c>
      <c r="B1216" s="109" t="s">
        <v>105</v>
      </c>
      <c r="C1216" s="110" t="s">
        <v>106</v>
      </c>
      <c r="D1216" s="2">
        <v>1</v>
      </c>
      <c r="E1216" s="51">
        <v>0</v>
      </c>
      <c r="F1216" s="105"/>
      <c r="H1216" s="2"/>
      <c r="I1216" s="2">
        <v>1</v>
      </c>
      <c r="J1216" s="2">
        <v>0</v>
      </c>
      <c r="K1216" s="2">
        <v>0</v>
      </c>
      <c r="L1216" s="2">
        <v>0.28625</v>
      </c>
      <c r="M1216" s="2">
        <v>0.31499999999999995</v>
      </c>
      <c r="N1216" s="244">
        <v>1.0481249999999998E-3</v>
      </c>
      <c r="O1216" s="2" t="s">
        <v>934</v>
      </c>
      <c r="P1216" s="2">
        <v>100</v>
      </c>
      <c r="Q1216" s="2" t="s">
        <v>55</v>
      </c>
      <c r="R1216" s="2" t="s">
        <v>105</v>
      </c>
      <c r="S1216" s="2"/>
      <c r="T1216" s="2">
        <v>5</v>
      </c>
      <c r="U1216" s="398">
        <v>5</v>
      </c>
      <c r="V1216" s="7">
        <v>0</v>
      </c>
      <c r="W1216" s="7" t="s">
        <v>1099</v>
      </c>
    </row>
    <row r="1217" spans="1:23" x14ac:dyDescent="0.35">
      <c r="A1217" s="2">
        <v>122</v>
      </c>
      <c r="B1217" s="109" t="s">
        <v>23</v>
      </c>
      <c r="C1217" s="110" t="s">
        <v>24</v>
      </c>
      <c r="D1217" s="2">
        <v>1</v>
      </c>
      <c r="E1217" s="51">
        <v>0</v>
      </c>
      <c r="F1217" s="105"/>
      <c r="H1217" s="2"/>
      <c r="I1217" s="2">
        <v>1</v>
      </c>
      <c r="J1217" s="2">
        <v>0</v>
      </c>
      <c r="K1217" s="2">
        <v>0</v>
      </c>
      <c r="L1217" s="2">
        <v>0.42</v>
      </c>
      <c r="M1217" s="2">
        <v>0.48249999999999998</v>
      </c>
      <c r="N1217" s="244">
        <v>2.3402499999999999E-3</v>
      </c>
      <c r="O1217" s="2" t="s">
        <v>18</v>
      </c>
      <c r="P1217" s="2">
        <v>50</v>
      </c>
      <c r="Q1217" s="2">
        <v>0</v>
      </c>
      <c r="R1217" s="2" t="s">
        <v>23</v>
      </c>
      <c r="S1217" s="2">
        <v>1</v>
      </c>
      <c r="T1217" s="2">
        <v>5.23</v>
      </c>
      <c r="U1217" s="398">
        <v>5.23</v>
      </c>
      <c r="V1217" s="7">
        <v>0</v>
      </c>
      <c r="W1217" s="7" t="s">
        <v>1099</v>
      </c>
    </row>
    <row r="1218" spans="1:23" x14ac:dyDescent="0.35">
      <c r="A1218" s="2">
        <v>122</v>
      </c>
      <c r="B1218" s="109" t="s">
        <v>40</v>
      </c>
      <c r="C1218" s="110" t="s">
        <v>41</v>
      </c>
      <c r="D1218" s="2">
        <v>1</v>
      </c>
      <c r="E1218" s="51">
        <v>0</v>
      </c>
      <c r="F1218" s="105"/>
      <c r="H1218" s="2"/>
      <c r="I1218" s="2">
        <v>1</v>
      </c>
      <c r="J1218" s="2">
        <v>0</v>
      </c>
      <c r="K1218" s="2">
        <v>0</v>
      </c>
      <c r="L1218" s="2">
        <v>0.51416666666666666</v>
      </c>
      <c r="M1218" s="2">
        <v>0.56416666666666659</v>
      </c>
      <c r="N1218" s="244">
        <v>3.2484999999999997E-3</v>
      </c>
      <c r="O1218" s="2" t="s">
        <v>18</v>
      </c>
      <c r="P1218" s="2">
        <v>50</v>
      </c>
      <c r="Q1218" s="2">
        <v>0</v>
      </c>
      <c r="R1218" s="2" t="s">
        <v>40</v>
      </c>
      <c r="S1218" s="2"/>
      <c r="T1218" s="2">
        <v>6.16</v>
      </c>
      <c r="U1218" s="398">
        <v>6.16</v>
      </c>
      <c r="V1218" s="7">
        <v>0</v>
      </c>
      <c r="W1218" s="7" t="s">
        <v>1099</v>
      </c>
    </row>
    <row r="1219" spans="1:23" x14ac:dyDescent="0.35">
      <c r="A1219" s="2">
        <v>122</v>
      </c>
      <c r="B1219" s="109" t="s">
        <v>29</v>
      </c>
      <c r="C1219" s="110" t="s">
        <v>31</v>
      </c>
      <c r="D1219" s="2">
        <v>1</v>
      </c>
      <c r="E1219" s="51">
        <v>0</v>
      </c>
      <c r="F1219" s="105"/>
      <c r="H1219" s="2"/>
      <c r="I1219" s="2">
        <v>1</v>
      </c>
      <c r="J1219" s="2">
        <v>0</v>
      </c>
      <c r="K1219" s="2">
        <v>0</v>
      </c>
      <c r="L1219" s="2">
        <v>0.39833333333333332</v>
      </c>
      <c r="M1219" s="2">
        <v>0.4375</v>
      </c>
      <c r="N1219" s="244">
        <v>2.3402499999999999E-3</v>
      </c>
      <c r="O1219" s="2" t="s">
        <v>18</v>
      </c>
      <c r="P1219" s="2">
        <v>50</v>
      </c>
      <c r="Q1219" s="2">
        <v>0</v>
      </c>
      <c r="R1219" s="2" t="s">
        <v>29</v>
      </c>
      <c r="S1219" s="2">
        <v>1</v>
      </c>
      <c r="T1219" s="2">
        <v>5.23</v>
      </c>
      <c r="U1219" s="398">
        <v>5.23</v>
      </c>
      <c r="V1219" s="7">
        <v>0</v>
      </c>
      <c r="W1219" s="7" t="s">
        <v>1099</v>
      </c>
    </row>
    <row r="1220" spans="1:23" x14ac:dyDescent="0.35">
      <c r="A1220" s="2">
        <v>122</v>
      </c>
      <c r="B1220" s="109" t="s">
        <v>52</v>
      </c>
      <c r="C1220" s="110" t="s">
        <v>53</v>
      </c>
      <c r="D1220" s="2">
        <v>1</v>
      </c>
      <c r="E1220" s="51">
        <v>0</v>
      </c>
      <c r="F1220" s="105"/>
      <c r="H1220" s="2"/>
      <c r="I1220" s="2">
        <v>1</v>
      </c>
      <c r="J1220" s="2">
        <v>0</v>
      </c>
      <c r="K1220" s="2">
        <v>0</v>
      </c>
      <c r="L1220" s="2">
        <v>0.47499999999999998</v>
      </c>
      <c r="M1220" s="2">
        <v>0.52499999999999991</v>
      </c>
      <c r="N1220" s="244">
        <v>3.2484999999999997E-3</v>
      </c>
      <c r="O1220" s="2" t="s">
        <v>18</v>
      </c>
      <c r="P1220" s="2">
        <v>50</v>
      </c>
      <c r="Q1220" s="2">
        <v>0</v>
      </c>
      <c r="R1220" s="2" t="s">
        <v>52</v>
      </c>
      <c r="S1220" s="2"/>
      <c r="T1220" s="2">
        <v>6.16</v>
      </c>
      <c r="U1220" s="398">
        <v>6.16</v>
      </c>
      <c r="V1220" s="7">
        <v>0</v>
      </c>
      <c r="W1220" s="7" t="s">
        <v>1099</v>
      </c>
    </row>
    <row r="1221" spans="1:23" x14ac:dyDescent="0.35">
      <c r="A1221" s="2">
        <v>122</v>
      </c>
      <c r="B1221" s="109" t="s">
        <v>88</v>
      </c>
      <c r="C1221" s="110" t="s">
        <v>89</v>
      </c>
      <c r="D1221" s="2">
        <v>1</v>
      </c>
      <c r="E1221" s="51">
        <v>0</v>
      </c>
      <c r="F1221" s="105"/>
      <c r="H1221" s="2"/>
      <c r="I1221" s="2">
        <v>1</v>
      </c>
      <c r="J1221" s="2">
        <v>0</v>
      </c>
      <c r="K1221" s="2">
        <v>0</v>
      </c>
      <c r="L1221" s="2">
        <v>0.73</v>
      </c>
      <c r="M1221" s="2">
        <v>1.0250000000000001</v>
      </c>
      <c r="N1221" s="244">
        <v>3.6800000000000001E-3</v>
      </c>
      <c r="O1221" s="2" t="s">
        <v>18</v>
      </c>
      <c r="P1221" s="2">
        <v>100</v>
      </c>
      <c r="Q1221" s="2">
        <v>0</v>
      </c>
      <c r="R1221" s="2" t="s">
        <v>88</v>
      </c>
      <c r="S1221" s="2">
        <v>1</v>
      </c>
      <c r="T1221" s="2">
        <v>15.89</v>
      </c>
      <c r="U1221" s="398">
        <v>15.89</v>
      </c>
      <c r="V1221" s="7">
        <v>0</v>
      </c>
      <c r="W1221" s="7" t="s">
        <v>1099</v>
      </c>
    </row>
    <row r="1222" spans="1:23" x14ac:dyDescent="0.35">
      <c r="A1222" s="2">
        <v>122</v>
      </c>
      <c r="B1222" s="109" t="s">
        <v>141</v>
      </c>
      <c r="C1222" s="110" t="s">
        <v>142</v>
      </c>
      <c r="D1222" s="2">
        <v>1</v>
      </c>
      <c r="E1222" s="51">
        <v>0</v>
      </c>
      <c r="F1222" s="105"/>
      <c r="H1222" s="2"/>
      <c r="I1222" s="2">
        <v>1</v>
      </c>
      <c r="J1222" s="2">
        <v>0</v>
      </c>
      <c r="K1222" s="2">
        <v>0</v>
      </c>
      <c r="L1222" s="2">
        <v>0.39500000000000002</v>
      </c>
      <c r="M1222" s="2">
        <v>0.41249999999999998</v>
      </c>
      <c r="N1222" s="244">
        <v>7.3046875E-4</v>
      </c>
      <c r="O1222" s="2" t="s">
        <v>108</v>
      </c>
      <c r="P1222" s="2">
        <v>100</v>
      </c>
      <c r="Q1222" s="2" t="s">
        <v>55</v>
      </c>
      <c r="R1222" s="2" t="s">
        <v>141</v>
      </c>
      <c r="S1222" s="2"/>
      <c r="T1222" s="2">
        <v>11.68</v>
      </c>
      <c r="U1222" s="398">
        <v>11.68</v>
      </c>
      <c r="V1222" s="7">
        <v>0</v>
      </c>
      <c r="W1222" s="7" t="s">
        <v>1099</v>
      </c>
    </row>
    <row r="1223" spans="1:23" x14ac:dyDescent="0.35">
      <c r="A1223" s="2">
        <v>122</v>
      </c>
      <c r="B1223" s="109" t="s">
        <v>143</v>
      </c>
      <c r="C1223" s="110" t="s">
        <v>144</v>
      </c>
      <c r="D1223" s="2">
        <v>1</v>
      </c>
      <c r="E1223" s="51">
        <v>0</v>
      </c>
      <c r="F1223" s="105"/>
      <c r="H1223" s="2"/>
      <c r="I1223" s="2">
        <v>1</v>
      </c>
      <c r="J1223" s="2">
        <v>0</v>
      </c>
      <c r="K1223" s="2">
        <v>0</v>
      </c>
      <c r="L1223" s="2">
        <v>0.39500000000000002</v>
      </c>
      <c r="M1223" s="2">
        <v>0.41249999999999998</v>
      </c>
      <c r="N1223" s="244">
        <v>7.3046875E-4</v>
      </c>
      <c r="O1223" s="2" t="s">
        <v>108</v>
      </c>
      <c r="P1223" s="2">
        <v>100</v>
      </c>
      <c r="Q1223" s="2" t="s">
        <v>55</v>
      </c>
      <c r="R1223" s="2" t="s">
        <v>143</v>
      </c>
      <c r="S1223" s="2"/>
      <c r="T1223" s="2">
        <v>11.68</v>
      </c>
      <c r="U1223" s="398">
        <v>11.68</v>
      </c>
      <c r="V1223" s="7">
        <v>0</v>
      </c>
      <c r="W1223" s="7" t="s">
        <v>1099</v>
      </c>
    </row>
    <row r="1224" spans="1:23" x14ac:dyDescent="0.35">
      <c r="A1224" s="2">
        <v>122</v>
      </c>
      <c r="B1224" s="109" t="s">
        <v>168</v>
      </c>
      <c r="C1224" s="110" t="s">
        <v>171</v>
      </c>
      <c r="D1224" s="2">
        <v>1</v>
      </c>
      <c r="E1224" s="51">
        <v>0</v>
      </c>
      <c r="F1224" s="105"/>
      <c r="H1224" s="2"/>
      <c r="I1224" s="2">
        <v>1</v>
      </c>
      <c r="J1224" s="2">
        <v>0</v>
      </c>
      <c r="K1224" s="2">
        <v>0</v>
      </c>
      <c r="L1224" s="2">
        <v>0.26458333333333328</v>
      </c>
      <c r="M1224" s="2">
        <v>0.29166666666666663</v>
      </c>
      <c r="N1224" s="244">
        <v>6.64125E-4</v>
      </c>
      <c r="O1224" s="2" t="s">
        <v>169</v>
      </c>
      <c r="P1224" s="2">
        <v>200</v>
      </c>
      <c r="Q1224" s="2" t="s">
        <v>170</v>
      </c>
      <c r="R1224" s="2" t="s">
        <v>168</v>
      </c>
      <c r="S1224" s="2"/>
      <c r="T1224" s="2">
        <v>2.0499999999999998</v>
      </c>
      <c r="U1224" s="398">
        <v>2.0499999999999998</v>
      </c>
      <c r="V1224" s="7">
        <v>0</v>
      </c>
      <c r="W1224" s="7" t="s">
        <v>1099</v>
      </c>
    </row>
    <row r="1225" spans="1:23" x14ac:dyDescent="0.35">
      <c r="A1225" s="2">
        <v>122</v>
      </c>
      <c r="B1225" s="109" t="s">
        <v>173</v>
      </c>
      <c r="C1225" s="110" t="s">
        <v>174</v>
      </c>
      <c r="D1225" s="2">
        <v>1</v>
      </c>
      <c r="E1225" s="51">
        <v>0</v>
      </c>
      <c r="F1225" s="105"/>
      <c r="H1225" s="2"/>
      <c r="I1225" s="2">
        <v>1</v>
      </c>
      <c r="J1225" s="2">
        <v>0</v>
      </c>
      <c r="K1225" s="2">
        <v>0</v>
      </c>
      <c r="L1225" s="2">
        <v>0.26458333333333328</v>
      </c>
      <c r="M1225" s="2">
        <v>0.29166666666666663</v>
      </c>
      <c r="N1225" s="244">
        <v>6.64125E-4</v>
      </c>
      <c r="O1225" s="2" t="s">
        <v>169</v>
      </c>
      <c r="P1225" s="2">
        <v>200</v>
      </c>
      <c r="Q1225" s="2" t="s">
        <v>170</v>
      </c>
      <c r="R1225" s="2" t="s">
        <v>173</v>
      </c>
      <c r="S1225" s="2"/>
      <c r="T1225" s="2">
        <v>2.0499999999999998</v>
      </c>
      <c r="U1225" s="398">
        <v>2.0499999999999998</v>
      </c>
      <c r="V1225" s="7">
        <v>0</v>
      </c>
      <c r="W1225" s="7" t="s">
        <v>1099</v>
      </c>
    </row>
    <row r="1226" spans="1:23" x14ac:dyDescent="0.35">
      <c r="A1226" s="2">
        <v>122</v>
      </c>
      <c r="B1226" s="109" t="s">
        <v>175</v>
      </c>
      <c r="C1226" s="110" t="s">
        <v>176</v>
      </c>
      <c r="D1226" s="2">
        <v>1</v>
      </c>
      <c r="E1226" s="51">
        <v>0</v>
      </c>
      <c r="F1226" s="105"/>
      <c r="H1226" s="2"/>
      <c r="I1226" s="2">
        <v>1</v>
      </c>
      <c r="J1226" s="2">
        <v>0</v>
      </c>
      <c r="K1226" s="2">
        <v>0</v>
      </c>
      <c r="L1226" s="2">
        <v>0.26458333333333328</v>
      </c>
      <c r="M1226" s="2">
        <v>0.29166666666666663</v>
      </c>
      <c r="N1226" s="244">
        <v>6.64125E-4</v>
      </c>
      <c r="O1226" s="2" t="s">
        <v>169</v>
      </c>
      <c r="P1226" s="2">
        <v>200</v>
      </c>
      <c r="Q1226" s="2" t="s">
        <v>170</v>
      </c>
      <c r="R1226" s="2" t="s">
        <v>175</v>
      </c>
      <c r="S1226" s="2"/>
      <c r="T1226" s="2">
        <v>2.0499999999999998</v>
      </c>
      <c r="U1226" s="398">
        <v>2.0499999999999998</v>
      </c>
      <c r="V1226" s="7">
        <v>0</v>
      </c>
      <c r="W1226" s="7" t="s">
        <v>1099</v>
      </c>
    </row>
    <row r="1227" spans="1:23" x14ac:dyDescent="0.35">
      <c r="A1227" s="2">
        <v>122</v>
      </c>
      <c r="B1227" s="109" t="s">
        <v>177</v>
      </c>
      <c r="C1227" s="110" t="s">
        <v>178</v>
      </c>
      <c r="D1227" s="2">
        <v>1</v>
      </c>
      <c r="E1227" s="51">
        <v>0</v>
      </c>
      <c r="F1227" s="105"/>
      <c r="H1227" s="2"/>
      <c r="I1227" s="2">
        <v>1</v>
      </c>
      <c r="J1227" s="2">
        <v>0</v>
      </c>
      <c r="K1227" s="2">
        <v>0</v>
      </c>
      <c r="L1227" s="2">
        <v>0.26458333333333328</v>
      </c>
      <c r="M1227" s="2">
        <v>0.29166666666666663</v>
      </c>
      <c r="N1227" s="244">
        <v>6.64125E-4</v>
      </c>
      <c r="O1227" s="2" t="s">
        <v>169</v>
      </c>
      <c r="P1227" s="2">
        <v>200</v>
      </c>
      <c r="Q1227" s="2" t="s">
        <v>170</v>
      </c>
      <c r="R1227" s="2" t="s">
        <v>177</v>
      </c>
      <c r="S1227" s="2"/>
      <c r="T1227" s="2">
        <v>2.0499999999999998</v>
      </c>
      <c r="U1227" s="398">
        <v>2.0499999999999998</v>
      </c>
      <c r="V1227" s="7">
        <v>0</v>
      </c>
      <c r="W1227" s="7" t="s">
        <v>1099</v>
      </c>
    </row>
    <row r="1228" spans="1:23" x14ac:dyDescent="0.35">
      <c r="A1228" s="2">
        <v>123</v>
      </c>
      <c r="B1228" s="109" t="s">
        <v>23</v>
      </c>
      <c r="C1228" s="110" t="s">
        <v>24</v>
      </c>
      <c r="D1228" s="2">
        <v>1</v>
      </c>
      <c r="E1228" s="51"/>
      <c r="F1228" s="105"/>
      <c r="H1228" s="2"/>
      <c r="L1228" s="2"/>
      <c r="M1228" s="2"/>
      <c r="N1228" s="244"/>
      <c r="O1228" s="2"/>
      <c r="P1228" s="2"/>
      <c r="Q1228" s="2"/>
      <c r="R1228" s="2"/>
      <c r="S1228" s="2"/>
      <c r="T1228" s="2"/>
      <c r="U1228" s="398"/>
      <c r="V1228" s="7"/>
      <c r="W1228" s="7"/>
    </row>
    <row r="1229" spans="1:23" x14ac:dyDescent="0.35">
      <c r="A1229" s="2">
        <v>123</v>
      </c>
      <c r="B1229" s="109" t="s">
        <v>29</v>
      </c>
      <c r="C1229" s="110" t="s">
        <v>31</v>
      </c>
      <c r="D1229" s="2">
        <v>1</v>
      </c>
      <c r="E1229" s="51"/>
      <c r="F1229" s="105"/>
      <c r="H1229" s="2"/>
      <c r="L1229" s="2"/>
      <c r="M1229" s="2"/>
      <c r="N1229" s="244"/>
      <c r="O1229" s="2"/>
      <c r="P1229" s="2"/>
      <c r="Q1229" s="2"/>
      <c r="R1229" s="2"/>
      <c r="S1229" s="2"/>
      <c r="T1229" s="2"/>
      <c r="U1229" s="398"/>
      <c r="V1229" s="7"/>
      <c r="W1229" s="7"/>
    </row>
    <row r="1230" spans="1:23" x14ac:dyDescent="0.35">
      <c r="A1230" s="2">
        <v>123</v>
      </c>
      <c r="B1230" s="109" t="s">
        <v>88</v>
      </c>
      <c r="C1230" s="110" t="s">
        <v>89</v>
      </c>
      <c r="D1230" s="2">
        <v>1</v>
      </c>
      <c r="E1230" s="51"/>
      <c r="F1230" s="105"/>
      <c r="H1230" s="2"/>
      <c r="L1230" s="2"/>
      <c r="M1230" s="2"/>
      <c r="N1230" s="244"/>
      <c r="O1230" s="2"/>
      <c r="P1230" s="2"/>
      <c r="Q1230" s="2"/>
      <c r="R1230" s="2"/>
      <c r="S1230" s="2"/>
      <c r="T1230" s="2"/>
      <c r="U1230" s="398"/>
      <c r="V1230" s="7"/>
      <c r="W1230" s="7"/>
    </row>
    <row r="1231" spans="1:23" x14ac:dyDescent="0.35">
      <c r="A1231" s="2">
        <v>123</v>
      </c>
      <c r="B1231" s="109" t="s">
        <v>1201</v>
      </c>
      <c r="C1231" s="110" t="s">
        <v>1209</v>
      </c>
      <c r="D1231" s="2">
        <v>-1</v>
      </c>
      <c r="E1231" s="51"/>
      <c r="F1231" s="105"/>
      <c r="H1231" s="2"/>
      <c r="L1231" s="2"/>
      <c r="M1231" s="2"/>
      <c r="N1231" s="244"/>
      <c r="O1231" s="2"/>
      <c r="P1231" s="2"/>
      <c r="Q1231" s="2"/>
      <c r="R1231" s="2"/>
      <c r="S1231" s="2"/>
      <c r="T1231" s="2"/>
      <c r="U1231" s="398"/>
      <c r="V1231" s="7" t="s">
        <v>1334</v>
      </c>
      <c r="W1231" s="7"/>
    </row>
    <row r="1232" spans="1:23" x14ac:dyDescent="0.35">
      <c r="A1232" s="2">
        <v>123</v>
      </c>
      <c r="B1232" s="109" t="s">
        <v>162</v>
      </c>
      <c r="C1232" s="110" t="s">
        <v>163</v>
      </c>
      <c r="D1232" s="2">
        <v>-1</v>
      </c>
      <c r="E1232" s="51"/>
      <c r="F1232" s="105"/>
      <c r="H1232" s="2"/>
      <c r="L1232" s="2"/>
      <c r="M1232" s="2"/>
      <c r="N1232" s="244"/>
      <c r="O1232" s="2"/>
      <c r="P1232" s="2"/>
      <c r="Q1232" s="2"/>
      <c r="R1232" s="2"/>
      <c r="S1232" s="2"/>
      <c r="T1232" s="2"/>
      <c r="U1232" s="398"/>
      <c r="V1232" s="7" t="s">
        <v>1334</v>
      </c>
      <c r="W1232" s="7"/>
    </row>
    <row r="1233" spans="1:23" x14ac:dyDescent="0.35">
      <c r="A1233" s="2">
        <v>123</v>
      </c>
      <c r="B1233" s="109" t="s">
        <v>727</v>
      </c>
      <c r="C1233" s="110" t="s">
        <v>728</v>
      </c>
      <c r="D1233" s="2">
        <v>-1</v>
      </c>
      <c r="E1233" s="51"/>
      <c r="F1233" s="105"/>
      <c r="H1233" s="2"/>
      <c r="L1233" s="2"/>
      <c r="M1233" s="2"/>
      <c r="N1233" s="244"/>
      <c r="O1233" s="2"/>
      <c r="P1233" s="2"/>
      <c r="Q1233" s="2"/>
      <c r="R1233" s="2"/>
      <c r="S1233" s="2"/>
      <c r="T1233" s="2"/>
      <c r="U1233" s="398"/>
      <c r="V1233" s="7" t="s">
        <v>1334</v>
      </c>
      <c r="W1233" s="7"/>
    </row>
    <row r="1234" spans="1:23" x14ac:dyDescent="0.35">
      <c r="A1234" s="2">
        <v>123</v>
      </c>
      <c r="B1234" s="109" t="s">
        <v>751</v>
      </c>
      <c r="C1234" s="110" t="s">
        <v>752</v>
      </c>
      <c r="D1234" s="2">
        <v>-1</v>
      </c>
      <c r="E1234" s="51"/>
      <c r="F1234" s="105"/>
      <c r="H1234" s="2"/>
      <c r="L1234" s="2"/>
      <c r="M1234" s="2"/>
      <c r="N1234" s="244"/>
      <c r="O1234" s="2"/>
      <c r="P1234" s="2"/>
      <c r="Q1234" s="2"/>
      <c r="R1234" s="2"/>
      <c r="S1234" s="2"/>
      <c r="T1234" s="2"/>
      <c r="U1234" s="398"/>
      <c r="V1234" s="7" t="s">
        <v>1334</v>
      </c>
      <c r="W1234" s="7"/>
    </row>
    <row r="1235" spans="1:23" x14ac:dyDescent="0.35">
      <c r="A1235" s="2">
        <v>123</v>
      </c>
      <c r="B1235" s="109" t="s">
        <v>1667</v>
      </c>
      <c r="C1235" s="110" t="s">
        <v>1035</v>
      </c>
      <c r="D1235" s="2">
        <v>-8.3333333333333329E-2</v>
      </c>
      <c r="E1235" s="51"/>
      <c r="F1235" s="105"/>
      <c r="H1235" s="2"/>
      <c r="L1235" s="2"/>
      <c r="M1235" s="2"/>
      <c r="N1235" s="244"/>
      <c r="O1235" s="2"/>
      <c r="P1235" s="2"/>
      <c r="Q1235" s="2"/>
      <c r="R1235" s="2"/>
      <c r="S1235" s="2"/>
      <c r="T1235" s="2"/>
      <c r="U1235" s="398"/>
      <c r="V1235" s="7" t="s">
        <v>1334</v>
      </c>
      <c r="W1235" s="7"/>
    </row>
    <row r="1236" spans="1:23" x14ac:dyDescent="0.35">
      <c r="A1236" s="2">
        <v>123</v>
      </c>
      <c r="B1236" s="109" t="s">
        <v>1204</v>
      </c>
      <c r="C1236" s="110" t="s">
        <v>1212</v>
      </c>
      <c r="D1236" s="2">
        <v>-1</v>
      </c>
      <c r="E1236" s="51"/>
      <c r="F1236" s="105"/>
      <c r="H1236" s="2"/>
      <c r="L1236" s="2"/>
      <c r="M1236" s="2"/>
      <c r="N1236" s="244"/>
      <c r="O1236" s="2"/>
      <c r="P1236" s="2"/>
      <c r="Q1236" s="2"/>
      <c r="R1236" s="2"/>
      <c r="S1236" s="2"/>
      <c r="T1236" s="2"/>
      <c r="U1236" s="398"/>
      <c r="V1236" s="7" t="s">
        <v>1334</v>
      </c>
      <c r="W1236" s="7"/>
    </row>
    <row r="1237" spans="1:23" x14ac:dyDescent="0.35">
      <c r="A1237" s="2">
        <v>123</v>
      </c>
      <c r="B1237" s="109" t="s">
        <v>149</v>
      </c>
      <c r="C1237" s="110" t="s">
        <v>152</v>
      </c>
      <c r="D1237" s="2">
        <v>-1</v>
      </c>
      <c r="E1237" s="51"/>
      <c r="F1237" s="105"/>
      <c r="H1237" s="2"/>
      <c r="L1237" s="2"/>
      <c r="M1237" s="2"/>
      <c r="N1237" s="244"/>
      <c r="O1237" s="2"/>
      <c r="P1237" s="2"/>
      <c r="Q1237" s="2"/>
      <c r="R1237" s="2"/>
      <c r="S1237" s="2"/>
      <c r="T1237" s="2"/>
      <c r="U1237" s="398"/>
      <c r="V1237" s="7" t="s">
        <v>1334</v>
      </c>
      <c r="W1237" s="7"/>
    </row>
    <row r="1238" spans="1:23" x14ac:dyDescent="0.35">
      <c r="A1238" s="2">
        <v>123</v>
      </c>
      <c r="B1238" s="109" t="s">
        <v>733</v>
      </c>
      <c r="C1238" s="110" t="s">
        <v>734</v>
      </c>
      <c r="D1238" s="2">
        <v>-1</v>
      </c>
      <c r="E1238" s="51"/>
      <c r="F1238" s="105"/>
      <c r="H1238" s="2"/>
      <c r="L1238" s="2"/>
      <c r="M1238" s="2"/>
      <c r="N1238" s="244"/>
      <c r="O1238" s="2"/>
      <c r="P1238" s="2"/>
      <c r="Q1238" s="2"/>
      <c r="R1238" s="2"/>
      <c r="S1238" s="2"/>
      <c r="T1238" s="2"/>
      <c r="U1238" s="398"/>
      <c r="V1238" s="7" t="s">
        <v>1334</v>
      </c>
      <c r="W1238" s="7"/>
    </row>
    <row r="1239" spans="1:23" x14ac:dyDescent="0.35">
      <c r="A1239" s="2">
        <v>123</v>
      </c>
      <c r="B1239" s="109" t="s">
        <v>753</v>
      </c>
      <c r="C1239" s="110" t="s">
        <v>754</v>
      </c>
      <c r="D1239" s="2">
        <v>-1</v>
      </c>
      <c r="E1239" s="51"/>
      <c r="F1239" s="105"/>
      <c r="H1239" s="2"/>
      <c r="L1239" s="2"/>
      <c r="M1239" s="2"/>
      <c r="N1239" s="244"/>
      <c r="O1239" s="2"/>
      <c r="P1239" s="2"/>
      <c r="Q1239" s="2"/>
      <c r="R1239" s="2"/>
      <c r="S1239" s="2"/>
      <c r="T1239" s="2"/>
      <c r="U1239" s="398"/>
      <c r="V1239" s="7" t="s">
        <v>1334</v>
      </c>
      <c r="W1239" s="7"/>
    </row>
    <row r="1240" spans="1:23" x14ac:dyDescent="0.35">
      <c r="A1240" s="2">
        <v>123</v>
      </c>
      <c r="B1240" s="109" t="s">
        <v>1667</v>
      </c>
      <c r="C1240" s="110" t="s">
        <v>1035</v>
      </c>
      <c r="D1240" s="2">
        <v>-8.3333333333333329E-2</v>
      </c>
      <c r="E1240" s="51"/>
      <c r="F1240" s="105"/>
      <c r="H1240" s="2"/>
      <c r="L1240" s="2"/>
      <c r="M1240" s="2"/>
      <c r="N1240" s="244"/>
      <c r="O1240" s="2"/>
      <c r="P1240" s="2"/>
      <c r="Q1240" s="2"/>
      <c r="R1240" s="2"/>
      <c r="S1240" s="2"/>
      <c r="T1240" s="2"/>
      <c r="U1240" s="398"/>
      <c r="V1240" s="7" t="s">
        <v>1334</v>
      </c>
      <c r="W1240" s="7"/>
    </row>
    <row r="1241" spans="1:23" x14ac:dyDescent="0.35">
      <c r="A1241" s="2">
        <v>123</v>
      </c>
      <c r="B1241" s="109" t="s">
        <v>107</v>
      </c>
      <c r="C1241" s="110" t="s">
        <v>109</v>
      </c>
      <c r="D1241" s="2">
        <v>-1</v>
      </c>
      <c r="E1241" s="51"/>
      <c r="F1241" s="105"/>
      <c r="H1241" s="2"/>
      <c r="L1241" s="2"/>
      <c r="M1241" s="2"/>
      <c r="N1241" s="244"/>
      <c r="O1241" s="2"/>
      <c r="P1241" s="2"/>
      <c r="Q1241" s="2"/>
      <c r="R1241" s="2"/>
      <c r="S1241" s="2"/>
      <c r="T1241" s="2"/>
      <c r="U1241" s="398"/>
      <c r="V1241" s="7" t="s">
        <v>1334</v>
      </c>
      <c r="W1241" s="7"/>
    </row>
    <row r="1242" spans="1:23" x14ac:dyDescent="0.35">
      <c r="A1242" s="2">
        <v>123</v>
      </c>
      <c r="B1242" s="109" t="s">
        <v>680</v>
      </c>
      <c r="C1242" s="110" t="s">
        <v>847</v>
      </c>
      <c r="D1242" s="2">
        <v>-1</v>
      </c>
      <c r="E1242" s="51"/>
      <c r="F1242" s="105"/>
      <c r="H1242" s="2"/>
      <c r="L1242" s="2"/>
      <c r="M1242" s="2"/>
      <c r="N1242" s="244"/>
      <c r="O1242" s="2"/>
      <c r="P1242" s="2"/>
      <c r="Q1242" s="2"/>
      <c r="R1242" s="2"/>
      <c r="S1242" s="2"/>
      <c r="T1242" s="2"/>
      <c r="U1242" s="398"/>
      <c r="V1242" s="7" t="s">
        <v>1334</v>
      </c>
      <c r="W1242" s="7"/>
    </row>
    <row r="1243" spans="1:23" x14ac:dyDescent="0.35">
      <c r="A1243" s="2">
        <v>123</v>
      </c>
      <c r="B1243" s="109" t="s">
        <v>749</v>
      </c>
      <c r="C1243" s="110" t="s">
        <v>750</v>
      </c>
      <c r="D1243" s="2">
        <v>-1</v>
      </c>
      <c r="E1243" s="51"/>
      <c r="F1243" s="105"/>
      <c r="H1243" s="2"/>
      <c r="L1243" s="2"/>
      <c r="M1243" s="2"/>
      <c r="N1243" s="244"/>
      <c r="O1243" s="2"/>
      <c r="P1243" s="2"/>
      <c r="Q1243" s="2"/>
      <c r="R1243" s="2"/>
      <c r="S1243" s="2"/>
      <c r="T1243" s="2"/>
      <c r="U1243" s="398"/>
      <c r="V1243" s="7" t="s">
        <v>1334</v>
      </c>
      <c r="W1243" s="7"/>
    </row>
    <row r="1244" spans="1:23" x14ac:dyDescent="0.35">
      <c r="A1244" s="2">
        <v>123</v>
      </c>
      <c r="B1244" s="109" t="s">
        <v>1018</v>
      </c>
      <c r="C1244" s="110" t="s">
        <v>1068</v>
      </c>
      <c r="D1244" s="2">
        <v>-1</v>
      </c>
      <c r="E1244" s="51"/>
      <c r="F1244" s="105"/>
      <c r="H1244" s="2"/>
      <c r="L1244" s="2"/>
      <c r="M1244" s="2"/>
      <c r="N1244" s="244"/>
      <c r="O1244" s="2"/>
      <c r="P1244" s="2"/>
      <c r="Q1244" s="2"/>
      <c r="R1244" s="2"/>
      <c r="S1244" s="2"/>
      <c r="T1244" s="2"/>
      <c r="U1244" s="398"/>
      <c r="V1244" s="7" t="s">
        <v>1334</v>
      </c>
      <c r="W1244" s="7"/>
    </row>
    <row r="1245" spans="1:23" x14ac:dyDescent="0.35">
      <c r="A1245" s="2">
        <v>123</v>
      </c>
      <c r="B1245" s="109" t="s">
        <v>1036</v>
      </c>
      <c r="C1245" s="110" t="s">
        <v>1034</v>
      </c>
      <c r="D1245" s="2">
        <v>-8.3333333333333329E-2</v>
      </c>
      <c r="E1245" s="51"/>
      <c r="F1245" s="105"/>
      <c r="H1245" s="2"/>
      <c r="L1245" s="2"/>
      <c r="M1245" s="2"/>
      <c r="N1245" s="244"/>
      <c r="O1245" s="2"/>
      <c r="P1245" s="2"/>
      <c r="Q1245" s="2"/>
      <c r="R1245" s="2"/>
      <c r="S1245" s="2"/>
      <c r="T1245" s="2"/>
      <c r="U1245" s="398"/>
      <c r="V1245" s="7" t="s">
        <v>1334</v>
      </c>
      <c r="W1245" s="7"/>
    </row>
    <row r="1246" spans="1:23" x14ac:dyDescent="0.35">
      <c r="A1246" s="2">
        <v>124</v>
      </c>
      <c r="B1246" s="109" t="s">
        <v>23</v>
      </c>
      <c r="C1246" s="110" t="s">
        <v>24</v>
      </c>
      <c r="D1246" s="2">
        <v>1</v>
      </c>
      <c r="E1246" s="51"/>
      <c r="F1246" s="105"/>
      <c r="H1246" s="2"/>
      <c r="L1246" s="2"/>
      <c r="M1246" s="2"/>
      <c r="N1246" s="244"/>
      <c r="O1246" s="2"/>
      <c r="P1246" s="2"/>
      <c r="Q1246" s="2"/>
      <c r="R1246" s="2"/>
      <c r="S1246" s="2"/>
      <c r="T1246" s="2"/>
      <c r="U1246" s="398"/>
      <c r="V1246" s="7"/>
      <c r="W1246" s="7"/>
    </row>
    <row r="1247" spans="1:23" x14ac:dyDescent="0.35">
      <c r="A1247" s="2">
        <v>124</v>
      </c>
      <c r="B1247" s="109" t="s">
        <v>29</v>
      </c>
      <c r="C1247" s="110" t="s">
        <v>31</v>
      </c>
      <c r="D1247" s="2">
        <v>1</v>
      </c>
      <c r="E1247" s="51"/>
      <c r="F1247" s="105"/>
      <c r="H1247" s="2"/>
      <c r="L1247" s="2"/>
      <c r="M1247" s="2"/>
      <c r="N1247" s="244"/>
      <c r="O1247" s="2"/>
      <c r="P1247" s="2"/>
      <c r="Q1247" s="2"/>
      <c r="R1247" s="2"/>
      <c r="S1247" s="2"/>
      <c r="T1247" s="2"/>
      <c r="U1247" s="398"/>
      <c r="V1247" s="7"/>
      <c r="W1247" s="7"/>
    </row>
    <row r="1248" spans="1:23" x14ac:dyDescent="0.35">
      <c r="A1248" s="2">
        <v>124</v>
      </c>
      <c r="B1248" s="109" t="s">
        <v>88</v>
      </c>
      <c r="C1248" s="110" t="s">
        <v>89</v>
      </c>
      <c r="D1248" s="2">
        <v>1</v>
      </c>
      <c r="E1248" s="51"/>
      <c r="F1248" s="105"/>
      <c r="H1248" s="2"/>
      <c r="L1248" s="2"/>
      <c r="M1248" s="2"/>
      <c r="N1248" s="244"/>
      <c r="O1248" s="2"/>
      <c r="P1248" s="2"/>
      <c r="Q1248" s="2"/>
      <c r="R1248" s="2"/>
      <c r="S1248" s="2"/>
      <c r="T1248" s="2"/>
      <c r="U1248" s="398"/>
      <c r="V1248" s="7"/>
      <c r="W1248" s="7"/>
    </row>
    <row r="1249" spans="1:23" x14ac:dyDescent="0.35">
      <c r="A1249" s="2">
        <v>124</v>
      </c>
      <c r="B1249" s="109" t="s">
        <v>1201</v>
      </c>
      <c r="C1249" s="110" t="s">
        <v>1209</v>
      </c>
      <c r="D1249" s="2">
        <v>-1</v>
      </c>
      <c r="E1249" s="51"/>
      <c r="F1249" s="105"/>
      <c r="H1249" s="2"/>
      <c r="L1249" s="2"/>
      <c r="M1249" s="2"/>
      <c r="N1249" s="244"/>
      <c r="O1249" s="2"/>
      <c r="P1249" s="2"/>
      <c r="Q1249" s="2"/>
      <c r="R1249" s="2"/>
      <c r="S1249" s="2"/>
      <c r="T1249" s="2"/>
      <c r="U1249" s="398"/>
      <c r="V1249" s="7" t="s">
        <v>1334</v>
      </c>
      <c r="W1249" s="7"/>
    </row>
    <row r="1250" spans="1:23" x14ac:dyDescent="0.35">
      <c r="A1250" s="2">
        <v>124</v>
      </c>
      <c r="B1250" s="109" t="s">
        <v>162</v>
      </c>
      <c r="C1250" s="110" t="s">
        <v>163</v>
      </c>
      <c r="D1250" s="2">
        <v>-1</v>
      </c>
      <c r="E1250" s="51"/>
      <c r="F1250" s="105"/>
      <c r="H1250" s="2"/>
      <c r="L1250" s="2"/>
      <c r="M1250" s="2"/>
      <c r="N1250" s="244"/>
      <c r="O1250" s="2"/>
      <c r="P1250" s="2"/>
      <c r="Q1250" s="2"/>
      <c r="R1250" s="2"/>
      <c r="S1250" s="2"/>
      <c r="T1250" s="2"/>
      <c r="U1250" s="398"/>
      <c r="V1250" s="7" t="s">
        <v>1334</v>
      </c>
      <c r="W1250" s="7"/>
    </row>
    <row r="1251" spans="1:23" x14ac:dyDescent="0.35">
      <c r="A1251" s="2">
        <v>124</v>
      </c>
      <c r="B1251" s="109" t="s">
        <v>727</v>
      </c>
      <c r="C1251" s="110" t="s">
        <v>728</v>
      </c>
      <c r="D1251" s="2">
        <v>-1</v>
      </c>
      <c r="E1251" s="51"/>
      <c r="F1251" s="105"/>
      <c r="H1251" s="2"/>
      <c r="L1251" s="2"/>
      <c r="M1251" s="2"/>
      <c r="N1251" s="244"/>
      <c r="O1251" s="2"/>
      <c r="P1251" s="2"/>
      <c r="Q1251" s="2"/>
      <c r="R1251" s="2"/>
      <c r="S1251" s="2"/>
      <c r="T1251" s="2"/>
      <c r="U1251" s="398"/>
      <c r="V1251" s="7" t="s">
        <v>1334</v>
      </c>
      <c r="W1251" s="7"/>
    </row>
    <row r="1252" spans="1:23" x14ac:dyDescent="0.35">
      <c r="A1252" s="2">
        <v>124</v>
      </c>
      <c r="B1252" s="109" t="s">
        <v>751</v>
      </c>
      <c r="C1252" s="110" t="s">
        <v>752</v>
      </c>
      <c r="D1252" s="2">
        <v>-1</v>
      </c>
      <c r="E1252" s="51"/>
      <c r="F1252" s="105"/>
      <c r="H1252" s="2"/>
      <c r="L1252" s="2"/>
      <c r="M1252" s="2"/>
      <c r="N1252" s="244"/>
      <c r="O1252" s="2"/>
      <c r="P1252" s="2"/>
      <c r="Q1252" s="2"/>
      <c r="R1252" s="2"/>
      <c r="S1252" s="2"/>
      <c r="T1252" s="2"/>
      <c r="U1252" s="398"/>
      <c r="V1252" s="7" t="s">
        <v>1334</v>
      </c>
      <c r="W1252" s="7"/>
    </row>
    <row r="1253" spans="1:23" x14ac:dyDescent="0.35">
      <c r="A1253" s="2">
        <v>124</v>
      </c>
      <c r="B1253" s="109" t="s">
        <v>1667</v>
      </c>
      <c r="C1253" s="110" t="s">
        <v>1035</v>
      </c>
      <c r="D1253" s="2">
        <v>-8.3333333333333329E-2</v>
      </c>
      <c r="E1253" s="51"/>
      <c r="F1253" s="105"/>
      <c r="H1253" s="2"/>
      <c r="L1253" s="2"/>
      <c r="M1253" s="2"/>
      <c r="N1253" s="244"/>
      <c r="O1253" s="2"/>
      <c r="P1253" s="2"/>
      <c r="Q1253" s="2"/>
      <c r="R1253" s="2"/>
      <c r="S1253" s="2"/>
      <c r="T1253" s="2"/>
      <c r="U1253" s="398"/>
      <c r="V1253" s="7" t="s">
        <v>1334</v>
      </c>
      <c r="W1253" s="7"/>
    </row>
    <row r="1254" spans="1:23" x14ac:dyDescent="0.35">
      <c r="A1254" s="2">
        <v>124</v>
      </c>
      <c r="B1254" s="109" t="s">
        <v>1204</v>
      </c>
      <c r="C1254" s="110" t="s">
        <v>1212</v>
      </c>
      <c r="D1254" s="2">
        <v>-1</v>
      </c>
      <c r="E1254" s="51"/>
      <c r="F1254" s="105"/>
      <c r="H1254" s="2"/>
      <c r="L1254" s="2"/>
      <c r="M1254" s="2"/>
      <c r="N1254" s="244"/>
      <c r="O1254" s="2"/>
      <c r="P1254" s="2"/>
      <c r="Q1254" s="2"/>
      <c r="R1254" s="2"/>
      <c r="S1254" s="2"/>
      <c r="T1254" s="2"/>
      <c r="U1254" s="398"/>
      <c r="V1254" s="7" t="s">
        <v>1334</v>
      </c>
      <c r="W1254" s="7"/>
    </row>
    <row r="1255" spans="1:23" x14ac:dyDescent="0.35">
      <c r="A1255" s="2">
        <v>124</v>
      </c>
      <c r="B1255" s="109" t="s">
        <v>149</v>
      </c>
      <c r="C1255" s="110" t="s">
        <v>152</v>
      </c>
      <c r="D1255" s="2">
        <v>-1</v>
      </c>
      <c r="E1255" s="51"/>
      <c r="F1255" s="105"/>
      <c r="H1255" s="2"/>
      <c r="L1255" s="2"/>
      <c r="M1255" s="2"/>
      <c r="N1255" s="244"/>
      <c r="O1255" s="2"/>
      <c r="P1255" s="2"/>
      <c r="Q1255" s="2"/>
      <c r="R1255" s="2"/>
      <c r="S1255" s="2"/>
      <c r="T1255" s="2"/>
      <c r="U1255" s="398"/>
      <c r="V1255" s="7" t="s">
        <v>1334</v>
      </c>
      <c r="W1255" s="7"/>
    </row>
    <row r="1256" spans="1:23" x14ac:dyDescent="0.35">
      <c r="A1256" s="2">
        <v>124</v>
      </c>
      <c r="B1256" s="109" t="s">
        <v>733</v>
      </c>
      <c r="C1256" s="110" t="s">
        <v>734</v>
      </c>
      <c r="D1256" s="2">
        <v>-1</v>
      </c>
      <c r="E1256" s="51"/>
      <c r="F1256" s="105"/>
      <c r="H1256" s="2"/>
      <c r="L1256" s="2"/>
      <c r="M1256" s="2"/>
      <c r="N1256" s="244"/>
      <c r="O1256" s="2"/>
      <c r="P1256" s="2"/>
      <c r="Q1256" s="2"/>
      <c r="R1256" s="2"/>
      <c r="S1256" s="2"/>
      <c r="T1256" s="2"/>
      <c r="U1256" s="398"/>
      <c r="V1256" s="7" t="s">
        <v>1334</v>
      </c>
      <c r="W1256" s="7"/>
    </row>
    <row r="1257" spans="1:23" x14ac:dyDescent="0.35">
      <c r="A1257" s="2">
        <v>124</v>
      </c>
      <c r="B1257" s="109" t="s">
        <v>753</v>
      </c>
      <c r="C1257" s="110" t="s">
        <v>754</v>
      </c>
      <c r="D1257" s="2">
        <v>-1</v>
      </c>
      <c r="E1257" s="51"/>
      <c r="F1257" s="105"/>
      <c r="H1257" s="2"/>
      <c r="L1257" s="2"/>
      <c r="M1257" s="2"/>
      <c r="N1257" s="244"/>
      <c r="O1257" s="2"/>
      <c r="P1257" s="2"/>
      <c r="Q1257" s="2"/>
      <c r="R1257" s="2"/>
      <c r="S1257" s="2"/>
      <c r="T1257" s="2"/>
      <c r="U1257" s="398"/>
      <c r="V1257" s="7" t="s">
        <v>1334</v>
      </c>
      <c r="W1257" s="7"/>
    </row>
    <row r="1258" spans="1:23" x14ac:dyDescent="0.35">
      <c r="A1258" s="2">
        <v>124</v>
      </c>
      <c r="B1258" s="109" t="s">
        <v>1667</v>
      </c>
      <c r="C1258" s="110" t="s">
        <v>1035</v>
      </c>
      <c r="D1258" s="2">
        <v>-8.3333333333333329E-2</v>
      </c>
      <c r="E1258" s="51"/>
      <c r="F1258" s="105"/>
      <c r="H1258" s="2"/>
      <c r="L1258" s="2"/>
      <c r="M1258" s="2"/>
      <c r="N1258" s="244"/>
      <c r="O1258" s="2"/>
      <c r="P1258" s="2"/>
      <c r="Q1258" s="2"/>
      <c r="R1258" s="2"/>
      <c r="S1258" s="2"/>
      <c r="T1258" s="2"/>
      <c r="U1258" s="398"/>
      <c r="V1258" s="7" t="s">
        <v>1334</v>
      </c>
      <c r="W1258" s="7"/>
    </row>
    <row r="1259" spans="1:23" x14ac:dyDescent="0.35">
      <c r="A1259" s="2">
        <v>124</v>
      </c>
      <c r="B1259" s="109" t="s">
        <v>107</v>
      </c>
      <c r="C1259" s="110" t="s">
        <v>109</v>
      </c>
      <c r="D1259" s="2">
        <v>-1</v>
      </c>
      <c r="E1259" s="51"/>
      <c r="F1259" s="105"/>
      <c r="H1259" s="2"/>
      <c r="L1259" s="2"/>
      <c r="M1259" s="2"/>
      <c r="N1259" s="244"/>
      <c r="O1259" s="2"/>
      <c r="P1259" s="2"/>
      <c r="Q1259" s="2"/>
      <c r="R1259" s="2"/>
      <c r="S1259" s="2"/>
      <c r="T1259" s="2"/>
      <c r="U1259" s="398"/>
      <c r="V1259" s="7" t="s">
        <v>1334</v>
      </c>
      <c r="W1259" s="7"/>
    </row>
    <row r="1260" spans="1:23" x14ac:dyDescent="0.35">
      <c r="A1260" s="2">
        <v>124</v>
      </c>
      <c r="B1260" s="109" t="s">
        <v>680</v>
      </c>
      <c r="C1260" s="110" t="s">
        <v>847</v>
      </c>
      <c r="D1260" s="2">
        <v>-1</v>
      </c>
      <c r="E1260" s="51"/>
      <c r="F1260" s="105"/>
      <c r="H1260" s="2"/>
      <c r="L1260" s="2"/>
      <c r="M1260" s="2"/>
      <c r="N1260" s="244"/>
      <c r="O1260" s="2"/>
      <c r="P1260" s="2"/>
      <c r="Q1260" s="2"/>
      <c r="R1260" s="2"/>
      <c r="S1260" s="2"/>
      <c r="T1260" s="2"/>
      <c r="U1260" s="398"/>
      <c r="V1260" s="7" t="s">
        <v>1334</v>
      </c>
      <c r="W1260" s="7"/>
    </row>
    <row r="1261" spans="1:23" x14ac:dyDescent="0.35">
      <c r="A1261" s="2">
        <v>124</v>
      </c>
      <c r="B1261" s="109" t="s">
        <v>749</v>
      </c>
      <c r="C1261" s="110" t="s">
        <v>750</v>
      </c>
      <c r="D1261" s="2">
        <v>-1</v>
      </c>
      <c r="E1261" s="51"/>
      <c r="F1261" s="105"/>
      <c r="H1261" s="2"/>
      <c r="L1261" s="2"/>
      <c r="M1261" s="2"/>
      <c r="N1261" s="244"/>
      <c r="O1261" s="2"/>
      <c r="P1261" s="2"/>
      <c r="Q1261" s="2"/>
      <c r="R1261" s="2"/>
      <c r="S1261" s="2"/>
      <c r="T1261" s="2"/>
      <c r="U1261" s="398"/>
      <c r="V1261" s="7" t="s">
        <v>1334</v>
      </c>
      <c r="W1261" s="7"/>
    </row>
    <row r="1262" spans="1:23" x14ac:dyDescent="0.35">
      <c r="A1262" s="2">
        <v>124</v>
      </c>
      <c r="B1262" s="109" t="s">
        <v>1018</v>
      </c>
      <c r="C1262" s="110" t="s">
        <v>1068</v>
      </c>
      <c r="D1262" s="2">
        <v>-1</v>
      </c>
      <c r="E1262" s="51"/>
      <c r="F1262" s="105"/>
      <c r="H1262" s="2"/>
      <c r="L1262" s="2"/>
      <c r="M1262" s="2"/>
      <c r="N1262" s="244"/>
      <c r="O1262" s="2"/>
      <c r="P1262" s="2"/>
      <c r="Q1262" s="2"/>
      <c r="R1262" s="2"/>
      <c r="S1262" s="2"/>
      <c r="T1262" s="2"/>
      <c r="U1262" s="398"/>
      <c r="V1262" s="7" t="s">
        <v>1334</v>
      </c>
      <c r="W1262" s="7"/>
    </row>
    <row r="1263" spans="1:23" x14ac:dyDescent="0.35">
      <c r="A1263" s="2">
        <v>124</v>
      </c>
      <c r="B1263" s="109" t="s">
        <v>1036</v>
      </c>
      <c r="C1263" s="110" t="s">
        <v>1034</v>
      </c>
      <c r="D1263" s="2">
        <v>-8.3333333333333329E-2</v>
      </c>
      <c r="E1263" s="51"/>
      <c r="F1263" s="105"/>
      <c r="H1263" s="2"/>
      <c r="L1263" s="2"/>
      <c r="M1263" s="2"/>
      <c r="N1263" s="244"/>
      <c r="O1263" s="2"/>
      <c r="P1263" s="2"/>
      <c r="Q1263" s="2"/>
      <c r="R1263" s="2"/>
      <c r="S1263" s="2"/>
      <c r="T1263" s="2"/>
      <c r="U1263" s="398"/>
      <c r="V1263" s="7" t="s">
        <v>1334</v>
      </c>
      <c r="W1263" s="7"/>
    </row>
    <row r="1264" spans="1:23" x14ac:dyDescent="0.35">
      <c r="A1264" s="2">
        <v>125</v>
      </c>
      <c r="B1264" s="109" t="s">
        <v>91</v>
      </c>
      <c r="C1264" s="110" t="s">
        <v>92</v>
      </c>
      <c r="D1264" s="2">
        <v>480</v>
      </c>
      <c r="E1264" s="51">
        <v>5.2</v>
      </c>
      <c r="F1264" s="105"/>
      <c r="H1264" s="2"/>
      <c r="I1264" s="2">
        <v>20</v>
      </c>
      <c r="J1264" s="2">
        <v>0</v>
      </c>
      <c r="K1264" s="2">
        <v>0</v>
      </c>
      <c r="L1264" s="2">
        <v>150.39999999999998</v>
      </c>
      <c r="M1264" s="2">
        <v>164.60000000000002</v>
      </c>
      <c r="N1264" s="244">
        <v>0.44891999999999999</v>
      </c>
      <c r="O1264" s="2" t="s">
        <v>934</v>
      </c>
      <c r="P1264" s="2">
        <v>100</v>
      </c>
      <c r="Q1264" s="2" t="s">
        <v>55</v>
      </c>
      <c r="R1264" s="2" t="s">
        <v>91</v>
      </c>
      <c r="S1264" s="2"/>
      <c r="T1264" s="2">
        <v>5</v>
      </c>
      <c r="U1264" s="398">
        <v>2400</v>
      </c>
      <c r="V1264" s="7">
        <v>2496</v>
      </c>
      <c r="W1264" s="7" t="s">
        <v>660</v>
      </c>
    </row>
    <row r="1265" spans="1:23" x14ac:dyDescent="0.35">
      <c r="A1265" s="2">
        <v>125</v>
      </c>
      <c r="B1265" s="109" t="s">
        <v>93</v>
      </c>
      <c r="C1265" s="110" t="s">
        <v>94</v>
      </c>
      <c r="D1265" s="2">
        <v>480</v>
      </c>
      <c r="E1265" s="51">
        <v>5.2</v>
      </c>
      <c r="F1265" s="105"/>
      <c r="H1265" s="2"/>
      <c r="I1265" s="2">
        <v>20</v>
      </c>
      <c r="J1265" s="2">
        <v>0</v>
      </c>
      <c r="K1265" s="2">
        <v>0</v>
      </c>
      <c r="L1265" s="2">
        <v>150.39999999999998</v>
      </c>
      <c r="M1265" s="2">
        <v>164.60000000000002</v>
      </c>
      <c r="N1265" s="244">
        <v>0.44891999999999999</v>
      </c>
      <c r="O1265" s="2" t="s">
        <v>934</v>
      </c>
      <c r="P1265" s="2">
        <v>100</v>
      </c>
      <c r="Q1265" s="2" t="s">
        <v>55</v>
      </c>
      <c r="R1265" s="2" t="s">
        <v>93</v>
      </c>
      <c r="S1265" s="2"/>
      <c r="T1265" s="2">
        <v>5</v>
      </c>
      <c r="U1265" s="398">
        <v>2400</v>
      </c>
      <c r="V1265" s="7">
        <v>2496</v>
      </c>
      <c r="W1265" s="7" t="s">
        <v>660</v>
      </c>
    </row>
    <row r="1266" spans="1:23" x14ac:dyDescent="0.35">
      <c r="A1266" s="2">
        <v>125</v>
      </c>
      <c r="B1266" s="109" t="s">
        <v>95</v>
      </c>
      <c r="C1266" s="110" t="s">
        <v>96</v>
      </c>
      <c r="D1266" s="2">
        <v>480</v>
      </c>
      <c r="E1266" s="51">
        <v>5.2</v>
      </c>
      <c r="F1266" s="105"/>
      <c r="H1266" s="2"/>
      <c r="I1266" s="2">
        <v>20</v>
      </c>
      <c r="J1266" s="2">
        <v>0</v>
      </c>
      <c r="K1266" s="2">
        <v>0</v>
      </c>
      <c r="L1266" s="2">
        <v>150.39999999999998</v>
      </c>
      <c r="M1266" s="2">
        <v>164.60000000000002</v>
      </c>
      <c r="N1266" s="244">
        <v>0.44891999999999999</v>
      </c>
      <c r="O1266" s="2" t="s">
        <v>934</v>
      </c>
      <c r="P1266" s="2">
        <v>100</v>
      </c>
      <c r="Q1266" s="2" t="s">
        <v>55</v>
      </c>
      <c r="R1266" s="2" t="s">
        <v>95</v>
      </c>
      <c r="S1266" s="2"/>
      <c r="T1266" s="2">
        <v>5</v>
      </c>
      <c r="U1266" s="398">
        <v>2400</v>
      </c>
      <c r="V1266" s="7">
        <v>2496</v>
      </c>
      <c r="W1266" s="7" t="s">
        <v>660</v>
      </c>
    </row>
    <row r="1267" spans="1:23" x14ac:dyDescent="0.35">
      <c r="A1267" s="2">
        <v>125</v>
      </c>
      <c r="B1267" s="109" t="s">
        <v>97</v>
      </c>
      <c r="C1267" s="110" t="s">
        <v>98</v>
      </c>
      <c r="D1267" s="2">
        <v>480</v>
      </c>
      <c r="E1267" s="51">
        <v>5.2</v>
      </c>
      <c r="F1267" s="105"/>
      <c r="H1267" s="2"/>
      <c r="I1267" s="2">
        <v>20</v>
      </c>
      <c r="J1267" s="2">
        <v>0</v>
      </c>
      <c r="K1267" s="2">
        <v>0</v>
      </c>
      <c r="L1267" s="2">
        <v>150.39999999999998</v>
      </c>
      <c r="M1267" s="2">
        <v>164.60000000000002</v>
      </c>
      <c r="N1267" s="244">
        <v>0.44891999999999999</v>
      </c>
      <c r="O1267" s="2" t="s">
        <v>934</v>
      </c>
      <c r="P1267" s="2">
        <v>100</v>
      </c>
      <c r="Q1267" s="2" t="s">
        <v>55</v>
      </c>
      <c r="R1267" s="2" t="s">
        <v>97</v>
      </c>
      <c r="S1267" s="2"/>
      <c r="T1267" s="2">
        <v>5</v>
      </c>
      <c r="U1267" s="398">
        <v>2400</v>
      </c>
      <c r="V1267" s="7">
        <v>2496</v>
      </c>
      <c r="W1267" s="7" t="s">
        <v>660</v>
      </c>
    </row>
    <row r="1268" spans="1:23" x14ac:dyDescent="0.35">
      <c r="A1268" s="2">
        <v>125</v>
      </c>
      <c r="B1268" s="109" t="s">
        <v>99</v>
      </c>
      <c r="C1268" s="110" t="s">
        <v>100</v>
      </c>
      <c r="D1268" s="2">
        <v>480</v>
      </c>
      <c r="E1268" s="51">
        <v>5.2</v>
      </c>
      <c r="F1268" s="105"/>
      <c r="H1268" s="2"/>
      <c r="I1268" s="2">
        <v>20</v>
      </c>
      <c r="J1268" s="2">
        <v>0</v>
      </c>
      <c r="K1268" s="2">
        <v>0</v>
      </c>
      <c r="L1268" s="2">
        <v>137.4</v>
      </c>
      <c r="M1268" s="2">
        <v>151.19999999999999</v>
      </c>
      <c r="N1268" s="244">
        <v>0.50309999999999999</v>
      </c>
      <c r="O1268" s="2" t="s">
        <v>934</v>
      </c>
      <c r="P1268" s="2">
        <v>100</v>
      </c>
      <c r="Q1268" s="2" t="s">
        <v>55</v>
      </c>
      <c r="R1268" s="2" t="s">
        <v>99</v>
      </c>
      <c r="S1268" s="2"/>
      <c r="T1268" s="2">
        <v>5</v>
      </c>
      <c r="U1268" s="398">
        <v>2400</v>
      </c>
      <c r="V1268" s="7">
        <v>2496</v>
      </c>
      <c r="W1268" s="7" t="s">
        <v>660</v>
      </c>
    </row>
    <row r="1269" spans="1:23" x14ac:dyDescent="0.35">
      <c r="A1269" s="2">
        <v>125</v>
      </c>
      <c r="B1269" s="109" t="s">
        <v>101</v>
      </c>
      <c r="C1269" s="110" t="s">
        <v>102</v>
      </c>
      <c r="D1269" s="2">
        <v>480</v>
      </c>
      <c r="E1269" s="51">
        <v>5.2</v>
      </c>
      <c r="F1269" s="105"/>
      <c r="H1269" s="2"/>
      <c r="I1269" s="2">
        <v>20</v>
      </c>
      <c r="J1269" s="2">
        <v>0</v>
      </c>
      <c r="K1269" s="2">
        <v>0</v>
      </c>
      <c r="L1269" s="2">
        <v>137.4</v>
      </c>
      <c r="M1269" s="2">
        <v>151.19999999999999</v>
      </c>
      <c r="N1269" s="244">
        <v>0.50309999999999999</v>
      </c>
      <c r="O1269" s="2" t="s">
        <v>934</v>
      </c>
      <c r="P1269" s="2">
        <v>100</v>
      </c>
      <c r="Q1269" s="2" t="s">
        <v>55</v>
      </c>
      <c r="R1269" s="2" t="s">
        <v>101</v>
      </c>
      <c r="S1269" s="2"/>
      <c r="T1269" s="2">
        <v>5</v>
      </c>
      <c r="U1269" s="398">
        <v>2400</v>
      </c>
      <c r="V1269" s="7">
        <v>2496</v>
      </c>
      <c r="W1269" s="7" t="s">
        <v>660</v>
      </c>
    </row>
    <row r="1270" spans="1:23" x14ac:dyDescent="0.35">
      <c r="A1270" s="2">
        <v>125</v>
      </c>
      <c r="B1270" s="109" t="s">
        <v>103</v>
      </c>
      <c r="C1270" s="110" t="s">
        <v>104</v>
      </c>
      <c r="D1270" s="2">
        <v>480</v>
      </c>
      <c r="E1270" s="51">
        <v>5.2</v>
      </c>
      <c r="F1270" s="105"/>
      <c r="H1270" s="2"/>
      <c r="I1270" s="2">
        <v>20</v>
      </c>
      <c r="J1270" s="2">
        <v>0</v>
      </c>
      <c r="K1270" s="2">
        <v>0</v>
      </c>
      <c r="L1270" s="2">
        <v>137.4</v>
      </c>
      <c r="M1270" s="2">
        <v>151.19999999999999</v>
      </c>
      <c r="N1270" s="244">
        <v>0.50309999999999999</v>
      </c>
      <c r="O1270" s="2" t="s">
        <v>934</v>
      </c>
      <c r="P1270" s="2">
        <v>100</v>
      </c>
      <c r="Q1270" s="2" t="s">
        <v>55</v>
      </c>
      <c r="R1270" s="2" t="s">
        <v>103</v>
      </c>
      <c r="S1270" s="2"/>
      <c r="T1270" s="2">
        <v>5</v>
      </c>
      <c r="U1270" s="398">
        <v>2400</v>
      </c>
      <c r="V1270" s="7">
        <v>2496</v>
      </c>
      <c r="W1270" s="7" t="s">
        <v>660</v>
      </c>
    </row>
    <row r="1271" spans="1:23" x14ac:dyDescent="0.35">
      <c r="A1271" s="2">
        <v>125</v>
      </c>
      <c r="B1271" s="109" t="s">
        <v>105</v>
      </c>
      <c r="C1271" s="110" t="s">
        <v>106</v>
      </c>
      <c r="D1271" s="2">
        <v>480</v>
      </c>
      <c r="E1271" s="51">
        <v>5.2</v>
      </c>
      <c r="F1271" s="105"/>
      <c r="H1271" s="2"/>
      <c r="I1271" s="2">
        <v>20</v>
      </c>
      <c r="J1271" s="2">
        <v>0</v>
      </c>
      <c r="K1271" s="2">
        <v>0</v>
      </c>
      <c r="L1271" s="2">
        <v>137.4</v>
      </c>
      <c r="M1271" s="2">
        <v>151.19999999999999</v>
      </c>
      <c r="N1271" s="244">
        <v>0.50309999999999999</v>
      </c>
      <c r="O1271" s="2" t="s">
        <v>934</v>
      </c>
      <c r="P1271" s="2">
        <v>100</v>
      </c>
      <c r="Q1271" s="2" t="s">
        <v>55</v>
      </c>
      <c r="R1271" s="2" t="s">
        <v>105</v>
      </c>
      <c r="S1271" s="2"/>
      <c r="T1271" s="2">
        <v>5</v>
      </c>
      <c r="U1271" s="398">
        <v>2400</v>
      </c>
      <c r="V1271" s="7">
        <v>2496</v>
      </c>
      <c r="W1271" s="7" t="s">
        <v>660</v>
      </c>
    </row>
    <row r="1272" spans="1:23" x14ac:dyDescent="0.35">
      <c r="A1272" s="2">
        <v>125</v>
      </c>
      <c r="B1272" s="109" t="s">
        <v>25</v>
      </c>
      <c r="C1272" s="110" t="s">
        <v>26</v>
      </c>
      <c r="D1272" s="2">
        <v>166</v>
      </c>
      <c r="E1272" s="51">
        <v>5.2</v>
      </c>
      <c r="F1272" s="105"/>
      <c r="H1272" s="2"/>
      <c r="I1272" s="2">
        <v>14</v>
      </c>
      <c r="J1272" s="2">
        <v>0</v>
      </c>
      <c r="K1272" s="2">
        <v>0</v>
      </c>
      <c r="L1272" s="2">
        <v>69.72</v>
      </c>
      <c r="M1272" s="2">
        <v>80.094999999999999</v>
      </c>
      <c r="N1272" s="244">
        <v>0.38848150000000004</v>
      </c>
      <c r="O1272" s="2" t="s">
        <v>18</v>
      </c>
      <c r="P1272" s="2">
        <v>50</v>
      </c>
      <c r="Q1272" s="2">
        <v>0</v>
      </c>
      <c r="R1272" s="2" t="s">
        <v>25</v>
      </c>
      <c r="S1272" s="2">
        <v>240</v>
      </c>
      <c r="T1272" s="2">
        <v>5.23</v>
      </c>
      <c r="U1272" s="398">
        <v>868.18000000000006</v>
      </c>
      <c r="V1272" s="7">
        <v>863.2</v>
      </c>
      <c r="W1272" s="7" t="s">
        <v>660</v>
      </c>
    </row>
    <row r="1273" spans="1:23" x14ac:dyDescent="0.35">
      <c r="A1273" s="2">
        <v>125</v>
      </c>
      <c r="B1273" s="109" t="s">
        <v>27</v>
      </c>
      <c r="C1273" s="110" t="s">
        <v>28</v>
      </c>
      <c r="D1273" s="2">
        <v>314</v>
      </c>
      <c r="E1273" s="51">
        <v>5.2</v>
      </c>
      <c r="F1273" s="105"/>
      <c r="H1273" s="2"/>
      <c r="I1273" s="2">
        <v>27</v>
      </c>
      <c r="J1273" s="2">
        <v>0</v>
      </c>
      <c r="K1273" s="2">
        <v>0</v>
      </c>
      <c r="L1273" s="2">
        <v>131.88</v>
      </c>
      <c r="M1273" s="2">
        <v>151.505</v>
      </c>
      <c r="N1273" s="244">
        <v>0.73483850000000017</v>
      </c>
      <c r="O1273" s="2" t="s">
        <v>18</v>
      </c>
      <c r="P1273" s="2">
        <v>50</v>
      </c>
      <c r="Q1273" s="2">
        <v>0</v>
      </c>
      <c r="R1273" s="2" t="s">
        <v>27</v>
      </c>
      <c r="S1273" s="2">
        <v>240</v>
      </c>
      <c r="T1273" s="2">
        <v>5.23</v>
      </c>
      <c r="U1273" s="398">
        <v>1642.22</v>
      </c>
      <c r="V1273" s="7">
        <v>1632.8</v>
      </c>
      <c r="W1273" s="7" t="s">
        <v>660</v>
      </c>
    </row>
    <row r="1274" spans="1:23" x14ac:dyDescent="0.35">
      <c r="A1274" s="2">
        <v>125</v>
      </c>
      <c r="B1274" s="109" t="s">
        <v>29</v>
      </c>
      <c r="C1274" s="110" t="s">
        <v>31</v>
      </c>
      <c r="D1274" s="2">
        <v>240</v>
      </c>
      <c r="E1274" s="51">
        <v>5.2</v>
      </c>
      <c r="F1274" s="105"/>
      <c r="H1274" s="2"/>
      <c r="I1274" s="2">
        <v>20</v>
      </c>
      <c r="J1274" s="2">
        <v>0</v>
      </c>
      <c r="K1274" s="2">
        <v>0</v>
      </c>
      <c r="L1274" s="2">
        <v>95.600000000000009</v>
      </c>
      <c r="M1274" s="2">
        <v>105</v>
      </c>
      <c r="N1274" s="244">
        <v>0.56166000000000005</v>
      </c>
      <c r="O1274" s="2" t="s">
        <v>18</v>
      </c>
      <c r="P1274" s="2">
        <v>50</v>
      </c>
      <c r="Q1274" s="2">
        <v>0</v>
      </c>
      <c r="R1274" s="2" t="s">
        <v>29</v>
      </c>
      <c r="S1274" s="2">
        <v>240</v>
      </c>
      <c r="T1274" s="2">
        <v>5.23</v>
      </c>
      <c r="U1274" s="398">
        <v>1255.2</v>
      </c>
      <c r="V1274" s="7">
        <v>1248</v>
      </c>
      <c r="W1274" s="7" t="s">
        <v>660</v>
      </c>
    </row>
    <row r="1275" spans="1:23" x14ac:dyDescent="0.35">
      <c r="A1275" s="2">
        <v>125</v>
      </c>
      <c r="B1275" s="109" t="s">
        <v>32</v>
      </c>
      <c r="C1275" s="110" t="s">
        <v>33</v>
      </c>
      <c r="D1275" s="2">
        <v>240</v>
      </c>
      <c r="E1275" s="51">
        <v>5.2</v>
      </c>
      <c r="F1275" s="105"/>
      <c r="H1275" s="2"/>
      <c r="I1275" s="2">
        <v>20</v>
      </c>
      <c r="J1275" s="2">
        <v>0</v>
      </c>
      <c r="K1275" s="2">
        <v>0</v>
      </c>
      <c r="L1275" s="2">
        <v>95.600000000000009</v>
      </c>
      <c r="M1275" s="2">
        <v>105</v>
      </c>
      <c r="N1275" s="244">
        <v>0.56166000000000005</v>
      </c>
      <c r="O1275" s="2" t="s">
        <v>18</v>
      </c>
      <c r="P1275" s="2">
        <v>50</v>
      </c>
      <c r="Q1275" s="2">
        <v>0</v>
      </c>
      <c r="R1275" s="2" t="s">
        <v>32</v>
      </c>
      <c r="S1275" s="2">
        <v>240</v>
      </c>
      <c r="T1275" s="2">
        <v>5.23</v>
      </c>
      <c r="U1275" s="398">
        <v>1255.2</v>
      </c>
      <c r="V1275" s="7">
        <v>1248</v>
      </c>
      <c r="W1275" s="7" t="s">
        <v>660</v>
      </c>
    </row>
    <row r="1276" spans="1:23" x14ac:dyDescent="0.35">
      <c r="A1276" s="2">
        <v>125</v>
      </c>
      <c r="B1276" s="109" t="s">
        <v>107</v>
      </c>
      <c r="C1276" s="110" t="s">
        <v>109</v>
      </c>
      <c r="D1276" s="2">
        <v>480</v>
      </c>
      <c r="E1276" s="51">
        <v>10</v>
      </c>
      <c r="F1276" s="105"/>
      <c r="H1276" s="2"/>
      <c r="I1276" s="2">
        <v>20</v>
      </c>
      <c r="J1276" s="2">
        <v>0</v>
      </c>
      <c r="K1276" s="2">
        <v>0</v>
      </c>
      <c r="L1276" s="2">
        <v>189.60000000000002</v>
      </c>
      <c r="M1276" s="2">
        <v>198</v>
      </c>
      <c r="N1276" s="244">
        <v>0.34594999999999998</v>
      </c>
      <c r="O1276" s="2" t="s">
        <v>108</v>
      </c>
      <c r="P1276" s="2">
        <v>100</v>
      </c>
      <c r="Q1276" s="2" t="s">
        <v>55</v>
      </c>
      <c r="R1276" s="2" t="s">
        <v>107</v>
      </c>
      <c r="S1276" s="2"/>
      <c r="T1276" s="2">
        <v>11.68</v>
      </c>
      <c r="U1276" s="398">
        <v>5606.4</v>
      </c>
      <c r="V1276" s="7">
        <v>4800</v>
      </c>
      <c r="W1276" s="7" t="s">
        <v>660</v>
      </c>
    </row>
    <row r="1277" spans="1:23" x14ac:dyDescent="0.35">
      <c r="A1277" s="2">
        <v>125</v>
      </c>
      <c r="B1277" s="109" t="s">
        <v>110</v>
      </c>
      <c r="C1277" s="110" t="s">
        <v>111</v>
      </c>
      <c r="D1277" s="2">
        <v>360</v>
      </c>
      <c r="E1277" s="51">
        <v>10</v>
      </c>
      <c r="F1277" s="105"/>
      <c r="H1277" s="2"/>
      <c r="I1277" s="2">
        <v>15</v>
      </c>
      <c r="J1277" s="2">
        <v>0</v>
      </c>
      <c r="K1277" s="2">
        <v>0</v>
      </c>
      <c r="L1277" s="2">
        <v>142.20000000000002</v>
      </c>
      <c r="M1277" s="2">
        <v>148.5</v>
      </c>
      <c r="N1277" s="244">
        <v>0.25946249999999998</v>
      </c>
      <c r="O1277" s="2" t="s">
        <v>108</v>
      </c>
      <c r="P1277" s="2">
        <v>100</v>
      </c>
      <c r="Q1277" s="2" t="s">
        <v>55</v>
      </c>
      <c r="R1277" s="2" t="s">
        <v>110</v>
      </c>
      <c r="S1277" s="2"/>
      <c r="T1277" s="2">
        <v>11.68</v>
      </c>
      <c r="U1277" s="398">
        <v>4204.8</v>
      </c>
      <c r="V1277" s="7">
        <v>3600</v>
      </c>
      <c r="W1277" s="7" t="s">
        <v>660</v>
      </c>
    </row>
    <row r="1278" spans="1:23" x14ac:dyDescent="0.35">
      <c r="A1278" s="2">
        <v>125</v>
      </c>
      <c r="B1278" s="109" t="s">
        <v>1216</v>
      </c>
      <c r="C1278" s="110" t="s">
        <v>648</v>
      </c>
      <c r="D1278" s="2">
        <v>360</v>
      </c>
      <c r="E1278" s="51">
        <v>10</v>
      </c>
      <c r="F1278" s="105"/>
      <c r="H1278" s="2"/>
      <c r="I1278" s="2">
        <v>15</v>
      </c>
      <c r="J1278" s="2">
        <v>0</v>
      </c>
      <c r="K1278" s="2">
        <v>0</v>
      </c>
      <c r="L1278" s="2">
        <v>142.20000000000002</v>
      </c>
      <c r="M1278" s="2">
        <v>148.5</v>
      </c>
      <c r="N1278" s="244">
        <v>0.25946249999999998</v>
      </c>
      <c r="O1278" s="2" t="s">
        <v>108</v>
      </c>
      <c r="P1278" s="2">
        <v>100</v>
      </c>
      <c r="Q1278" s="2" t="s">
        <v>55</v>
      </c>
      <c r="R1278" s="2" t="s">
        <v>112</v>
      </c>
      <c r="S1278" s="2"/>
      <c r="T1278" s="2">
        <v>11.68</v>
      </c>
      <c r="U1278" s="398">
        <v>4204.8</v>
      </c>
      <c r="V1278" s="7">
        <v>3600</v>
      </c>
      <c r="W1278" s="7" t="s">
        <v>660</v>
      </c>
    </row>
    <row r="1279" spans="1:23" x14ac:dyDescent="0.35">
      <c r="A1279" s="2">
        <v>125</v>
      </c>
      <c r="B1279" s="109" t="s">
        <v>114</v>
      </c>
      <c r="C1279" s="110" t="s">
        <v>115</v>
      </c>
      <c r="D1279" s="2">
        <v>360</v>
      </c>
      <c r="E1279" s="51">
        <v>10</v>
      </c>
      <c r="F1279" s="105"/>
      <c r="H1279" s="2"/>
      <c r="I1279" s="2">
        <v>15</v>
      </c>
      <c r="J1279" s="2">
        <v>0</v>
      </c>
      <c r="K1279" s="2">
        <v>0</v>
      </c>
      <c r="L1279" s="2">
        <v>142.20000000000002</v>
      </c>
      <c r="M1279" s="2">
        <v>148.5</v>
      </c>
      <c r="N1279" s="244">
        <v>0.25946249999999998</v>
      </c>
      <c r="O1279" s="2" t="s">
        <v>108</v>
      </c>
      <c r="P1279" s="2">
        <v>100</v>
      </c>
      <c r="Q1279" s="2" t="s">
        <v>55</v>
      </c>
      <c r="R1279" s="2" t="s">
        <v>114</v>
      </c>
      <c r="S1279" s="2"/>
      <c r="T1279" s="2">
        <v>11.68</v>
      </c>
      <c r="U1279" s="398">
        <v>4204.8</v>
      </c>
      <c r="V1279" s="7">
        <v>3600</v>
      </c>
      <c r="W1279" s="7" t="s">
        <v>660</v>
      </c>
    </row>
    <row r="1280" spans="1:23" x14ac:dyDescent="0.35">
      <c r="A1280" s="2">
        <v>125</v>
      </c>
      <c r="B1280" s="109" t="s">
        <v>141</v>
      </c>
      <c r="C1280" s="110" t="s">
        <v>142</v>
      </c>
      <c r="D1280" s="2">
        <v>480</v>
      </c>
      <c r="E1280" s="51">
        <v>10</v>
      </c>
      <c r="F1280" s="105"/>
      <c r="H1280" s="2"/>
      <c r="I1280" s="2">
        <v>20</v>
      </c>
      <c r="J1280" s="2">
        <v>0</v>
      </c>
      <c r="K1280" s="2">
        <v>0</v>
      </c>
      <c r="L1280" s="2">
        <v>189.60000000000002</v>
      </c>
      <c r="M1280" s="2">
        <v>198</v>
      </c>
      <c r="N1280" s="244">
        <v>0.35062500000000002</v>
      </c>
      <c r="O1280" s="2" t="s">
        <v>108</v>
      </c>
      <c r="P1280" s="2">
        <v>100</v>
      </c>
      <c r="Q1280" s="2" t="s">
        <v>55</v>
      </c>
      <c r="R1280" s="2" t="s">
        <v>141</v>
      </c>
      <c r="S1280" s="2"/>
      <c r="T1280" s="2">
        <v>11.68</v>
      </c>
      <c r="U1280" s="398">
        <v>5606.4</v>
      </c>
      <c r="V1280" s="7">
        <v>4800</v>
      </c>
      <c r="W1280" s="7" t="s">
        <v>660</v>
      </c>
    </row>
    <row r="1281" spans="1:23" x14ac:dyDescent="0.35">
      <c r="A1281" s="2">
        <v>125</v>
      </c>
      <c r="B1281" s="109" t="s">
        <v>143</v>
      </c>
      <c r="C1281" s="110" t="s">
        <v>144</v>
      </c>
      <c r="D1281" s="2">
        <v>480</v>
      </c>
      <c r="E1281" s="51">
        <v>10</v>
      </c>
      <c r="F1281" s="105"/>
      <c r="H1281" s="2"/>
      <c r="I1281" s="2">
        <v>20</v>
      </c>
      <c r="J1281" s="2">
        <v>0</v>
      </c>
      <c r="K1281" s="2">
        <v>0</v>
      </c>
      <c r="L1281" s="2">
        <v>189.60000000000002</v>
      </c>
      <c r="M1281" s="2">
        <v>198</v>
      </c>
      <c r="N1281" s="244">
        <v>0.35062500000000002</v>
      </c>
      <c r="O1281" s="2" t="s">
        <v>108</v>
      </c>
      <c r="P1281" s="2">
        <v>100</v>
      </c>
      <c r="Q1281" s="2" t="s">
        <v>55</v>
      </c>
      <c r="R1281" s="2" t="s">
        <v>143</v>
      </c>
      <c r="S1281" s="2"/>
      <c r="T1281" s="2">
        <v>11.68</v>
      </c>
      <c r="U1281" s="398">
        <v>5606.4</v>
      </c>
      <c r="V1281" s="7">
        <v>4800</v>
      </c>
      <c r="W1281" s="7" t="s">
        <v>660</v>
      </c>
    </row>
    <row r="1282" spans="1:23" x14ac:dyDescent="0.35">
      <c r="A1282" s="2">
        <v>125</v>
      </c>
      <c r="B1282" s="109" t="s">
        <v>116</v>
      </c>
      <c r="C1282" s="110" t="s">
        <v>117</v>
      </c>
      <c r="D1282" s="2">
        <v>360</v>
      </c>
      <c r="E1282" s="51">
        <v>10</v>
      </c>
      <c r="F1282" s="105"/>
      <c r="H1282" s="2"/>
      <c r="I1282" s="2">
        <v>15</v>
      </c>
      <c r="J1282" s="2">
        <v>0</v>
      </c>
      <c r="K1282" s="2">
        <v>0</v>
      </c>
      <c r="L1282" s="2">
        <v>136.79999999999998</v>
      </c>
      <c r="M1282" s="2">
        <v>142.5</v>
      </c>
      <c r="N1282" s="244">
        <v>0.26296874999999997</v>
      </c>
      <c r="O1282" s="2" t="s">
        <v>108</v>
      </c>
      <c r="P1282" s="2">
        <v>100</v>
      </c>
      <c r="Q1282" s="2" t="s">
        <v>55</v>
      </c>
      <c r="R1282" s="2" t="s">
        <v>116</v>
      </c>
      <c r="S1282" s="2"/>
      <c r="T1282" s="2">
        <v>11.68</v>
      </c>
      <c r="U1282" s="398">
        <v>4204.8</v>
      </c>
      <c r="V1282" s="7">
        <v>3600</v>
      </c>
      <c r="W1282" s="7" t="s">
        <v>660</v>
      </c>
    </row>
    <row r="1283" spans="1:23" x14ac:dyDescent="0.35">
      <c r="A1283" s="2">
        <v>125</v>
      </c>
      <c r="B1283" s="109" t="s">
        <v>118</v>
      </c>
      <c r="C1283" s="110" t="s">
        <v>119</v>
      </c>
      <c r="D1283" s="2">
        <v>360</v>
      </c>
      <c r="E1283" s="51">
        <v>10</v>
      </c>
      <c r="F1283" s="105"/>
      <c r="H1283" s="2"/>
      <c r="I1283" s="2">
        <v>15</v>
      </c>
      <c r="J1283" s="2">
        <v>0</v>
      </c>
      <c r="K1283" s="2">
        <v>0</v>
      </c>
      <c r="L1283" s="2">
        <v>136.79999999999998</v>
      </c>
      <c r="M1283" s="2">
        <v>142.5</v>
      </c>
      <c r="N1283" s="244">
        <v>0.26296874999999997</v>
      </c>
      <c r="O1283" s="2" t="s">
        <v>108</v>
      </c>
      <c r="P1283" s="2">
        <v>100</v>
      </c>
      <c r="Q1283" s="2" t="s">
        <v>55</v>
      </c>
      <c r="R1283" s="2" t="s">
        <v>118</v>
      </c>
      <c r="S1283" s="2"/>
      <c r="T1283" s="2">
        <v>11.68</v>
      </c>
      <c r="U1283" s="398">
        <v>4204.8</v>
      </c>
      <c r="V1283" s="7">
        <v>3600</v>
      </c>
      <c r="W1283" s="7" t="s">
        <v>660</v>
      </c>
    </row>
    <row r="1284" spans="1:23" x14ac:dyDescent="0.35">
      <c r="A1284" s="2">
        <v>125</v>
      </c>
      <c r="B1284" s="109" t="s">
        <v>1218</v>
      </c>
      <c r="C1284" s="110" t="s">
        <v>1197</v>
      </c>
      <c r="D1284" s="2">
        <v>360</v>
      </c>
      <c r="E1284" s="51">
        <v>10</v>
      </c>
      <c r="F1284" s="105"/>
      <c r="H1284" s="2"/>
      <c r="I1284" s="2">
        <v>15</v>
      </c>
      <c r="J1284" s="2">
        <v>0</v>
      </c>
      <c r="K1284" s="2">
        <v>0</v>
      </c>
      <c r="L1284" s="2">
        <v>136.79999999999998</v>
      </c>
      <c r="M1284" s="2">
        <v>142.5</v>
      </c>
      <c r="N1284" s="244">
        <v>0.26296874999999997</v>
      </c>
      <c r="O1284" s="2" t="s">
        <v>108</v>
      </c>
      <c r="P1284" s="2">
        <v>100</v>
      </c>
      <c r="Q1284" s="2" t="s">
        <v>55</v>
      </c>
      <c r="R1284" s="2" t="s">
        <v>120</v>
      </c>
      <c r="S1284" s="2"/>
      <c r="T1284" s="2">
        <v>11.68</v>
      </c>
      <c r="U1284" s="398">
        <v>4204.8</v>
      </c>
      <c r="V1284" s="7">
        <v>3600</v>
      </c>
      <c r="W1284" s="7" t="s">
        <v>660</v>
      </c>
    </row>
    <row r="1285" spans="1:23" x14ac:dyDescent="0.35">
      <c r="A1285" s="2">
        <v>125</v>
      </c>
      <c r="B1285" s="109" t="s">
        <v>122</v>
      </c>
      <c r="C1285" s="110" t="s">
        <v>123</v>
      </c>
      <c r="D1285" s="2">
        <v>360</v>
      </c>
      <c r="E1285" s="51">
        <v>10</v>
      </c>
      <c r="F1285" s="105"/>
      <c r="H1285" s="2"/>
      <c r="I1285" s="2">
        <v>15</v>
      </c>
      <c r="J1285" s="2">
        <v>0</v>
      </c>
      <c r="K1285" s="2">
        <v>0</v>
      </c>
      <c r="L1285" s="2">
        <v>136.79999999999998</v>
      </c>
      <c r="M1285" s="2">
        <v>142.5</v>
      </c>
      <c r="N1285" s="244">
        <v>0.26296874999999997</v>
      </c>
      <c r="O1285" s="2" t="s">
        <v>108</v>
      </c>
      <c r="P1285" s="2">
        <v>100</v>
      </c>
      <c r="Q1285" s="2" t="s">
        <v>55</v>
      </c>
      <c r="R1285" s="2" t="s">
        <v>122</v>
      </c>
      <c r="S1285" s="2"/>
      <c r="T1285" s="2">
        <v>11.68</v>
      </c>
      <c r="U1285" s="398">
        <v>4204.8</v>
      </c>
      <c r="V1285" s="7">
        <v>3600</v>
      </c>
      <c r="W1285" s="7" t="s">
        <v>660</v>
      </c>
    </row>
    <row r="1286" spans="1:23" x14ac:dyDescent="0.35">
      <c r="A1286" s="2">
        <v>126</v>
      </c>
      <c r="B1286" s="109" t="s">
        <v>168</v>
      </c>
      <c r="C1286" s="110" t="s">
        <v>171</v>
      </c>
      <c r="D1286" s="2">
        <v>102</v>
      </c>
      <c r="E1286" s="51">
        <v>2.85</v>
      </c>
      <c r="F1286" s="105"/>
      <c r="H1286" s="2"/>
      <c r="I1286" s="2">
        <v>5</v>
      </c>
      <c r="J1286" s="2">
        <v>0</v>
      </c>
      <c r="K1286" s="2" t="s">
        <v>861</v>
      </c>
      <c r="L1286" s="2">
        <v>26.987499999999997</v>
      </c>
      <c r="M1286" s="2">
        <v>29.75</v>
      </c>
      <c r="N1286" s="244">
        <v>6.7740750000000002E-2</v>
      </c>
      <c r="O1286" s="2" t="s">
        <v>169</v>
      </c>
      <c r="P1286" s="2">
        <v>200</v>
      </c>
      <c r="Q1286" s="2" t="s">
        <v>170</v>
      </c>
      <c r="R1286" s="2" t="s">
        <v>168</v>
      </c>
      <c r="S1286" s="2"/>
      <c r="T1286" s="2">
        <v>2.0499999999999998</v>
      </c>
      <c r="U1286" s="398">
        <v>209.1</v>
      </c>
      <c r="V1286" s="7">
        <v>290.7</v>
      </c>
      <c r="W1286" s="7" t="s">
        <v>660</v>
      </c>
    </row>
    <row r="1287" spans="1:23" x14ac:dyDescent="0.35">
      <c r="A1287" s="2">
        <v>126</v>
      </c>
      <c r="B1287" s="109" t="s">
        <v>177</v>
      </c>
      <c r="C1287" s="110" t="s">
        <v>178</v>
      </c>
      <c r="D1287" s="2">
        <v>102</v>
      </c>
      <c r="E1287" s="51">
        <v>2.85</v>
      </c>
      <c r="F1287" s="105"/>
      <c r="H1287" s="2"/>
      <c r="I1287" s="2">
        <v>5</v>
      </c>
      <c r="J1287" s="2">
        <v>0</v>
      </c>
      <c r="K1287" s="2" t="s">
        <v>861</v>
      </c>
      <c r="L1287" s="2">
        <v>26.987499999999997</v>
      </c>
      <c r="M1287" s="2">
        <v>29.75</v>
      </c>
      <c r="N1287" s="244">
        <v>6.7740750000000002E-2</v>
      </c>
      <c r="O1287" s="2" t="s">
        <v>169</v>
      </c>
      <c r="P1287" s="2">
        <v>200</v>
      </c>
      <c r="Q1287" s="2" t="s">
        <v>170</v>
      </c>
      <c r="R1287" s="2" t="s">
        <v>177</v>
      </c>
      <c r="S1287" s="2"/>
      <c r="T1287" s="2">
        <v>2.0499999999999998</v>
      </c>
      <c r="U1287" s="398">
        <v>209.1</v>
      </c>
      <c r="V1287" s="7">
        <v>290.7</v>
      </c>
      <c r="W1287" s="7" t="s">
        <v>660</v>
      </c>
    </row>
    <row r="1288" spans="1:23" x14ac:dyDescent="0.35">
      <c r="A1288" s="2">
        <v>126</v>
      </c>
      <c r="B1288" s="109" t="s">
        <v>175</v>
      </c>
      <c r="C1288" s="110" t="s">
        <v>176</v>
      </c>
      <c r="D1288" s="2">
        <v>102</v>
      </c>
      <c r="E1288" s="51">
        <v>2.85</v>
      </c>
      <c r="F1288" s="105"/>
      <c r="H1288" s="2"/>
      <c r="I1288" s="2">
        <v>5</v>
      </c>
      <c r="J1288" s="2">
        <v>0</v>
      </c>
      <c r="K1288" s="2" t="s">
        <v>861</v>
      </c>
      <c r="L1288" s="2">
        <v>26.987499999999997</v>
      </c>
      <c r="M1288" s="2">
        <v>29.75</v>
      </c>
      <c r="N1288" s="244">
        <v>6.7740750000000002E-2</v>
      </c>
      <c r="O1288" s="2" t="s">
        <v>169</v>
      </c>
      <c r="P1288" s="2">
        <v>200</v>
      </c>
      <c r="Q1288" s="2" t="s">
        <v>170</v>
      </c>
      <c r="R1288" s="2" t="s">
        <v>175</v>
      </c>
      <c r="S1288" s="2"/>
      <c r="T1288" s="2">
        <v>2.0499999999999998</v>
      </c>
      <c r="U1288" s="398">
        <v>209.1</v>
      </c>
      <c r="V1288" s="7">
        <v>290.7</v>
      </c>
      <c r="W1288" s="7" t="s">
        <v>660</v>
      </c>
    </row>
    <row r="1289" spans="1:23" x14ac:dyDescent="0.35">
      <c r="A1289" s="2">
        <v>126</v>
      </c>
      <c r="B1289" s="109" t="s">
        <v>173</v>
      </c>
      <c r="C1289" s="110" t="s">
        <v>174</v>
      </c>
      <c r="D1289" s="2">
        <v>102</v>
      </c>
      <c r="E1289" s="51">
        <v>2.85</v>
      </c>
      <c r="F1289" s="105"/>
      <c r="H1289" s="2"/>
      <c r="I1289" s="2">
        <v>5</v>
      </c>
      <c r="J1289" s="2">
        <v>0</v>
      </c>
      <c r="K1289" s="2" t="s">
        <v>861</v>
      </c>
      <c r="L1289" s="2">
        <v>26.987499999999997</v>
      </c>
      <c r="M1289" s="2">
        <v>29.75</v>
      </c>
      <c r="N1289" s="244">
        <v>6.7740750000000002E-2</v>
      </c>
      <c r="O1289" s="2" t="s">
        <v>169</v>
      </c>
      <c r="P1289" s="2">
        <v>200</v>
      </c>
      <c r="Q1289" s="2" t="s">
        <v>170</v>
      </c>
      <c r="R1289" s="2" t="s">
        <v>173</v>
      </c>
      <c r="S1289" s="2"/>
      <c r="T1289" s="2">
        <v>2.0499999999999998</v>
      </c>
      <c r="U1289" s="398">
        <v>209.1</v>
      </c>
      <c r="V1289" s="7">
        <v>290.7</v>
      </c>
      <c r="W1289" s="7" t="s">
        <v>660</v>
      </c>
    </row>
    <row r="1290" spans="1:23" x14ac:dyDescent="0.35">
      <c r="A1290" s="2">
        <v>126</v>
      </c>
      <c r="B1290" s="109" t="s">
        <v>72</v>
      </c>
      <c r="C1290" s="110" t="s">
        <v>73</v>
      </c>
      <c r="D1290" s="2">
        <v>495</v>
      </c>
      <c r="E1290" s="51">
        <v>8.2799999999999994</v>
      </c>
      <c r="F1290" s="105"/>
      <c r="H1290" s="2"/>
      <c r="I1290" s="2">
        <v>42</v>
      </c>
      <c r="J1290" s="2">
        <v>0</v>
      </c>
      <c r="K1290" s="2" t="s">
        <v>861</v>
      </c>
      <c r="L1290" s="2">
        <v>241.31249999999997</v>
      </c>
      <c r="M1290" s="2">
        <v>272.25</v>
      </c>
      <c r="N1290" s="244">
        <v>1.3462336800000001</v>
      </c>
      <c r="O1290" s="2" t="s">
        <v>18</v>
      </c>
      <c r="P1290" s="2">
        <v>100</v>
      </c>
      <c r="Q1290" s="2">
        <v>0</v>
      </c>
      <c r="R1290" s="2" t="s">
        <v>72</v>
      </c>
      <c r="S1290" s="2">
        <v>495</v>
      </c>
      <c r="T1290" s="2">
        <v>6.16</v>
      </c>
      <c r="U1290" s="398">
        <v>3049.2000000000003</v>
      </c>
      <c r="V1290" s="7">
        <v>4098.5999999999995</v>
      </c>
      <c r="W1290" s="7" t="s">
        <v>660</v>
      </c>
    </row>
    <row r="1291" spans="1:23" x14ac:dyDescent="0.35">
      <c r="A1291" s="2">
        <v>126</v>
      </c>
      <c r="B1291" s="109" t="s">
        <v>74</v>
      </c>
      <c r="C1291" s="110" t="s">
        <v>75</v>
      </c>
      <c r="D1291" s="2">
        <v>495</v>
      </c>
      <c r="E1291" s="51">
        <v>8.2799999999999994</v>
      </c>
      <c r="F1291" s="105"/>
      <c r="H1291" s="2"/>
      <c r="I1291" s="2">
        <v>42</v>
      </c>
      <c r="J1291" s="2">
        <v>0</v>
      </c>
      <c r="K1291" s="2" t="s">
        <v>861</v>
      </c>
      <c r="L1291" s="2">
        <v>241.31249999999997</v>
      </c>
      <c r="M1291" s="2">
        <v>272.25</v>
      </c>
      <c r="N1291" s="244">
        <v>1.3462336800000001</v>
      </c>
      <c r="O1291" s="2" t="s">
        <v>18</v>
      </c>
      <c r="P1291" s="2">
        <v>100</v>
      </c>
      <c r="Q1291" s="2">
        <v>0</v>
      </c>
      <c r="R1291" s="2" t="s">
        <v>74</v>
      </c>
      <c r="S1291" s="2">
        <v>495</v>
      </c>
      <c r="T1291" s="2">
        <v>6.16</v>
      </c>
      <c r="U1291" s="398">
        <v>3049.2000000000003</v>
      </c>
      <c r="V1291" s="7">
        <v>4098.5999999999995</v>
      </c>
      <c r="W1291" s="7" t="s">
        <v>660</v>
      </c>
    </row>
    <row r="1292" spans="1:23" x14ac:dyDescent="0.35">
      <c r="A1292" s="2">
        <v>126</v>
      </c>
      <c r="B1292" s="109" t="s">
        <v>76</v>
      </c>
      <c r="C1292" s="110" t="s">
        <v>77</v>
      </c>
      <c r="D1292" s="2">
        <v>501</v>
      </c>
      <c r="E1292" s="51">
        <v>8.2799999999999994</v>
      </c>
      <c r="F1292" s="105"/>
      <c r="H1292" s="2"/>
      <c r="I1292" s="2">
        <v>42</v>
      </c>
      <c r="J1292" s="2">
        <v>0</v>
      </c>
      <c r="K1292" s="2" t="s">
        <v>861</v>
      </c>
      <c r="L1292" s="2">
        <v>244.23749999999998</v>
      </c>
      <c r="M1292" s="2">
        <v>275.55</v>
      </c>
      <c r="N1292" s="244">
        <v>1.3625516639999999</v>
      </c>
      <c r="O1292" s="2" t="s">
        <v>18</v>
      </c>
      <c r="P1292" s="2">
        <v>100</v>
      </c>
      <c r="Q1292" s="2">
        <v>0</v>
      </c>
      <c r="R1292" s="2" t="s">
        <v>76</v>
      </c>
      <c r="S1292" s="2">
        <v>501</v>
      </c>
      <c r="T1292" s="2">
        <v>6.16</v>
      </c>
      <c r="U1292" s="398">
        <v>3086.16</v>
      </c>
      <c r="V1292" s="7">
        <v>4148.28</v>
      </c>
      <c r="W1292" s="7" t="s">
        <v>660</v>
      </c>
    </row>
    <row r="1293" spans="1:23" x14ac:dyDescent="0.35">
      <c r="A1293" s="2">
        <v>126</v>
      </c>
      <c r="B1293" s="109" t="s">
        <v>78</v>
      </c>
      <c r="C1293" s="110" t="s">
        <v>79</v>
      </c>
      <c r="D1293" s="2">
        <v>495</v>
      </c>
      <c r="E1293" s="51">
        <v>8.2799999999999994</v>
      </c>
      <c r="F1293" s="105"/>
      <c r="H1293" s="2"/>
      <c r="I1293" s="2">
        <v>42</v>
      </c>
      <c r="J1293" s="2">
        <v>0</v>
      </c>
      <c r="K1293" s="2" t="s">
        <v>861</v>
      </c>
      <c r="L1293" s="2">
        <v>241.31249999999997</v>
      </c>
      <c r="M1293" s="2">
        <v>272.25</v>
      </c>
      <c r="N1293" s="244">
        <v>1.3462336800000001</v>
      </c>
      <c r="O1293" s="2" t="s">
        <v>18</v>
      </c>
      <c r="P1293" s="2">
        <v>100</v>
      </c>
      <c r="Q1293" s="2">
        <v>0</v>
      </c>
      <c r="R1293" s="2" t="s">
        <v>78</v>
      </c>
      <c r="S1293" s="2">
        <v>495</v>
      </c>
      <c r="T1293" s="2">
        <v>6.16</v>
      </c>
      <c r="U1293" s="398">
        <v>3049.2000000000003</v>
      </c>
      <c r="V1293" s="7">
        <v>4098.5999999999995</v>
      </c>
      <c r="W1293" s="7" t="s">
        <v>660</v>
      </c>
    </row>
    <row r="1294" spans="1:23" x14ac:dyDescent="0.35">
      <c r="A1294" s="2">
        <v>126</v>
      </c>
      <c r="B1294" s="109" t="s">
        <v>80</v>
      </c>
      <c r="C1294" s="110" t="s">
        <v>81</v>
      </c>
      <c r="D1294" s="2">
        <v>477</v>
      </c>
      <c r="E1294" s="51">
        <v>8.2799999999999994</v>
      </c>
      <c r="F1294" s="105"/>
      <c r="H1294" s="2"/>
      <c r="I1294" s="2">
        <v>40</v>
      </c>
      <c r="J1294" s="2">
        <v>0</v>
      </c>
      <c r="K1294" s="2" t="s">
        <v>861</v>
      </c>
      <c r="L1294" s="2">
        <v>208.6875</v>
      </c>
      <c r="M1294" s="2">
        <v>238.5</v>
      </c>
      <c r="N1294" s="244">
        <v>1.2744644999999999</v>
      </c>
      <c r="O1294" s="2" t="s">
        <v>18</v>
      </c>
      <c r="P1294" s="2">
        <v>100</v>
      </c>
      <c r="Q1294" s="2">
        <v>0</v>
      </c>
      <c r="R1294" s="2" t="s">
        <v>80</v>
      </c>
      <c r="S1294" s="2">
        <v>477</v>
      </c>
      <c r="T1294" s="2">
        <v>6.16</v>
      </c>
      <c r="U1294" s="398">
        <v>2938.32</v>
      </c>
      <c r="V1294" s="7">
        <v>3949.5599999999995</v>
      </c>
      <c r="W1294" s="7" t="s">
        <v>660</v>
      </c>
    </row>
    <row r="1295" spans="1:23" x14ac:dyDescent="0.35">
      <c r="A1295" s="2">
        <v>126</v>
      </c>
      <c r="B1295" s="109" t="s">
        <v>82</v>
      </c>
      <c r="C1295" s="110" t="s">
        <v>83</v>
      </c>
      <c r="D1295" s="2">
        <v>477</v>
      </c>
      <c r="E1295" s="51">
        <v>8.2799999999999994</v>
      </c>
      <c r="F1295" s="105"/>
      <c r="H1295" s="2"/>
      <c r="I1295" s="2">
        <v>40</v>
      </c>
      <c r="J1295" s="2">
        <v>0</v>
      </c>
      <c r="K1295" s="2" t="s">
        <v>861</v>
      </c>
      <c r="L1295" s="2">
        <v>208.6875</v>
      </c>
      <c r="M1295" s="2">
        <v>238.5</v>
      </c>
      <c r="N1295" s="244">
        <v>1.2744644999999999</v>
      </c>
      <c r="O1295" s="2" t="s">
        <v>18</v>
      </c>
      <c r="P1295" s="2">
        <v>100</v>
      </c>
      <c r="Q1295" s="2">
        <v>0</v>
      </c>
      <c r="R1295" s="2" t="s">
        <v>82</v>
      </c>
      <c r="S1295" s="2">
        <v>477</v>
      </c>
      <c r="T1295" s="2">
        <v>6.16</v>
      </c>
      <c r="U1295" s="398">
        <v>2938.32</v>
      </c>
      <c r="V1295" s="7">
        <v>3949.5599999999995</v>
      </c>
      <c r="W1295" s="7" t="s">
        <v>660</v>
      </c>
    </row>
    <row r="1296" spans="1:23" x14ac:dyDescent="0.35">
      <c r="A1296" s="2">
        <v>126</v>
      </c>
      <c r="B1296" s="109" t="s">
        <v>84</v>
      </c>
      <c r="C1296" s="110" t="s">
        <v>85</v>
      </c>
      <c r="D1296" s="2">
        <v>474</v>
      </c>
      <c r="E1296" s="51">
        <v>8.2799999999999994</v>
      </c>
      <c r="F1296" s="105"/>
      <c r="H1296" s="2"/>
      <c r="I1296" s="2">
        <v>40</v>
      </c>
      <c r="J1296" s="2">
        <v>0</v>
      </c>
      <c r="K1296" s="2" t="s">
        <v>861</v>
      </c>
      <c r="L1296" s="2">
        <v>207.375</v>
      </c>
      <c r="M1296" s="2">
        <v>237</v>
      </c>
      <c r="N1296" s="244">
        <v>1.2664489999999999</v>
      </c>
      <c r="O1296" s="2" t="s">
        <v>18</v>
      </c>
      <c r="P1296" s="2">
        <v>100</v>
      </c>
      <c r="Q1296" s="2">
        <v>0</v>
      </c>
      <c r="R1296" s="2" t="s">
        <v>84</v>
      </c>
      <c r="S1296" s="2">
        <v>474</v>
      </c>
      <c r="T1296" s="2">
        <v>6.16</v>
      </c>
      <c r="U1296" s="398">
        <v>2919.84</v>
      </c>
      <c r="V1296" s="7">
        <v>3924.72</v>
      </c>
      <c r="W1296" s="7" t="s">
        <v>660</v>
      </c>
    </row>
    <row r="1297" spans="1:23" x14ac:dyDescent="0.35">
      <c r="A1297" s="2">
        <v>126</v>
      </c>
      <c r="B1297" s="109" t="s">
        <v>86</v>
      </c>
      <c r="C1297" s="110" t="s">
        <v>87</v>
      </c>
      <c r="D1297" s="2">
        <v>480</v>
      </c>
      <c r="E1297" s="51">
        <v>8.2799999999999994</v>
      </c>
      <c r="F1297" s="105"/>
      <c r="H1297" s="2"/>
      <c r="I1297" s="2">
        <v>40</v>
      </c>
      <c r="J1297" s="2">
        <v>0</v>
      </c>
      <c r="K1297" s="2" t="s">
        <v>861</v>
      </c>
      <c r="L1297" s="2">
        <v>210</v>
      </c>
      <c r="M1297" s="2">
        <v>240</v>
      </c>
      <c r="N1297" s="244">
        <v>1.2824800000000001</v>
      </c>
      <c r="O1297" s="2" t="s">
        <v>18</v>
      </c>
      <c r="P1297" s="2">
        <v>100</v>
      </c>
      <c r="Q1297" s="2">
        <v>0</v>
      </c>
      <c r="R1297" s="2" t="s">
        <v>86</v>
      </c>
      <c r="S1297" s="2">
        <v>480</v>
      </c>
      <c r="T1297" s="2">
        <v>6.16</v>
      </c>
      <c r="U1297" s="398">
        <v>2956.8</v>
      </c>
      <c r="V1297" s="7">
        <v>3974.3999999999996</v>
      </c>
      <c r="W1297" s="7" t="s">
        <v>660</v>
      </c>
    </row>
    <row r="1298" spans="1:23" x14ac:dyDescent="0.35">
      <c r="A1298" s="2">
        <v>126</v>
      </c>
      <c r="B1298" s="109" t="s">
        <v>93</v>
      </c>
      <c r="C1298" s="110" t="s">
        <v>94</v>
      </c>
      <c r="D1298" s="2"/>
      <c r="E1298" s="51"/>
      <c r="F1298" s="105"/>
      <c r="H1298" s="2">
        <v>6</v>
      </c>
      <c r="I1298" s="2">
        <v>0</v>
      </c>
      <c r="J1298" s="2">
        <v>0</v>
      </c>
      <c r="K1298" s="2" t="s">
        <v>861</v>
      </c>
      <c r="L1298" s="2">
        <v>1.88</v>
      </c>
      <c r="M1298" s="2">
        <v>2.0575000000000001</v>
      </c>
      <c r="N1298" s="244">
        <v>5.6115000000000002E-3</v>
      </c>
      <c r="O1298" s="2" t="s">
        <v>934</v>
      </c>
      <c r="P1298" s="2">
        <v>100</v>
      </c>
      <c r="Q1298" s="2" t="s">
        <v>55</v>
      </c>
      <c r="R1298" s="2" t="s">
        <v>93</v>
      </c>
      <c r="S1298" s="2"/>
      <c r="T1298" s="2">
        <v>5</v>
      </c>
      <c r="U1298" s="398">
        <v>0</v>
      </c>
      <c r="V1298" s="7">
        <v>0</v>
      </c>
      <c r="W1298" s="7" t="s">
        <v>660</v>
      </c>
    </row>
    <row r="1299" spans="1:23" x14ac:dyDescent="0.35">
      <c r="A1299" s="2">
        <v>126</v>
      </c>
      <c r="B1299" s="109" t="s">
        <v>97</v>
      </c>
      <c r="C1299" s="110" t="s">
        <v>98</v>
      </c>
      <c r="D1299" s="2"/>
      <c r="E1299" s="51"/>
      <c r="F1299" s="105"/>
      <c r="H1299" s="2">
        <v>6</v>
      </c>
      <c r="I1299" s="2">
        <v>0</v>
      </c>
      <c r="J1299" s="2">
        <v>0</v>
      </c>
      <c r="K1299" s="2" t="s">
        <v>861</v>
      </c>
      <c r="L1299" s="2">
        <v>1.88</v>
      </c>
      <c r="M1299" s="2">
        <v>2.0575000000000001</v>
      </c>
      <c r="N1299" s="244">
        <v>5.6115000000000002E-3</v>
      </c>
      <c r="O1299" s="2" t="s">
        <v>934</v>
      </c>
      <c r="P1299" s="2">
        <v>100</v>
      </c>
      <c r="Q1299" s="2" t="s">
        <v>55</v>
      </c>
      <c r="R1299" s="2" t="s">
        <v>97</v>
      </c>
      <c r="S1299" s="2"/>
      <c r="T1299" s="2">
        <v>5</v>
      </c>
      <c r="U1299" s="398">
        <v>0</v>
      </c>
      <c r="V1299" s="7">
        <v>0</v>
      </c>
      <c r="W1299" s="7" t="s">
        <v>660</v>
      </c>
    </row>
    <row r="1300" spans="1:23" x14ac:dyDescent="0.35">
      <c r="A1300" s="2">
        <v>126</v>
      </c>
      <c r="B1300" s="109" t="s">
        <v>99</v>
      </c>
      <c r="C1300" s="110" t="s">
        <v>100</v>
      </c>
      <c r="D1300" s="2"/>
      <c r="E1300" s="51"/>
      <c r="F1300" s="105"/>
      <c r="H1300" s="2">
        <v>6</v>
      </c>
      <c r="I1300" s="2">
        <v>0</v>
      </c>
      <c r="J1300" s="2">
        <v>0</v>
      </c>
      <c r="K1300" s="2" t="s">
        <v>861</v>
      </c>
      <c r="L1300" s="2">
        <v>1.7175</v>
      </c>
      <c r="M1300" s="2">
        <v>1.89</v>
      </c>
      <c r="N1300" s="244">
        <v>6.2887500000000001E-3</v>
      </c>
      <c r="O1300" s="2" t="s">
        <v>934</v>
      </c>
      <c r="P1300" s="2">
        <v>100</v>
      </c>
      <c r="Q1300" s="2" t="s">
        <v>55</v>
      </c>
      <c r="R1300" s="2" t="s">
        <v>99</v>
      </c>
      <c r="S1300" s="2"/>
      <c r="T1300" s="2">
        <v>5</v>
      </c>
      <c r="U1300" s="398">
        <v>0</v>
      </c>
      <c r="V1300" s="7">
        <v>0</v>
      </c>
      <c r="W1300" s="7" t="s">
        <v>660</v>
      </c>
    </row>
    <row r="1301" spans="1:23" x14ac:dyDescent="0.35">
      <c r="A1301" s="2">
        <v>126</v>
      </c>
      <c r="B1301" s="109" t="s">
        <v>103</v>
      </c>
      <c r="C1301" s="110" t="s">
        <v>104</v>
      </c>
      <c r="D1301" s="2"/>
      <c r="E1301" s="51"/>
      <c r="F1301" s="105"/>
      <c r="H1301" s="2">
        <v>6</v>
      </c>
      <c r="I1301" s="2">
        <v>0</v>
      </c>
      <c r="J1301" s="2">
        <v>0</v>
      </c>
      <c r="K1301" s="2" t="s">
        <v>861</v>
      </c>
      <c r="L1301" s="2">
        <v>1.7175</v>
      </c>
      <c r="M1301" s="2">
        <v>1.89</v>
      </c>
      <c r="N1301" s="244">
        <v>6.2887500000000001E-3</v>
      </c>
      <c r="O1301" s="2" t="s">
        <v>934</v>
      </c>
      <c r="P1301" s="2">
        <v>100</v>
      </c>
      <c r="Q1301" s="2" t="s">
        <v>55</v>
      </c>
      <c r="R1301" s="2" t="s">
        <v>103</v>
      </c>
      <c r="S1301" s="2"/>
      <c r="T1301" s="2">
        <v>5</v>
      </c>
      <c r="U1301" s="398">
        <v>0</v>
      </c>
      <c r="V1301" s="7">
        <v>0</v>
      </c>
      <c r="W1301" s="7" t="s">
        <v>660</v>
      </c>
    </row>
    <row r="1302" spans="1:23" x14ac:dyDescent="0.35">
      <c r="A1302" s="2">
        <v>127</v>
      </c>
      <c r="B1302" s="109" t="s">
        <v>1216</v>
      </c>
      <c r="C1302" s="110" t="s">
        <v>648</v>
      </c>
      <c r="D1302" s="2">
        <v>2736</v>
      </c>
      <c r="E1302" s="51">
        <v>12.5</v>
      </c>
      <c r="F1302" s="105"/>
      <c r="H1302" s="2">
        <v>224</v>
      </c>
      <c r="I1302" s="2">
        <v>114</v>
      </c>
      <c r="J1302" s="2">
        <v>0</v>
      </c>
      <c r="K1302" s="2" t="s">
        <v>861</v>
      </c>
      <c r="L1302" s="2">
        <v>1169.2</v>
      </c>
      <c r="M1302" s="2">
        <v>1221</v>
      </c>
      <c r="N1302" s="244">
        <v>2.1333583333333332</v>
      </c>
      <c r="O1302" s="2" t="s">
        <v>108</v>
      </c>
      <c r="P1302" s="2">
        <v>100</v>
      </c>
      <c r="Q1302" s="2" t="s">
        <v>55</v>
      </c>
      <c r="R1302" s="2" t="s">
        <v>112</v>
      </c>
      <c r="S1302" s="2"/>
      <c r="T1302" s="2">
        <v>11.68</v>
      </c>
      <c r="U1302" s="398">
        <v>31956.48</v>
      </c>
      <c r="V1302" s="7">
        <v>34200</v>
      </c>
      <c r="W1302" s="7" t="s">
        <v>660</v>
      </c>
    </row>
    <row r="1303" spans="1:23" x14ac:dyDescent="0.35">
      <c r="A1303" s="2">
        <v>128</v>
      </c>
      <c r="B1303" s="109" t="s">
        <v>713</v>
      </c>
      <c r="C1303" s="110" t="s">
        <v>721</v>
      </c>
      <c r="D1303" s="2">
        <v>500</v>
      </c>
      <c r="E1303" s="51"/>
      <c r="F1303" s="105"/>
      <c r="H1303" s="2"/>
      <c r="I1303" s="2" t="s">
        <v>861</v>
      </c>
      <c r="J1303" s="2" t="s">
        <v>861</v>
      </c>
      <c r="K1303" s="2" t="s">
        <v>861</v>
      </c>
      <c r="L1303" s="2" t="s">
        <v>861</v>
      </c>
      <c r="M1303" s="2" t="s">
        <v>861</v>
      </c>
      <c r="N1303" s="244" t="s">
        <v>861</v>
      </c>
      <c r="O1303" s="2" t="s">
        <v>1055</v>
      </c>
      <c r="P1303" s="2">
        <v>100</v>
      </c>
      <c r="Q1303" s="2" t="s">
        <v>1154</v>
      </c>
      <c r="R1303" s="2" t="s">
        <v>713</v>
      </c>
      <c r="S1303" s="2"/>
      <c r="T1303" s="2" t="s">
        <v>861</v>
      </c>
      <c r="U1303" s="398" t="s">
        <v>861</v>
      </c>
      <c r="V1303" s="7">
        <v>0</v>
      </c>
      <c r="W1303" s="7" t="s">
        <v>1084</v>
      </c>
    </row>
    <row r="1304" spans="1:23" x14ac:dyDescent="0.35">
      <c r="A1304" s="2">
        <v>128</v>
      </c>
      <c r="B1304" s="109" t="s">
        <v>714</v>
      </c>
      <c r="C1304" s="110" t="s">
        <v>722</v>
      </c>
      <c r="D1304" s="2">
        <v>500</v>
      </c>
      <c r="E1304" s="51"/>
      <c r="F1304" s="105"/>
      <c r="H1304" s="2"/>
      <c r="I1304" s="2" t="s">
        <v>861</v>
      </c>
      <c r="J1304" s="2" t="s">
        <v>861</v>
      </c>
      <c r="K1304" s="2" t="s">
        <v>861</v>
      </c>
      <c r="L1304" s="2" t="s">
        <v>861</v>
      </c>
      <c r="M1304" s="2" t="s">
        <v>861</v>
      </c>
      <c r="N1304" s="244" t="s">
        <v>861</v>
      </c>
      <c r="O1304" s="2" t="s">
        <v>1055</v>
      </c>
      <c r="P1304" s="2">
        <v>100</v>
      </c>
      <c r="Q1304" s="2" t="s">
        <v>1154</v>
      </c>
      <c r="R1304" s="2" t="s">
        <v>714</v>
      </c>
      <c r="S1304" s="2"/>
      <c r="T1304" s="2" t="s">
        <v>861</v>
      </c>
      <c r="U1304" s="398" t="s">
        <v>861</v>
      </c>
      <c r="V1304" s="7">
        <v>0</v>
      </c>
      <c r="W1304" s="7" t="s">
        <v>1084</v>
      </c>
    </row>
    <row r="1305" spans="1:23" x14ac:dyDescent="0.35">
      <c r="A1305" s="2">
        <v>128</v>
      </c>
      <c r="B1305" s="109" t="s">
        <v>715</v>
      </c>
      <c r="C1305" s="110" t="s">
        <v>723</v>
      </c>
      <c r="D1305" s="2">
        <v>500</v>
      </c>
      <c r="E1305" s="51"/>
      <c r="F1305" s="105"/>
      <c r="H1305" s="2"/>
      <c r="I1305" s="2" t="s">
        <v>861</v>
      </c>
      <c r="J1305" s="2" t="s">
        <v>861</v>
      </c>
      <c r="K1305" s="2" t="s">
        <v>861</v>
      </c>
      <c r="L1305" s="2" t="s">
        <v>861</v>
      </c>
      <c r="M1305" s="2" t="s">
        <v>861</v>
      </c>
      <c r="N1305" s="244" t="s">
        <v>861</v>
      </c>
      <c r="O1305" s="2" t="s">
        <v>1055</v>
      </c>
      <c r="P1305" s="2">
        <v>100</v>
      </c>
      <c r="Q1305" s="2" t="s">
        <v>1154</v>
      </c>
      <c r="R1305" s="2" t="s">
        <v>715</v>
      </c>
      <c r="S1305" s="2"/>
      <c r="T1305" s="2" t="s">
        <v>861</v>
      </c>
      <c r="U1305" s="398" t="s">
        <v>861</v>
      </c>
      <c r="V1305" s="7">
        <v>0</v>
      </c>
      <c r="W1305" s="7" t="s">
        <v>1084</v>
      </c>
    </row>
    <row r="1306" spans="1:23" x14ac:dyDescent="0.35">
      <c r="A1306" s="2">
        <v>128</v>
      </c>
      <c r="B1306" s="109" t="s">
        <v>716</v>
      </c>
      <c r="C1306" s="110" t="s">
        <v>724</v>
      </c>
      <c r="D1306" s="2">
        <v>500</v>
      </c>
      <c r="E1306" s="51"/>
      <c r="F1306" s="105"/>
      <c r="H1306" s="2"/>
      <c r="I1306" s="2" t="s">
        <v>861</v>
      </c>
      <c r="J1306" s="2" t="s">
        <v>861</v>
      </c>
      <c r="K1306" s="2" t="s">
        <v>861</v>
      </c>
      <c r="L1306" s="2" t="s">
        <v>861</v>
      </c>
      <c r="M1306" s="2" t="s">
        <v>861</v>
      </c>
      <c r="N1306" s="244" t="s">
        <v>861</v>
      </c>
      <c r="O1306" s="2" t="s">
        <v>1055</v>
      </c>
      <c r="P1306" s="2">
        <v>100</v>
      </c>
      <c r="Q1306" s="2" t="s">
        <v>1154</v>
      </c>
      <c r="R1306" s="2" t="s">
        <v>716</v>
      </c>
      <c r="S1306" s="2"/>
      <c r="T1306" s="2" t="s">
        <v>861</v>
      </c>
      <c r="U1306" s="398" t="s">
        <v>861</v>
      </c>
      <c r="V1306" s="7">
        <v>0</v>
      </c>
      <c r="W1306" s="7" t="s">
        <v>1084</v>
      </c>
    </row>
    <row r="1307" spans="1:23" x14ac:dyDescent="0.35">
      <c r="A1307" s="2">
        <v>128</v>
      </c>
      <c r="B1307" s="109" t="s">
        <v>717</v>
      </c>
      <c r="C1307" s="110" t="s">
        <v>741</v>
      </c>
      <c r="D1307" s="2">
        <v>500</v>
      </c>
      <c r="E1307" s="51"/>
      <c r="F1307" s="105"/>
      <c r="H1307" s="2"/>
      <c r="I1307" s="2" t="s">
        <v>861</v>
      </c>
      <c r="J1307" s="2" t="s">
        <v>861</v>
      </c>
      <c r="K1307" s="2" t="s">
        <v>861</v>
      </c>
      <c r="L1307" s="2" t="s">
        <v>861</v>
      </c>
      <c r="M1307" s="2" t="s">
        <v>861</v>
      </c>
      <c r="N1307" s="244" t="s">
        <v>861</v>
      </c>
      <c r="O1307" s="2" t="s">
        <v>1055</v>
      </c>
      <c r="P1307" s="2">
        <v>100</v>
      </c>
      <c r="Q1307" s="2" t="s">
        <v>1154</v>
      </c>
      <c r="R1307" s="2" t="s">
        <v>717</v>
      </c>
      <c r="S1307" s="2"/>
      <c r="T1307" s="2" t="s">
        <v>861</v>
      </c>
      <c r="U1307" s="398" t="s">
        <v>861</v>
      </c>
      <c r="V1307" s="7">
        <v>0</v>
      </c>
      <c r="W1307" s="7" t="s">
        <v>1084</v>
      </c>
    </row>
    <row r="1308" spans="1:23" x14ac:dyDescent="0.35">
      <c r="A1308" s="2">
        <v>128</v>
      </c>
      <c r="B1308" s="109" t="s">
        <v>718</v>
      </c>
      <c r="C1308" s="110" t="s">
        <v>742</v>
      </c>
      <c r="D1308" s="2">
        <v>500</v>
      </c>
      <c r="E1308" s="51"/>
      <c r="F1308" s="105"/>
      <c r="H1308" s="2"/>
      <c r="I1308" s="2" t="s">
        <v>861</v>
      </c>
      <c r="J1308" s="2" t="s">
        <v>861</v>
      </c>
      <c r="K1308" s="2" t="s">
        <v>861</v>
      </c>
      <c r="L1308" s="2" t="s">
        <v>861</v>
      </c>
      <c r="M1308" s="2" t="s">
        <v>861</v>
      </c>
      <c r="N1308" s="244" t="s">
        <v>861</v>
      </c>
      <c r="O1308" s="2" t="s">
        <v>1055</v>
      </c>
      <c r="P1308" s="2">
        <v>100</v>
      </c>
      <c r="Q1308" s="2" t="s">
        <v>1154</v>
      </c>
      <c r="R1308" s="2" t="s">
        <v>718</v>
      </c>
      <c r="S1308" s="2"/>
      <c r="T1308" s="2" t="s">
        <v>861</v>
      </c>
      <c r="U1308" s="398" t="s">
        <v>861</v>
      </c>
      <c r="V1308" s="7">
        <v>0</v>
      </c>
      <c r="W1308" s="7" t="s">
        <v>1084</v>
      </c>
    </row>
    <row r="1309" spans="1:23" x14ac:dyDescent="0.35">
      <c r="A1309" s="2">
        <v>128</v>
      </c>
      <c r="B1309" s="109" t="s">
        <v>719</v>
      </c>
      <c r="C1309" s="110" t="s">
        <v>743</v>
      </c>
      <c r="D1309" s="2">
        <v>500</v>
      </c>
      <c r="E1309" s="51"/>
      <c r="F1309" s="105"/>
      <c r="H1309" s="2"/>
      <c r="I1309" s="2" t="s">
        <v>861</v>
      </c>
      <c r="J1309" s="2" t="s">
        <v>861</v>
      </c>
      <c r="K1309" s="2" t="s">
        <v>861</v>
      </c>
      <c r="L1309" s="2" t="s">
        <v>861</v>
      </c>
      <c r="M1309" s="2" t="s">
        <v>861</v>
      </c>
      <c r="N1309" s="244" t="s">
        <v>861</v>
      </c>
      <c r="O1309" s="2" t="s">
        <v>1055</v>
      </c>
      <c r="P1309" s="2">
        <v>100</v>
      </c>
      <c r="Q1309" s="2" t="s">
        <v>1154</v>
      </c>
      <c r="R1309" s="2" t="s">
        <v>719</v>
      </c>
      <c r="S1309" s="2"/>
      <c r="T1309" s="2" t="s">
        <v>861</v>
      </c>
      <c r="U1309" s="398" t="s">
        <v>861</v>
      </c>
      <c r="V1309" s="7">
        <v>0</v>
      </c>
      <c r="W1309" s="7" t="s">
        <v>1084</v>
      </c>
    </row>
    <row r="1310" spans="1:23" x14ac:dyDescent="0.35">
      <c r="A1310" s="2">
        <v>128</v>
      </c>
      <c r="B1310" s="109" t="s">
        <v>720</v>
      </c>
      <c r="C1310" s="110" t="s">
        <v>744</v>
      </c>
      <c r="D1310" s="2">
        <v>500</v>
      </c>
      <c r="E1310" s="51"/>
      <c r="F1310" s="105"/>
      <c r="H1310" s="2"/>
      <c r="I1310" s="2" t="s">
        <v>861</v>
      </c>
      <c r="J1310" s="2" t="s">
        <v>861</v>
      </c>
      <c r="K1310" s="2" t="s">
        <v>861</v>
      </c>
      <c r="L1310" s="2" t="s">
        <v>861</v>
      </c>
      <c r="M1310" s="2" t="s">
        <v>861</v>
      </c>
      <c r="N1310" s="244" t="s">
        <v>861</v>
      </c>
      <c r="O1310" s="2" t="s">
        <v>1055</v>
      </c>
      <c r="P1310" s="2">
        <v>100</v>
      </c>
      <c r="Q1310" s="2" t="s">
        <v>1154</v>
      </c>
      <c r="R1310" s="2" t="s">
        <v>720</v>
      </c>
      <c r="S1310" s="2"/>
      <c r="T1310" s="2" t="s">
        <v>861</v>
      </c>
      <c r="U1310" s="398" t="s">
        <v>861</v>
      </c>
      <c r="V1310" s="7">
        <v>0</v>
      </c>
      <c r="W1310" s="7" t="s">
        <v>1084</v>
      </c>
    </row>
    <row r="1311" spans="1:23" x14ac:dyDescent="0.35">
      <c r="A1311" s="2">
        <v>128</v>
      </c>
      <c r="B1311" s="109" t="s">
        <v>755</v>
      </c>
      <c r="C1311" s="110" t="s">
        <v>756</v>
      </c>
      <c r="D1311" s="2">
        <v>2100</v>
      </c>
      <c r="E1311" s="51"/>
      <c r="F1311" s="105"/>
      <c r="H1311" s="2"/>
      <c r="I1311" s="2" t="s">
        <v>861</v>
      </c>
      <c r="J1311" s="2" t="s">
        <v>861</v>
      </c>
      <c r="K1311" s="2" t="s">
        <v>861</v>
      </c>
      <c r="L1311" s="2" t="s">
        <v>861</v>
      </c>
      <c r="M1311" s="2" t="s">
        <v>861</v>
      </c>
      <c r="N1311" s="244" t="s">
        <v>861</v>
      </c>
      <c r="O1311" s="2" t="s">
        <v>1055</v>
      </c>
      <c r="P1311" s="2">
        <v>100</v>
      </c>
      <c r="Q1311" s="2" t="s">
        <v>1155</v>
      </c>
      <c r="R1311" s="2" t="s">
        <v>755</v>
      </c>
      <c r="S1311" s="2"/>
      <c r="T1311" s="2" t="s">
        <v>861</v>
      </c>
      <c r="U1311" s="398" t="s">
        <v>861</v>
      </c>
      <c r="V1311" s="7">
        <v>0</v>
      </c>
      <c r="W1311" s="7" t="s">
        <v>1084</v>
      </c>
    </row>
    <row r="1312" spans="1:23" x14ac:dyDescent="0.35">
      <c r="A1312" s="2">
        <v>128</v>
      </c>
      <c r="B1312" s="109" t="s">
        <v>757</v>
      </c>
      <c r="C1312" s="110" t="s">
        <v>758</v>
      </c>
      <c r="D1312" s="2">
        <v>2160</v>
      </c>
      <c r="E1312" s="51"/>
      <c r="F1312" s="105"/>
      <c r="H1312" s="2"/>
      <c r="I1312" s="2" t="s">
        <v>861</v>
      </c>
      <c r="J1312" s="2" t="s">
        <v>861</v>
      </c>
      <c r="K1312" s="2" t="s">
        <v>861</v>
      </c>
      <c r="L1312" s="2" t="s">
        <v>861</v>
      </c>
      <c r="M1312" s="2" t="s">
        <v>861</v>
      </c>
      <c r="N1312" s="244" t="s">
        <v>861</v>
      </c>
      <c r="O1312" s="2" t="s">
        <v>1055</v>
      </c>
      <c r="P1312" s="2">
        <v>100</v>
      </c>
      <c r="Q1312" s="2" t="s">
        <v>1155</v>
      </c>
      <c r="R1312" s="2" t="s">
        <v>757</v>
      </c>
      <c r="S1312" s="2"/>
      <c r="T1312" s="2" t="s">
        <v>861</v>
      </c>
      <c r="U1312" s="398" t="s">
        <v>861</v>
      </c>
      <c r="V1312" s="7">
        <v>0</v>
      </c>
      <c r="W1312" s="7" t="s">
        <v>1084</v>
      </c>
    </row>
    <row r="1313" spans="1:23" x14ac:dyDescent="0.35">
      <c r="A1313" s="2">
        <v>129</v>
      </c>
      <c r="B1313" s="109" t="s">
        <v>160</v>
      </c>
      <c r="C1313" s="110" t="s">
        <v>161</v>
      </c>
      <c r="D1313" s="2">
        <v>500</v>
      </c>
      <c r="E1313" s="51"/>
      <c r="F1313" s="105"/>
      <c r="H1313" s="2"/>
      <c r="I1313" s="2">
        <v>11</v>
      </c>
      <c r="J1313" s="2">
        <v>0</v>
      </c>
      <c r="K1313" s="2" t="s">
        <v>861</v>
      </c>
      <c r="L1313" s="2">
        <v>77.916666666666671</v>
      </c>
      <c r="M1313" s="2">
        <v>80.208333333333329</v>
      </c>
      <c r="N1313" s="244">
        <v>0.35465625000000001</v>
      </c>
      <c r="O1313" s="2" t="s">
        <v>150</v>
      </c>
      <c r="P1313" s="2">
        <v>175</v>
      </c>
      <c r="Q1313" s="2" t="s">
        <v>151</v>
      </c>
      <c r="R1313" s="2" t="s">
        <v>160</v>
      </c>
      <c r="S1313" s="2"/>
      <c r="T1313" s="2" t="s">
        <v>861</v>
      </c>
      <c r="U1313" s="398" t="s">
        <v>861</v>
      </c>
      <c r="V1313" s="7">
        <v>0</v>
      </c>
      <c r="W1313" s="7" t="s">
        <v>1084</v>
      </c>
    </row>
    <row r="1314" spans="1:23" x14ac:dyDescent="0.35">
      <c r="A1314" s="2">
        <v>129</v>
      </c>
      <c r="B1314" s="109" t="s">
        <v>162</v>
      </c>
      <c r="C1314" s="110" t="s">
        <v>163</v>
      </c>
      <c r="D1314" s="2">
        <v>500</v>
      </c>
      <c r="E1314" s="51"/>
      <c r="F1314" s="105"/>
      <c r="H1314" s="2"/>
      <c r="I1314" s="2">
        <v>11</v>
      </c>
      <c r="J1314" s="2">
        <v>0</v>
      </c>
      <c r="K1314" s="2" t="s">
        <v>861</v>
      </c>
      <c r="L1314" s="2">
        <v>77.916666666666671</v>
      </c>
      <c r="M1314" s="2">
        <v>80.208333333333329</v>
      </c>
      <c r="N1314" s="244">
        <v>0.35465625000000001</v>
      </c>
      <c r="O1314" s="2" t="s">
        <v>150</v>
      </c>
      <c r="P1314" s="2">
        <v>175</v>
      </c>
      <c r="Q1314" s="2" t="s">
        <v>151</v>
      </c>
      <c r="R1314" s="2" t="s">
        <v>162</v>
      </c>
      <c r="S1314" s="2"/>
      <c r="T1314" s="2" t="s">
        <v>861</v>
      </c>
      <c r="U1314" s="398" t="s">
        <v>861</v>
      </c>
      <c r="V1314" s="7">
        <v>0</v>
      </c>
      <c r="W1314" s="7" t="s">
        <v>1084</v>
      </c>
    </row>
    <row r="1315" spans="1:23" x14ac:dyDescent="0.35">
      <c r="A1315" s="2">
        <v>131</v>
      </c>
      <c r="B1315" s="109" t="s">
        <v>72</v>
      </c>
      <c r="C1315" s="110" t="s">
        <v>73</v>
      </c>
      <c r="D1315" s="2">
        <v>495</v>
      </c>
      <c r="E1315" s="51"/>
      <c r="F1315" s="105"/>
      <c r="H1315" s="2"/>
      <c r="L1315" s="2"/>
      <c r="M1315" s="2"/>
      <c r="N1315" s="244"/>
      <c r="O1315" s="2"/>
      <c r="P1315" s="2"/>
      <c r="Q1315" s="2"/>
      <c r="R1315" s="2"/>
      <c r="S1315" s="2"/>
      <c r="T1315" s="2"/>
      <c r="U1315" s="398"/>
      <c r="V1315" s="7"/>
      <c r="W1315" s="7"/>
    </row>
    <row r="1316" spans="1:23" x14ac:dyDescent="0.35">
      <c r="A1316" s="2">
        <v>131</v>
      </c>
      <c r="B1316" s="109" t="s">
        <v>74</v>
      </c>
      <c r="C1316" s="110" t="s">
        <v>75</v>
      </c>
      <c r="D1316" s="2">
        <v>495</v>
      </c>
      <c r="E1316" s="51"/>
      <c r="F1316" s="105"/>
      <c r="H1316" s="2"/>
      <c r="L1316" s="2"/>
      <c r="M1316" s="2"/>
      <c r="N1316" s="244"/>
      <c r="O1316" s="2"/>
      <c r="P1316" s="2"/>
      <c r="Q1316" s="2"/>
      <c r="R1316" s="2"/>
      <c r="S1316" s="2"/>
      <c r="T1316" s="2"/>
      <c r="U1316" s="398"/>
      <c r="V1316" s="7"/>
      <c r="W1316" s="7"/>
    </row>
    <row r="1317" spans="1:23" x14ac:dyDescent="0.35">
      <c r="A1317" s="2">
        <v>131</v>
      </c>
      <c r="B1317" s="109" t="s">
        <v>76</v>
      </c>
      <c r="C1317" s="110" t="s">
        <v>77</v>
      </c>
      <c r="D1317" s="2">
        <v>501</v>
      </c>
      <c r="E1317" s="51"/>
      <c r="F1317" s="105"/>
      <c r="H1317" s="2"/>
      <c r="L1317" s="2"/>
      <c r="M1317" s="2"/>
      <c r="N1317" s="244"/>
      <c r="O1317" s="2"/>
      <c r="P1317" s="2"/>
      <c r="Q1317" s="2"/>
      <c r="R1317" s="2"/>
      <c r="S1317" s="2"/>
      <c r="T1317" s="2"/>
      <c r="U1317" s="398"/>
      <c r="V1317" s="7"/>
      <c r="W1317" s="7"/>
    </row>
    <row r="1318" spans="1:23" x14ac:dyDescent="0.35">
      <c r="A1318" s="2">
        <v>131</v>
      </c>
      <c r="B1318" s="109" t="s">
        <v>78</v>
      </c>
      <c r="C1318" s="110" t="s">
        <v>79</v>
      </c>
      <c r="D1318" s="2">
        <v>495</v>
      </c>
      <c r="E1318" s="51"/>
      <c r="F1318" s="105"/>
      <c r="H1318" s="2"/>
      <c r="L1318" s="2"/>
      <c r="M1318" s="2"/>
      <c r="N1318" s="244"/>
      <c r="O1318" s="2"/>
      <c r="P1318" s="2"/>
      <c r="Q1318" s="2"/>
      <c r="R1318" s="2"/>
      <c r="S1318" s="2"/>
      <c r="T1318" s="2"/>
      <c r="U1318" s="398"/>
      <c r="V1318" s="7"/>
      <c r="W1318" s="7"/>
    </row>
    <row r="1319" spans="1:23" x14ac:dyDescent="0.35">
      <c r="A1319" s="2">
        <v>131</v>
      </c>
      <c r="B1319" s="109" t="s">
        <v>80</v>
      </c>
      <c r="C1319" s="110" t="s">
        <v>81</v>
      </c>
      <c r="D1319" s="2">
        <v>477</v>
      </c>
      <c r="E1319" s="51"/>
      <c r="F1319" s="105"/>
      <c r="H1319" s="2"/>
      <c r="L1319" s="2"/>
      <c r="M1319" s="2"/>
      <c r="N1319" s="244"/>
      <c r="O1319" s="2"/>
      <c r="P1319" s="2"/>
      <c r="Q1319" s="2"/>
      <c r="R1319" s="2"/>
      <c r="S1319" s="2"/>
      <c r="T1319" s="2"/>
      <c r="U1319" s="398"/>
      <c r="V1319" s="7"/>
      <c r="W1319" s="7"/>
    </row>
    <row r="1320" spans="1:23" x14ac:dyDescent="0.35">
      <c r="A1320" s="2">
        <v>131</v>
      </c>
      <c r="B1320" s="109" t="s">
        <v>82</v>
      </c>
      <c r="C1320" s="110" t="s">
        <v>83</v>
      </c>
      <c r="D1320" s="2">
        <v>477</v>
      </c>
      <c r="E1320" s="51"/>
      <c r="F1320" s="105"/>
      <c r="H1320" s="2"/>
      <c r="L1320" s="2"/>
      <c r="M1320" s="2"/>
      <c r="N1320" s="244"/>
      <c r="O1320" s="2"/>
      <c r="P1320" s="2"/>
      <c r="Q1320" s="2"/>
      <c r="R1320" s="2"/>
      <c r="S1320" s="2"/>
      <c r="T1320" s="2"/>
      <c r="U1320" s="398"/>
      <c r="V1320" s="7"/>
      <c r="W1320" s="7"/>
    </row>
    <row r="1321" spans="1:23" x14ac:dyDescent="0.35">
      <c r="A1321" s="2">
        <v>131</v>
      </c>
      <c r="B1321" s="109" t="s">
        <v>84</v>
      </c>
      <c r="C1321" s="110" t="s">
        <v>85</v>
      </c>
      <c r="D1321" s="2">
        <v>474</v>
      </c>
      <c r="E1321" s="51"/>
      <c r="F1321" s="105"/>
      <c r="H1321" s="2"/>
      <c r="L1321" s="2"/>
      <c r="M1321" s="2"/>
      <c r="N1321" s="244"/>
      <c r="O1321" s="2"/>
      <c r="P1321" s="2"/>
      <c r="Q1321" s="2"/>
      <c r="R1321" s="2"/>
      <c r="S1321" s="2"/>
      <c r="T1321" s="2"/>
      <c r="U1321" s="398"/>
      <c r="V1321" s="7"/>
      <c r="W1321" s="7"/>
    </row>
    <row r="1322" spans="1:23" x14ac:dyDescent="0.35">
      <c r="A1322" s="2">
        <v>131</v>
      </c>
      <c r="B1322" s="109" t="s">
        <v>86</v>
      </c>
      <c r="C1322" s="110" t="s">
        <v>87</v>
      </c>
      <c r="D1322" s="2">
        <v>480</v>
      </c>
      <c r="E1322" s="51"/>
      <c r="F1322" s="105"/>
      <c r="H1322" s="2"/>
      <c r="L1322" s="2"/>
      <c r="M1322" s="2"/>
      <c r="N1322" s="244"/>
      <c r="O1322" s="2"/>
      <c r="P1322" s="2"/>
      <c r="Q1322" s="2"/>
      <c r="R1322" s="2"/>
      <c r="S1322" s="2"/>
      <c r="T1322" s="2"/>
      <c r="U1322" s="398"/>
      <c r="V1322" s="7"/>
      <c r="W1322" s="7"/>
    </row>
    <row r="1323" spans="1:23" x14ac:dyDescent="0.35">
      <c r="A1323" s="2">
        <v>131</v>
      </c>
      <c r="B1323" s="109" t="s">
        <v>91</v>
      </c>
      <c r="C1323" s="110" t="s">
        <v>57</v>
      </c>
      <c r="D1323" s="2">
        <v>-495</v>
      </c>
      <c r="E1323" s="51"/>
      <c r="F1323" s="105"/>
      <c r="H1323" s="2"/>
      <c r="L1323" s="2"/>
      <c r="M1323" s="2"/>
      <c r="N1323" s="244"/>
      <c r="O1323" s="2"/>
      <c r="P1323" s="2"/>
      <c r="Q1323" s="2"/>
      <c r="R1323" s="2"/>
      <c r="S1323" s="2"/>
      <c r="T1323" s="2"/>
      <c r="U1323" s="398"/>
      <c r="V1323" s="7" t="s">
        <v>1334</v>
      </c>
      <c r="W1323" s="7"/>
    </row>
    <row r="1324" spans="1:23" x14ac:dyDescent="0.35">
      <c r="A1324" s="2">
        <v>131</v>
      </c>
      <c r="B1324" s="109" t="s">
        <v>160</v>
      </c>
      <c r="C1324" s="110" t="s">
        <v>153</v>
      </c>
      <c r="D1324" s="2">
        <v>-495</v>
      </c>
      <c r="E1324" s="51"/>
      <c r="F1324" s="105"/>
      <c r="H1324" s="2"/>
      <c r="L1324" s="2"/>
      <c r="M1324" s="2"/>
      <c r="N1324" s="244"/>
      <c r="O1324" s="2"/>
      <c r="P1324" s="2"/>
      <c r="Q1324" s="2"/>
      <c r="R1324" s="2"/>
      <c r="S1324" s="2"/>
      <c r="T1324" s="2"/>
      <c r="U1324" s="398"/>
      <c r="V1324" s="7" t="s">
        <v>1334</v>
      </c>
      <c r="W1324" s="7"/>
    </row>
    <row r="1325" spans="1:23" x14ac:dyDescent="0.35">
      <c r="A1325" s="2">
        <v>131</v>
      </c>
      <c r="B1325" s="109" t="s">
        <v>713</v>
      </c>
      <c r="C1325" s="110" t="s">
        <v>976</v>
      </c>
      <c r="D1325" s="2">
        <v>-495</v>
      </c>
      <c r="E1325" s="51"/>
      <c r="F1325" s="105"/>
      <c r="H1325" s="2"/>
      <c r="L1325" s="2"/>
      <c r="M1325" s="2"/>
      <c r="N1325" s="244"/>
      <c r="O1325" s="2"/>
      <c r="P1325" s="2"/>
      <c r="Q1325" s="2"/>
      <c r="R1325" s="2"/>
      <c r="S1325" s="2"/>
      <c r="T1325" s="2"/>
      <c r="U1325" s="398"/>
      <c r="V1325" s="7" t="s">
        <v>1334</v>
      </c>
      <c r="W1325" s="7"/>
    </row>
    <row r="1326" spans="1:23" x14ac:dyDescent="0.35">
      <c r="A1326" s="2">
        <v>131</v>
      </c>
      <c r="B1326" s="109" t="s">
        <v>755</v>
      </c>
      <c r="C1326" s="110" t="s">
        <v>977</v>
      </c>
      <c r="D1326" s="2">
        <v>-495</v>
      </c>
      <c r="E1326" s="51"/>
      <c r="F1326" s="105"/>
      <c r="H1326" s="2"/>
      <c r="L1326" s="2"/>
      <c r="M1326" s="2"/>
      <c r="N1326" s="244"/>
      <c r="O1326" s="2"/>
      <c r="P1326" s="2"/>
      <c r="Q1326" s="2"/>
      <c r="R1326" s="2"/>
      <c r="S1326" s="2"/>
      <c r="T1326" s="2"/>
      <c r="U1326" s="398"/>
      <c r="V1326" s="7" t="s">
        <v>1334</v>
      </c>
      <c r="W1326" s="7"/>
    </row>
    <row r="1327" spans="1:23" x14ac:dyDescent="0.35">
      <c r="A1327" s="2">
        <v>131</v>
      </c>
      <c r="B1327" s="109" t="s">
        <v>1666</v>
      </c>
      <c r="C1327" s="110" t="s">
        <v>1038</v>
      </c>
      <c r="D1327" s="2">
        <v>-41.25</v>
      </c>
      <c r="E1327" s="51"/>
      <c r="F1327" s="105"/>
      <c r="H1327" s="2"/>
      <c r="L1327" s="2"/>
      <c r="M1327" s="2"/>
      <c r="N1327" s="244"/>
      <c r="O1327" s="2"/>
      <c r="P1327" s="2"/>
      <c r="Q1327" s="2"/>
      <c r="R1327" s="2"/>
      <c r="S1327" s="2"/>
      <c r="T1327" s="2"/>
      <c r="U1327" s="398"/>
      <c r="V1327" s="7" t="s">
        <v>1334</v>
      </c>
      <c r="W1327" s="7"/>
    </row>
    <row r="1328" spans="1:23" x14ac:dyDescent="0.35">
      <c r="A1328" s="2">
        <v>131</v>
      </c>
      <c r="B1328" s="109" t="s">
        <v>93</v>
      </c>
      <c r="C1328" s="110" t="s">
        <v>57</v>
      </c>
      <c r="D1328" s="2">
        <v>-495</v>
      </c>
      <c r="E1328" s="51"/>
      <c r="F1328" s="105"/>
      <c r="H1328" s="2"/>
      <c r="L1328" s="2"/>
      <c r="M1328" s="2"/>
      <c r="N1328" s="244"/>
      <c r="O1328" s="2"/>
      <c r="P1328" s="2"/>
      <c r="Q1328" s="2"/>
      <c r="R1328" s="2"/>
      <c r="S1328" s="2"/>
      <c r="T1328" s="2"/>
      <c r="U1328" s="398"/>
      <c r="V1328" s="7" t="s">
        <v>1334</v>
      </c>
      <c r="W1328" s="7"/>
    </row>
    <row r="1329" spans="1:23" x14ac:dyDescent="0.35">
      <c r="A1329" s="2">
        <v>131</v>
      </c>
      <c r="B1329" s="109" t="s">
        <v>162</v>
      </c>
      <c r="C1329" s="110" t="s">
        <v>153</v>
      </c>
      <c r="D1329" s="2">
        <v>-495</v>
      </c>
      <c r="E1329" s="51"/>
      <c r="F1329" s="105"/>
      <c r="H1329" s="2"/>
      <c r="L1329" s="2"/>
      <c r="M1329" s="2"/>
      <c r="N1329" s="244"/>
      <c r="O1329" s="2"/>
      <c r="P1329" s="2"/>
      <c r="Q1329" s="2"/>
      <c r="R1329" s="2"/>
      <c r="S1329" s="2"/>
      <c r="T1329" s="2"/>
      <c r="U1329" s="398"/>
      <c r="V1329" s="7" t="s">
        <v>1334</v>
      </c>
      <c r="W1329" s="7"/>
    </row>
    <row r="1330" spans="1:23" x14ac:dyDescent="0.35">
      <c r="A1330" s="2">
        <v>131</v>
      </c>
      <c r="B1330" s="109" t="s">
        <v>714</v>
      </c>
      <c r="C1330" s="110" t="s">
        <v>976</v>
      </c>
      <c r="D1330" s="2">
        <v>-495</v>
      </c>
      <c r="E1330" s="51"/>
      <c r="F1330" s="105"/>
      <c r="H1330" s="2"/>
      <c r="L1330" s="2"/>
      <c r="M1330" s="2"/>
      <c r="N1330" s="244"/>
      <c r="O1330" s="2"/>
      <c r="P1330" s="2"/>
      <c r="Q1330" s="2"/>
      <c r="R1330" s="2"/>
      <c r="S1330" s="2"/>
      <c r="T1330" s="2"/>
      <c r="U1330" s="398"/>
      <c r="V1330" s="7" t="s">
        <v>1334</v>
      </c>
      <c r="W1330" s="7"/>
    </row>
    <row r="1331" spans="1:23" x14ac:dyDescent="0.35">
      <c r="A1331" s="2">
        <v>131</v>
      </c>
      <c r="B1331" s="109" t="s">
        <v>755</v>
      </c>
      <c r="C1331" s="110" t="s">
        <v>977</v>
      </c>
      <c r="D1331" s="2">
        <v>-495</v>
      </c>
      <c r="E1331" s="51"/>
      <c r="F1331" s="105"/>
      <c r="H1331" s="2"/>
      <c r="L1331" s="2"/>
      <c r="M1331" s="2"/>
      <c r="N1331" s="244"/>
      <c r="O1331" s="2"/>
      <c r="P1331" s="2"/>
      <c r="Q1331" s="2"/>
      <c r="R1331" s="2"/>
      <c r="S1331" s="2"/>
      <c r="T1331" s="2"/>
      <c r="U1331" s="398"/>
      <c r="V1331" s="7" t="s">
        <v>1334</v>
      </c>
      <c r="W1331" s="7"/>
    </row>
    <row r="1332" spans="1:23" x14ac:dyDescent="0.35">
      <c r="A1332" s="2">
        <v>131</v>
      </c>
      <c r="B1332" s="109" t="s">
        <v>1666</v>
      </c>
      <c r="C1332" s="110" t="s">
        <v>1038</v>
      </c>
      <c r="D1332" s="2">
        <v>-41.25</v>
      </c>
      <c r="E1332" s="51"/>
      <c r="F1332" s="105"/>
      <c r="H1332" s="2"/>
      <c r="L1332" s="2"/>
      <c r="M1332" s="2"/>
      <c r="N1332" s="244"/>
      <c r="O1332" s="2"/>
      <c r="P1332" s="2"/>
      <c r="Q1332" s="2"/>
      <c r="R1332" s="2"/>
      <c r="S1332" s="2"/>
      <c r="T1332" s="2"/>
      <c r="U1332" s="398"/>
      <c r="V1332" s="7" t="s">
        <v>1334</v>
      </c>
      <c r="W1332" s="7"/>
    </row>
    <row r="1333" spans="1:23" x14ac:dyDescent="0.35">
      <c r="A1333" s="2">
        <v>131</v>
      </c>
      <c r="B1333" s="109" t="s">
        <v>95</v>
      </c>
      <c r="C1333" s="110" t="s">
        <v>57</v>
      </c>
      <c r="D1333" s="2">
        <v>-501</v>
      </c>
      <c r="E1333" s="51"/>
      <c r="F1333" s="105"/>
      <c r="H1333" s="2"/>
      <c r="L1333" s="2"/>
      <c r="M1333" s="2"/>
      <c r="N1333" s="244"/>
      <c r="O1333" s="2"/>
      <c r="P1333" s="2"/>
      <c r="Q1333" s="2"/>
      <c r="R1333" s="2"/>
      <c r="S1333" s="2"/>
      <c r="T1333" s="2"/>
      <c r="U1333" s="398"/>
      <c r="V1333" s="7" t="s">
        <v>1334</v>
      </c>
      <c r="W1333" s="7"/>
    </row>
    <row r="1334" spans="1:23" x14ac:dyDescent="0.35">
      <c r="A1334" s="2">
        <v>131</v>
      </c>
      <c r="B1334" s="109" t="s">
        <v>164</v>
      </c>
      <c r="C1334" s="110" t="s">
        <v>153</v>
      </c>
      <c r="D1334" s="2">
        <v>-501</v>
      </c>
      <c r="E1334" s="51"/>
      <c r="F1334" s="105"/>
      <c r="H1334" s="2"/>
      <c r="L1334" s="2"/>
      <c r="M1334" s="2"/>
      <c r="N1334" s="244"/>
      <c r="O1334" s="2"/>
      <c r="P1334" s="2"/>
      <c r="Q1334" s="2"/>
      <c r="R1334" s="2"/>
      <c r="S1334" s="2"/>
      <c r="T1334" s="2"/>
      <c r="U1334" s="398"/>
      <c r="V1334" s="7" t="s">
        <v>1334</v>
      </c>
      <c r="W1334" s="7"/>
    </row>
    <row r="1335" spans="1:23" x14ac:dyDescent="0.35">
      <c r="A1335" s="2">
        <v>131</v>
      </c>
      <c r="B1335" s="109" t="s">
        <v>715</v>
      </c>
      <c r="C1335" s="110" t="s">
        <v>976</v>
      </c>
      <c r="D1335" s="2">
        <v>-501</v>
      </c>
      <c r="E1335" s="51"/>
      <c r="F1335" s="105"/>
      <c r="H1335" s="2"/>
      <c r="L1335" s="2"/>
      <c r="M1335" s="2"/>
      <c r="N1335" s="244"/>
      <c r="O1335" s="2"/>
      <c r="P1335" s="2"/>
      <c r="Q1335" s="2"/>
      <c r="R1335" s="2"/>
      <c r="S1335" s="2"/>
      <c r="T1335" s="2"/>
      <c r="U1335" s="398"/>
      <c r="V1335" s="7" t="s">
        <v>1334</v>
      </c>
      <c r="W1335" s="7"/>
    </row>
    <row r="1336" spans="1:23" x14ac:dyDescent="0.35">
      <c r="A1336" s="2">
        <v>131</v>
      </c>
      <c r="B1336" s="109" t="s">
        <v>755</v>
      </c>
      <c r="C1336" s="110" t="s">
        <v>977</v>
      </c>
      <c r="D1336" s="2">
        <v>-501</v>
      </c>
      <c r="E1336" s="51"/>
      <c r="F1336" s="105"/>
      <c r="H1336" s="2"/>
      <c r="L1336" s="2"/>
      <c r="M1336" s="2"/>
      <c r="N1336" s="244"/>
      <c r="O1336" s="2"/>
      <c r="P1336" s="2"/>
      <c r="Q1336" s="2"/>
      <c r="R1336" s="2"/>
      <c r="S1336" s="2"/>
      <c r="T1336" s="2"/>
      <c r="U1336" s="398"/>
      <c r="V1336" s="7" t="s">
        <v>1334</v>
      </c>
      <c r="W1336" s="7"/>
    </row>
    <row r="1337" spans="1:23" x14ac:dyDescent="0.35">
      <c r="A1337" s="2">
        <v>131</v>
      </c>
      <c r="B1337" s="109" t="s">
        <v>1666</v>
      </c>
      <c r="C1337" s="110" t="s">
        <v>1038</v>
      </c>
      <c r="D1337" s="2">
        <v>-41.75</v>
      </c>
      <c r="E1337" s="51"/>
      <c r="F1337" s="105"/>
      <c r="H1337" s="2"/>
      <c r="L1337" s="2"/>
      <c r="M1337" s="2"/>
      <c r="N1337" s="244"/>
      <c r="O1337" s="2"/>
      <c r="P1337" s="2"/>
      <c r="Q1337" s="2"/>
      <c r="R1337" s="2"/>
      <c r="S1337" s="2"/>
      <c r="T1337" s="2"/>
      <c r="U1337" s="398"/>
      <c r="V1337" s="7" t="s">
        <v>1334</v>
      </c>
      <c r="W1337" s="7"/>
    </row>
    <row r="1338" spans="1:23" x14ac:dyDescent="0.35">
      <c r="A1338" s="2">
        <v>131</v>
      </c>
      <c r="B1338" s="109" t="s">
        <v>97</v>
      </c>
      <c r="C1338" s="110" t="s">
        <v>57</v>
      </c>
      <c r="D1338" s="2">
        <v>-495</v>
      </c>
      <c r="E1338" s="51"/>
      <c r="F1338" s="105"/>
      <c r="H1338" s="2"/>
      <c r="L1338" s="2"/>
      <c r="M1338" s="2"/>
      <c r="N1338" s="244"/>
      <c r="O1338" s="2"/>
      <c r="P1338" s="2"/>
      <c r="Q1338" s="2"/>
      <c r="R1338" s="2"/>
      <c r="S1338" s="2"/>
      <c r="T1338" s="2"/>
      <c r="U1338" s="398"/>
      <c r="V1338" s="7" t="s">
        <v>1334</v>
      </c>
      <c r="W1338" s="7"/>
    </row>
    <row r="1339" spans="1:23" x14ac:dyDescent="0.35">
      <c r="A1339" s="2">
        <v>131</v>
      </c>
      <c r="B1339" s="109" t="s">
        <v>166</v>
      </c>
      <c r="C1339" s="110" t="s">
        <v>153</v>
      </c>
      <c r="D1339" s="2">
        <v>-495</v>
      </c>
      <c r="E1339" s="51"/>
      <c r="F1339" s="105"/>
      <c r="H1339" s="2"/>
      <c r="L1339" s="2"/>
      <c r="M1339" s="2"/>
      <c r="N1339" s="244"/>
      <c r="O1339" s="2"/>
      <c r="P1339" s="2"/>
      <c r="Q1339" s="2"/>
      <c r="R1339" s="2"/>
      <c r="S1339" s="2"/>
      <c r="T1339" s="2"/>
      <c r="U1339" s="398"/>
      <c r="V1339" s="7" t="s">
        <v>1334</v>
      </c>
      <c r="W1339" s="7"/>
    </row>
    <row r="1340" spans="1:23" x14ac:dyDescent="0.35">
      <c r="A1340" s="2">
        <v>131</v>
      </c>
      <c r="B1340" s="109" t="s">
        <v>716</v>
      </c>
      <c r="C1340" s="110" t="s">
        <v>976</v>
      </c>
      <c r="D1340" s="2">
        <v>-495</v>
      </c>
      <c r="E1340" s="51"/>
      <c r="F1340" s="105"/>
      <c r="H1340" s="2"/>
      <c r="L1340" s="2"/>
      <c r="M1340" s="2"/>
      <c r="N1340" s="244"/>
      <c r="O1340" s="2"/>
      <c r="P1340" s="2"/>
      <c r="Q1340" s="2"/>
      <c r="R1340" s="2"/>
      <c r="S1340" s="2"/>
      <c r="T1340" s="2"/>
      <c r="U1340" s="398"/>
      <c r="V1340" s="7" t="s">
        <v>1334</v>
      </c>
      <c r="W1340" s="7"/>
    </row>
    <row r="1341" spans="1:23" x14ac:dyDescent="0.35">
      <c r="A1341" s="2">
        <v>131</v>
      </c>
      <c r="B1341" s="109" t="s">
        <v>755</v>
      </c>
      <c r="C1341" s="110" t="s">
        <v>977</v>
      </c>
      <c r="D1341" s="2">
        <v>-495</v>
      </c>
      <c r="E1341" s="51"/>
      <c r="F1341" s="105"/>
      <c r="H1341" s="2"/>
      <c r="L1341" s="2"/>
      <c r="M1341" s="2"/>
      <c r="N1341" s="244"/>
      <c r="O1341" s="2"/>
      <c r="P1341" s="2"/>
      <c r="Q1341" s="2"/>
      <c r="R1341" s="2"/>
      <c r="S1341" s="2"/>
      <c r="T1341" s="2"/>
      <c r="U1341" s="398"/>
      <c r="V1341" s="7" t="s">
        <v>1334</v>
      </c>
      <c r="W1341" s="7"/>
    </row>
    <row r="1342" spans="1:23" x14ac:dyDescent="0.35">
      <c r="A1342" s="2">
        <v>131</v>
      </c>
      <c r="B1342" s="109" t="s">
        <v>1666</v>
      </c>
      <c r="C1342" s="110" t="s">
        <v>1038</v>
      </c>
      <c r="D1342" s="2">
        <v>-41.25</v>
      </c>
      <c r="E1342" s="51"/>
      <c r="F1342" s="105"/>
      <c r="H1342" s="2"/>
      <c r="L1342" s="2"/>
      <c r="M1342" s="2"/>
      <c r="N1342" s="244"/>
      <c r="O1342" s="2"/>
      <c r="P1342" s="2"/>
      <c r="Q1342" s="2"/>
      <c r="R1342" s="2"/>
      <c r="S1342" s="2"/>
      <c r="T1342" s="2"/>
      <c r="U1342" s="398"/>
      <c r="V1342" s="7" t="s">
        <v>1334</v>
      </c>
      <c r="W1342" s="7"/>
    </row>
    <row r="1343" spans="1:23" x14ac:dyDescent="0.35">
      <c r="A1343" s="2">
        <v>131</v>
      </c>
      <c r="B1343" s="109" t="s">
        <v>99</v>
      </c>
      <c r="C1343" s="110" t="s">
        <v>57</v>
      </c>
      <c r="D1343" s="2">
        <v>-477</v>
      </c>
      <c r="E1343" s="51"/>
      <c r="F1343" s="105"/>
      <c r="H1343" s="2"/>
      <c r="L1343" s="2"/>
      <c r="M1343" s="2"/>
      <c r="N1343" s="244"/>
      <c r="O1343" s="2"/>
      <c r="P1343" s="2"/>
      <c r="Q1343" s="2"/>
      <c r="R1343" s="2"/>
      <c r="S1343" s="2"/>
      <c r="T1343" s="2"/>
      <c r="U1343" s="398"/>
      <c r="V1343" s="7" t="s">
        <v>1334</v>
      </c>
      <c r="W1343" s="7"/>
    </row>
    <row r="1344" spans="1:23" x14ac:dyDescent="0.35">
      <c r="A1344" s="2">
        <v>131</v>
      </c>
      <c r="B1344" s="109" t="s">
        <v>149</v>
      </c>
      <c r="C1344" s="110" t="s">
        <v>153</v>
      </c>
      <c r="D1344" s="2">
        <v>-477</v>
      </c>
      <c r="E1344" s="51"/>
      <c r="F1344" s="105"/>
      <c r="H1344" s="2"/>
      <c r="L1344" s="2"/>
      <c r="M1344" s="2"/>
      <c r="N1344" s="244"/>
      <c r="O1344" s="2"/>
      <c r="P1344" s="2"/>
      <c r="Q1344" s="2"/>
      <c r="R1344" s="2"/>
      <c r="S1344" s="2"/>
      <c r="T1344" s="2"/>
      <c r="U1344" s="398"/>
      <c r="V1344" s="7" t="s">
        <v>1334</v>
      </c>
      <c r="W1344" s="7"/>
    </row>
    <row r="1345" spans="1:23" x14ac:dyDescent="0.35">
      <c r="A1345" s="2">
        <v>131</v>
      </c>
      <c r="B1345" s="109" t="s">
        <v>717</v>
      </c>
      <c r="C1345" s="110" t="s">
        <v>976</v>
      </c>
      <c r="D1345" s="2">
        <v>-477</v>
      </c>
      <c r="E1345" s="51"/>
      <c r="F1345" s="105"/>
      <c r="H1345" s="2"/>
      <c r="L1345" s="2"/>
      <c r="M1345" s="2"/>
      <c r="N1345" s="244"/>
      <c r="O1345" s="2"/>
      <c r="P1345" s="2"/>
      <c r="Q1345" s="2"/>
      <c r="R1345" s="2"/>
      <c r="S1345" s="2"/>
      <c r="T1345" s="2"/>
      <c r="U1345" s="398"/>
      <c r="V1345" s="7" t="s">
        <v>1334</v>
      </c>
      <c r="W1345" s="7"/>
    </row>
    <row r="1346" spans="1:23" x14ac:dyDescent="0.35">
      <c r="A1346" s="2">
        <v>131</v>
      </c>
      <c r="B1346" s="109" t="s">
        <v>757</v>
      </c>
      <c r="C1346" s="110" t="s">
        <v>977</v>
      </c>
      <c r="D1346" s="2">
        <v>-477</v>
      </c>
      <c r="E1346" s="51"/>
      <c r="F1346" s="105"/>
      <c r="H1346" s="2"/>
      <c r="L1346" s="2"/>
      <c r="M1346" s="2"/>
      <c r="N1346" s="244"/>
      <c r="O1346" s="2"/>
      <c r="P1346" s="2"/>
      <c r="Q1346" s="2"/>
      <c r="R1346" s="2"/>
      <c r="S1346" s="2"/>
      <c r="T1346" s="2"/>
      <c r="U1346" s="398"/>
      <c r="V1346" s="7" t="s">
        <v>1334</v>
      </c>
      <c r="W1346" s="7"/>
    </row>
    <row r="1347" spans="1:23" x14ac:dyDescent="0.35">
      <c r="A1347" s="2">
        <v>131</v>
      </c>
      <c r="B1347" s="109" t="s">
        <v>1666</v>
      </c>
      <c r="C1347" s="110" t="s">
        <v>1038</v>
      </c>
      <c r="D1347" s="2">
        <v>-39.75</v>
      </c>
      <c r="E1347" s="51"/>
      <c r="F1347" s="105"/>
      <c r="H1347" s="2"/>
      <c r="L1347" s="2"/>
      <c r="M1347" s="2"/>
      <c r="N1347" s="244"/>
      <c r="O1347" s="2"/>
      <c r="P1347" s="2"/>
      <c r="Q1347" s="2"/>
      <c r="R1347" s="2"/>
      <c r="S1347" s="2"/>
      <c r="T1347" s="2"/>
      <c r="U1347" s="398"/>
      <c r="V1347" s="7" t="s">
        <v>1334</v>
      </c>
      <c r="W1347" s="7"/>
    </row>
    <row r="1348" spans="1:23" x14ac:dyDescent="0.35">
      <c r="A1348" s="2">
        <v>131</v>
      </c>
      <c r="B1348" s="109" t="s">
        <v>101</v>
      </c>
      <c r="C1348" s="110" t="s">
        <v>57</v>
      </c>
      <c r="D1348" s="2">
        <v>-477</v>
      </c>
      <c r="E1348" s="51"/>
      <c r="F1348" s="105"/>
      <c r="H1348" s="2"/>
      <c r="L1348" s="2"/>
      <c r="M1348" s="2"/>
      <c r="N1348" s="244"/>
      <c r="O1348" s="2"/>
      <c r="P1348" s="2"/>
      <c r="Q1348" s="2"/>
      <c r="R1348" s="2"/>
      <c r="S1348" s="2"/>
      <c r="T1348" s="2"/>
      <c r="U1348" s="398"/>
      <c r="V1348" s="7" t="s">
        <v>1334</v>
      </c>
      <c r="W1348" s="7"/>
    </row>
    <row r="1349" spans="1:23" x14ac:dyDescent="0.35">
      <c r="A1349" s="2">
        <v>131</v>
      </c>
      <c r="B1349" s="109" t="s">
        <v>154</v>
      </c>
      <c r="C1349" s="110" t="s">
        <v>153</v>
      </c>
      <c r="D1349" s="2">
        <v>-477</v>
      </c>
      <c r="E1349" s="51"/>
      <c r="F1349" s="105"/>
      <c r="H1349" s="2"/>
      <c r="L1349" s="2"/>
      <c r="M1349" s="2"/>
      <c r="N1349" s="244"/>
      <c r="O1349" s="2"/>
      <c r="P1349" s="2"/>
      <c r="Q1349" s="2"/>
      <c r="R1349" s="2"/>
      <c r="S1349" s="2"/>
      <c r="T1349" s="2"/>
      <c r="U1349" s="398"/>
      <c r="V1349" s="7" t="s">
        <v>1334</v>
      </c>
      <c r="W1349" s="7"/>
    </row>
    <row r="1350" spans="1:23" x14ac:dyDescent="0.35">
      <c r="A1350" s="2">
        <v>131</v>
      </c>
      <c r="B1350" s="109" t="s">
        <v>718</v>
      </c>
      <c r="C1350" s="110" t="s">
        <v>976</v>
      </c>
      <c r="D1350" s="2">
        <v>-477</v>
      </c>
      <c r="E1350" s="51"/>
      <c r="F1350" s="105"/>
      <c r="H1350" s="2"/>
      <c r="L1350" s="2"/>
      <c r="M1350" s="2"/>
      <c r="N1350" s="244"/>
      <c r="O1350" s="2"/>
      <c r="P1350" s="2"/>
      <c r="Q1350" s="2"/>
      <c r="R1350" s="2"/>
      <c r="S1350" s="2"/>
      <c r="T1350" s="2"/>
      <c r="U1350" s="398"/>
      <c r="V1350" s="7" t="s">
        <v>1334</v>
      </c>
      <c r="W1350" s="7"/>
    </row>
    <row r="1351" spans="1:23" x14ac:dyDescent="0.35">
      <c r="A1351" s="2">
        <v>131</v>
      </c>
      <c r="B1351" s="109" t="s">
        <v>757</v>
      </c>
      <c r="C1351" s="110" t="s">
        <v>977</v>
      </c>
      <c r="D1351" s="2">
        <v>-477</v>
      </c>
      <c r="E1351" s="51"/>
      <c r="F1351" s="105"/>
      <c r="H1351" s="2"/>
      <c r="L1351" s="2"/>
      <c r="M1351" s="2"/>
      <c r="N1351" s="244"/>
      <c r="O1351" s="2"/>
      <c r="P1351" s="2"/>
      <c r="Q1351" s="2"/>
      <c r="R1351" s="2"/>
      <c r="S1351" s="2"/>
      <c r="T1351" s="2"/>
      <c r="U1351" s="398"/>
      <c r="V1351" s="7" t="s">
        <v>1334</v>
      </c>
      <c r="W1351" s="7"/>
    </row>
    <row r="1352" spans="1:23" x14ac:dyDescent="0.35">
      <c r="A1352" s="2">
        <v>131</v>
      </c>
      <c r="B1352" s="109" t="s">
        <v>1666</v>
      </c>
      <c r="C1352" s="110" t="s">
        <v>1038</v>
      </c>
      <c r="D1352" s="2">
        <v>-39.75</v>
      </c>
      <c r="E1352" s="51"/>
      <c r="F1352" s="105"/>
      <c r="H1352" s="2"/>
      <c r="L1352" s="2"/>
      <c r="M1352" s="2"/>
      <c r="N1352" s="244"/>
      <c r="O1352" s="2"/>
      <c r="P1352" s="2"/>
      <c r="Q1352" s="2"/>
      <c r="R1352" s="2"/>
      <c r="S1352" s="2"/>
      <c r="T1352" s="2"/>
      <c r="U1352" s="398"/>
      <c r="V1352" s="7" t="s">
        <v>1334</v>
      </c>
      <c r="W1352" s="7"/>
    </row>
    <row r="1353" spans="1:23" x14ac:dyDescent="0.35">
      <c r="A1353" s="2">
        <v>131</v>
      </c>
      <c r="B1353" s="109" t="s">
        <v>103</v>
      </c>
      <c r="C1353" s="110" t="s">
        <v>57</v>
      </c>
      <c r="D1353" s="2">
        <v>-474</v>
      </c>
      <c r="E1353" s="51"/>
      <c r="F1353" s="105"/>
      <c r="H1353" s="2"/>
      <c r="L1353" s="2"/>
      <c r="M1353" s="2"/>
      <c r="N1353" s="244"/>
      <c r="O1353" s="2"/>
      <c r="P1353" s="2"/>
      <c r="Q1353" s="2"/>
      <c r="R1353" s="2"/>
      <c r="S1353" s="2"/>
      <c r="T1353" s="2"/>
      <c r="U1353" s="398"/>
      <c r="V1353" s="7" t="s">
        <v>1334</v>
      </c>
      <c r="W1353" s="7"/>
    </row>
    <row r="1354" spans="1:23" x14ac:dyDescent="0.35">
      <c r="A1354" s="2">
        <v>131</v>
      </c>
      <c r="B1354" s="109" t="s">
        <v>156</v>
      </c>
      <c r="C1354" s="110" t="s">
        <v>153</v>
      </c>
      <c r="D1354" s="2">
        <v>-474</v>
      </c>
      <c r="E1354" s="51"/>
      <c r="F1354" s="105"/>
      <c r="H1354" s="2"/>
      <c r="L1354" s="2"/>
      <c r="M1354" s="2"/>
      <c r="N1354" s="244"/>
      <c r="O1354" s="2"/>
      <c r="P1354" s="2"/>
      <c r="Q1354" s="2"/>
      <c r="R1354" s="2"/>
      <c r="S1354" s="2"/>
      <c r="T1354" s="2"/>
      <c r="U1354" s="398"/>
      <c r="V1354" s="7" t="s">
        <v>1334</v>
      </c>
      <c r="W1354" s="7"/>
    </row>
    <row r="1355" spans="1:23" x14ac:dyDescent="0.35">
      <c r="A1355" s="2">
        <v>131</v>
      </c>
      <c r="B1355" s="109" t="s">
        <v>719</v>
      </c>
      <c r="C1355" s="110" t="s">
        <v>976</v>
      </c>
      <c r="D1355" s="2">
        <v>-474</v>
      </c>
      <c r="E1355" s="51"/>
      <c r="F1355" s="105"/>
      <c r="H1355" s="2"/>
      <c r="L1355" s="2"/>
      <c r="M1355" s="2"/>
      <c r="N1355" s="244"/>
      <c r="O1355" s="2"/>
      <c r="P1355" s="2"/>
      <c r="Q1355" s="2"/>
      <c r="R1355" s="2"/>
      <c r="S1355" s="2"/>
      <c r="T1355" s="2"/>
      <c r="U1355" s="398"/>
      <c r="V1355" s="7" t="s">
        <v>1334</v>
      </c>
      <c r="W1355" s="7"/>
    </row>
    <row r="1356" spans="1:23" x14ac:dyDescent="0.35">
      <c r="A1356" s="2">
        <v>131</v>
      </c>
      <c r="B1356" s="109" t="s">
        <v>757</v>
      </c>
      <c r="C1356" s="110" t="s">
        <v>977</v>
      </c>
      <c r="D1356" s="2">
        <v>-474</v>
      </c>
      <c r="E1356" s="51"/>
      <c r="F1356" s="105"/>
      <c r="H1356" s="2"/>
      <c r="L1356" s="2"/>
      <c r="M1356" s="2"/>
      <c r="N1356" s="244"/>
      <c r="O1356" s="2"/>
      <c r="P1356" s="2"/>
      <c r="Q1356" s="2"/>
      <c r="R1356" s="2"/>
      <c r="S1356" s="2"/>
      <c r="T1356" s="2"/>
      <c r="U1356" s="398"/>
      <c r="V1356" s="7" t="s">
        <v>1334</v>
      </c>
      <c r="W1356" s="7"/>
    </row>
    <row r="1357" spans="1:23" x14ac:dyDescent="0.35">
      <c r="A1357" s="2">
        <v>131</v>
      </c>
      <c r="B1357" s="109" t="s">
        <v>1666</v>
      </c>
      <c r="C1357" s="110" t="s">
        <v>1038</v>
      </c>
      <c r="D1357" s="2">
        <v>-39.5</v>
      </c>
      <c r="E1357" s="51"/>
      <c r="F1357" s="105"/>
      <c r="H1357" s="2"/>
      <c r="L1357" s="2"/>
      <c r="M1357" s="2"/>
      <c r="N1357" s="244"/>
      <c r="O1357" s="2"/>
      <c r="P1357" s="2"/>
      <c r="Q1357" s="2"/>
      <c r="R1357" s="2"/>
      <c r="S1357" s="2"/>
      <c r="T1357" s="2"/>
      <c r="U1357" s="398"/>
      <c r="V1357" s="7" t="s">
        <v>1334</v>
      </c>
      <c r="W1357" s="7"/>
    </row>
    <row r="1358" spans="1:23" x14ac:dyDescent="0.35">
      <c r="A1358" s="2">
        <v>131</v>
      </c>
      <c r="B1358" s="109" t="s">
        <v>105</v>
      </c>
      <c r="C1358" s="110" t="s">
        <v>57</v>
      </c>
      <c r="D1358" s="2">
        <v>-480</v>
      </c>
      <c r="E1358" s="51"/>
      <c r="F1358" s="105"/>
      <c r="H1358" s="2"/>
      <c r="L1358" s="2"/>
      <c r="M1358" s="2"/>
      <c r="N1358" s="244"/>
      <c r="O1358" s="2"/>
      <c r="P1358" s="2"/>
      <c r="Q1358" s="2"/>
      <c r="R1358" s="2"/>
      <c r="S1358" s="2"/>
      <c r="T1358" s="2"/>
      <c r="U1358" s="398"/>
      <c r="V1358" s="7" t="s">
        <v>1334</v>
      </c>
      <c r="W1358" s="7"/>
    </row>
    <row r="1359" spans="1:23" x14ac:dyDescent="0.35">
      <c r="A1359" s="2">
        <v>131</v>
      </c>
      <c r="B1359" s="109" t="s">
        <v>158</v>
      </c>
      <c r="C1359" s="110" t="s">
        <v>153</v>
      </c>
      <c r="D1359" s="2">
        <v>-480</v>
      </c>
      <c r="E1359" s="51"/>
      <c r="F1359" s="105"/>
      <c r="H1359" s="2"/>
      <c r="L1359" s="2"/>
      <c r="M1359" s="2"/>
      <c r="N1359" s="244"/>
      <c r="O1359" s="2"/>
      <c r="P1359" s="2"/>
      <c r="Q1359" s="2"/>
      <c r="R1359" s="2"/>
      <c r="S1359" s="2"/>
      <c r="T1359" s="2"/>
      <c r="U1359" s="398"/>
      <c r="V1359" s="7" t="s">
        <v>1334</v>
      </c>
      <c r="W1359" s="7"/>
    </row>
    <row r="1360" spans="1:23" x14ac:dyDescent="0.35">
      <c r="A1360" s="2">
        <v>131</v>
      </c>
      <c r="B1360" s="109" t="s">
        <v>720</v>
      </c>
      <c r="C1360" s="110" t="s">
        <v>976</v>
      </c>
      <c r="D1360" s="2">
        <v>-480</v>
      </c>
      <c r="E1360" s="51"/>
      <c r="F1360" s="105"/>
      <c r="H1360" s="2"/>
      <c r="L1360" s="2"/>
      <c r="M1360" s="2"/>
      <c r="N1360" s="244"/>
      <c r="O1360" s="2"/>
      <c r="P1360" s="2"/>
      <c r="Q1360" s="2"/>
      <c r="R1360" s="2"/>
      <c r="S1360" s="2"/>
      <c r="T1360" s="2"/>
      <c r="U1360" s="398"/>
      <c r="V1360" s="7" t="s">
        <v>1334</v>
      </c>
      <c r="W1360" s="7"/>
    </row>
    <row r="1361" spans="1:23" x14ac:dyDescent="0.35">
      <c r="A1361" s="2">
        <v>131</v>
      </c>
      <c r="B1361" s="109" t="s">
        <v>757</v>
      </c>
      <c r="C1361" s="110" t="s">
        <v>977</v>
      </c>
      <c r="D1361" s="2">
        <v>-480</v>
      </c>
      <c r="E1361" s="51"/>
      <c r="F1361" s="105"/>
      <c r="H1361" s="2"/>
      <c r="L1361" s="2"/>
      <c r="M1361" s="2"/>
      <c r="N1361" s="244"/>
      <c r="O1361" s="2"/>
      <c r="P1361" s="2"/>
      <c r="Q1361" s="2"/>
      <c r="R1361" s="2"/>
      <c r="S1361" s="2"/>
      <c r="T1361" s="2"/>
      <c r="U1361" s="398"/>
      <c r="V1361" s="7" t="s">
        <v>1334</v>
      </c>
      <c r="W1361" s="7"/>
    </row>
    <row r="1362" spans="1:23" x14ac:dyDescent="0.35">
      <c r="A1362" s="2">
        <v>131</v>
      </c>
      <c r="B1362" s="109" t="s">
        <v>1666</v>
      </c>
      <c r="C1362" s="110" t="s">
        <v>1038</v>
      </c>
      <c r="D1362" s="2">
        <v>-40</v>
      </c>
      <c r="E1362" s="51"/>
      <c r="F1362" s="105"/>
      <c r="H1362" s="2"/>
      <c r="L1362" s="2"/>
      <c r="M1362" s="2"/>
      <c r="N1362" s="244"/>
      <c r="O1362" s="2"/>
      <c r="P1362" s="2"/>
      <c r="Q1362" s="2"/>
      <c r="R1362" s="2"/>
      <c r="S1362" s="2"/>
      <c r="T1362" s="2"/>
      <c r="U1362" s="398"/>
      <c r="V1362" s="7" t="s">
        <v>1334</v>
      </c>
      <c r="W1362" s="7"/>
    </row>
    <row r="1363" spans="1:23" x14ac:dyDescent="0.35">
      <c r="A1363" s="2">
        <v>132</v>
      </c>
      <c r="B1363" s="109" t="s">
        <v>91</v>
      </c>
      <c r="C1363" s="110" t="s">
        <v>92</v>
      </c>
      <c r="D1363" s="2"/>
      <c r="E1363" s="51"/>
      <c r="F1363" s="105"/>
      <c r="H1363" s="2">
        <v>8</v>
      </c>
      <c r="I1363" s="2">
        <v>0</v>
      </c>
      <c r="J1363" s="2">
        <v>0</v>
      </c>
      <c r="K1363" s="2" t="s">
        <v>861</v>
      </c>
      <c r="L1363" s="2">
        <v>2.5066666666666664</v>
      </c>
      <c r="M1363" s="2">
        <v>2.7433333333333332</v>
      </c>
      <c r="N1363" s="244">
        <v>7.4819999999999991E-3</v>
      </c>
      <c r="O1363" s="2" t="s">
        <v>934</v>
      </c>
      <c r="P1363" s="2">
        <v>100</v>
      </c>
      <c r="Q1363" s="2" t="s">
        <v>55</v>
      </c>
      <c r="R1363" s="2" t="s">
        <v>91</v>
      </c>
      <c r="S1363" s="2"/>
      <c r="T1363" s="2">
        <v>5</v>
      </c>
      <c r="U1363" s="398">
        <v>0</v>
      </c>
      <c r="V1363" s="7">
        <v>0</v>
      </c>
      <c r="W1363" s="7" t="s">
        <v>1099</v>
      </c>
    </row>
    <row r="1364" spans="1:23" x14ac:dyDescent="0.35">
      <c r="A1364" s="2">
        <v>132</v>
      </c>
      <c r="B1364" s="109" t="s">
        <v>93</v>
      </c>
      <c r="C1364" s="110" t="s">
        <v>94</v>
      </c>
      <c r="D1364" s="2"/>
      <c r="E1364" s="51"/>
      <c r="F1364" s="105"/>
      <c r="H1364" s="2">
        <v>7</v>
      </c>
      <c r="I1364" s="2">
        <v>0</v>
      </c>
      <c r="J1364" s="2">
        <v>0</v>
      </c>
      <c r="K1364" s="2" t="s">
        <v>861</v>
      </c>
      <c r="L1364" s="2">
        <v>2.1933333333333334</v>
      </c>
      <c r="M1364" s="2">
        <v>2.4004166666666671</v>
      </c>
      <c r="N1364" s="244">
        <v>6.5467499999999996E-3</v>
      </c>
      <c r="O1364" s="2" t="s">
        <v>934</v>
      </c>
      <c r="P1364" s="2">
        <v>100</v>
      </c>
      <c r="Q1364" s="2" t="s">
        <v>55</v>
      </c>
      <c r="R1364" s="2" t="s">
        <v>93</v>
      </c>
      <c r="S1364" s="2"/>
      <c r="T1364" s="2">
        <v>5</v>
      </c>
      <c r="U1364" s="398">
        <v>0</v>
      </c>
      <c r="V1364" s="7">
        <v>0</v>
      </c>
      <c r="W1364" s="7" t="s">
        <v>1099</v>
      </c>
    </row>
    <row r="1365" spans="1:23" x14ac:dyDescent="0.35">
      <c r="A1365" s="2">
        <v>132</v>
      </c>
      <c r="B1365" s="109" t="s">
        <v>95</v>
      </c>
      <c r="C1365" s="110" t="s">
        <v>96</v>
      </c>
      <c r="D1365" s="2"/>
      <c r="E1365" s="51"/>
      <c r="F1365" s="105"/>
      <c r="H1365" s="2">
        <v>8</v>
      </c>
      <c r="I1365" s="2">
        <v>0</v>
      </c>
      <c r="J1365" s="2">
        <v>0</v>
      </c>
      <c r="K1365" s="2" t="s">
        <v>861</v>
      </c>
      <c r="L1365" s="2">
        <v>2.5066666666666664</v>
      </c>
      <c r="M1365" s="2">
        <v>2.7433333333333332</v>
      </c>
      <c r="N1365" s="244">
        <v>7.4819999999999991E-3</v>
      </c>
      <c r="O1365" s="2" t="s">
        <v>934</v>
      </c>
      <c r="P1365" s="2">
        <v>100</v>
      </c>
      <c r="Q1365" s="2" t="s">
        <v>55</v>
      </c>
      <c r="R1365" s="2" t="s">
        <v>95</v>
      </c>
      <c r="S1365" s="2"/>
      <c r="T1365" s="2">
        <v>5</v>
      </c>
      <c r="U1365" s="398">
        <v>0</v>
      </c>
      <c r="V1365" s="7">
        <v>0</v>
      </c>
      <c r="W1365" s="7" t="s">
        <v>1099</v>
      </c>
    </row>
    <row r="1366" spans="1:23" x14ac:dyDescent="0.35">
      <c r="A1366" s="2">
        <v>132</v>
      </c>
      <c r="B1366" s="109" t="s">
        <v>97</v>
      </c>
      <c r="C1366" s="110" t="s">
        <v>98</v>
      </c>
      <c r="D1366" s="2"/>
      <c r="E1366" s="51"/>
      <c r="F1366" s="105"/>
      <c r="H1366" s="2">
        <v>7</v>
      </c>
      <c r="I1366" s="2">
        <v>0</v>
      </c>
      <c r="J1366" s="2">
        <v>0</v>
      </c>
      <c r="K1366" s="2" t="s">
        <v>861</v>
      </c>
      <c r="L1366" s="2">
        <v>2.1933333333333334</v>
      </c>
      <c r="M1366" s="2">
        <v>2.4004166666666671</v>
      </c>
      <c r="N1366" s="244">
        <v>6.5467499999999996E-3</v>
      </c>
      <c r="O1366" s="2" t="s">
        <v>934</v>
      </c>
      <c r="P1366" s="2">
        <v>100</v>
      </c>
      <c r="Q1366" s="2" t="s">
        <v>55</v>
      </c>
      <c r="R1366" s="2" t="s">
        <v>97</v>
      </c>
      <c r="S1366" s="2"/>
      <c r="T1366" s="2">
        <v>5</v>
      </c>
      <c r="U1366" s="398">
        <v>0</v>
      </c>
      <c r="V1366" s="7">
        <v>0</v>
      </c>
      <c r="W1366" s="7" t="s">
        <v>1099</v>
      </c>
    </row>
    <row r="1367" spans="1:23" x14ac:dyDescent="0.35">
      <c r="A1367" s="2">
        <v>132</v>
      </c>
      <c r="B1367" s="109" t="s">
        <v>99</v>
      </c>
      <c r="C1367" s="110" t="s">
        <v>100</v>
      </c>
      <c r="D1367" s="2"/>
      <c r="E1367" s="51"/>
      <c r="F1367" s="105"/>
      <c r="H1367" s="2">
        <v>7</v>
      </c>
      <c r="I1367" s="2">
        <v>0</v>
      </c>
      <c r="J1367" s="2">
        <v>0</v>
      </c>
      <c r="K1367" s="2" t="s">
        <v>861</v>
      </c>
      <c r="L1367" s="2">
        <v>2.0037500000000001</v>
      </c>
      <c r="M1367" s="2">
        <v>2.2050000000000001</v>
      </c>
      <c r="N1367" s="244">
        <v>7.3368749999999996E-3</v>
      </c>
      <c r="O1367" s="2" t="s">
        <v>934</v>
      </c>
      <c r="P1367" s="2">
        <v>100</v>
      </c>
      <c r="Q1367" s="2" t="s">
        <v>55</v>
      </c>
      <c r="R1367" s="2" t="s">
        <v>99</v>
      </c>
      <c r="S1367" s="2"/>
      <c r="T1367" s="2">
        <v>5</v>
      </c>
      <c r="U1367" s="398">
        <v>0</v>
      </c>
      <c r="V1367" s="7">
        <v>0</v>
      </c>
      <c r="W1367" s="7" t="s">
        <v>1099</v>
      </c>
    </row>
    <row r="1368" spans="1:23" x14ac:dyDescent="0.35">
      <c r="A1368" s="2">
        <v>132</v>
      </c>
      <c r="B1368" s="109" t="s">
        <v>101</v>
      </c>
      <c r="C1368" s="110" t="s">
        <v>102</v>
      </c>
      <c r="D1368" s="2"/>
      <c r="E1368" s="51"/>
      <c r="F1368" s="105"/>
      <c r="H1368" s="2">
        <v>8</v>
      </c>
      <c r="I1368" s="2">
        <v>0</v>
      </c>
      <c r="J1368" s="2">
        <v>0</v>
      </c>
      <c r="K1368" s="2" t="s">
        <v>861</v>
      </c>
      <c r="L1368" s="2">
        <v>2.29</v>
      </c>
      <c r="M1368" s="2">
        <v>2.5199999999999996</v>
      </c>
      <c r="N1368" s="244">
        <v>8.3849999999999984E-3</v>
      </c>
      <c r="O1368" s="2" t="s">
        <v>934</v>
      </c>
      <c r="P1368" s="2">
        <v>100</v>
      </c>
      <c r="Q1368" s="2" t="s">
        <v>55</v>
      </c>
      <c r="R1368" s="2" t="s">
        <v>101</v>
      </c>
      <c r="S1368" s="2"/>
      <c r="T1368" s="2">
        <v>5</v>
      </c>
      <c r="U1368" s="398">
        <v>0</v>
      </c>
      <c r="V1368" s="7">
        <v>0</v>
      </c>
      <c r="W1368" s="7" t="s">
        <v>1099</v>
      </c>
    </row>
    <row r="1369" spans="1:23" x14ac:dyDescent="0.35">
      <c r="A1369" s="2">
        <v>132</v>
      </c>
      <c r="B1369" s="109" t="s">
        <v>103</v>
      </c>
      <c r="C1369" s="110" t="s">
        <v>104</v>
      </c>
      <c r="D1369" s="2"/>
      <c r="E1369" s="51"/>
      <c r="F1369" s="105"/>
      <c r="H1369" s="2">
        <v>7</v>
      </c>
      <c r="I1369" s="2">
        <v>0</v>
      </c>
      <c r="J1369" s="2">
        <v>0</v>
      </c>
      <c r="K1369" s="2" t="s">
        <v>861</v>
      </c>
      <c r="L1369" s="2">
        <v>2.0037500000000001</v>
      </c>
      <c r="M1369" s="2">
        <v>2.2050000000000001</v>
      </c>
      <c r="N1369" s="244">
        <v>7.3368749999999996E-3</v>
      </c>
      <c r="O1369" s="2" t="s">
        <v>934</v>
      </c>
      <c r="P1369" s="2">
        <v>100</v>
      </c>
      <c r="Q1369" s="2" t="s">
        <v>55</v>
      </c>
      <c r="R1369" s="2" t="s">
        <v>103</v>
      </c>
      <c r="S1369" s="2"/>
      <c r="T1369" s="2">
        <v>5</v>
      </c>
      <c r="U1369" s="398">
        <v>0</v>
      </c>
      <c r="V1369" s="7">
        <v>0</v>
      </c>
      <c r="W1369" s="7" t="s">
        <v>1099</v>
      </c>
    </row>
    <row r="1370" spans="1:23" x14ac:dyDescent="0.35">
      <c r="A1370" s="2">
        <v>132</v>
      </c>
      <c r="B1370" s="109" t="s">
        <v>105</v>
      </c>
      <c r="C1370" s="110" t="s">
        <v>106</v>
      </c>
      <c r="D1370" s="2"/>
      <c r="E1370" s="51"/>
      <c r="F1370" s="105"/>
      <c r="H1370" s="2">
        <v>8</v>
      </c>
      <c r="I1370" s="2">
        <v>0</v>
      </c>
      <c r="J1370" s="2">
        <v>0</v>
      </c>
      <c r="K1370" s="2" t="s">
        <v>861</v>
      </c>
      <c r="L1370" s="2">
        <v>2.29</v>
      </c>
      <c r="M1370" s="2">
        <v>2.5199999999999996</v>
      </c>
      <c r="N1370" s="244">
        <v>8.3849999999999984E-3</v>
      </c>
      <c r="O1370" s="2" t="s">
        <v>934</v>
      </c>
      <c r="P1370" s="2">
        <v>100</v>
      </c>
      <c r="Q1370" s="2" t="s">
        <v>55</v>
      </c>
      <c r="R1370" s="2" t="s">
        <v>105</v>
      </c>
      <c r="S1370" s="2"/>
      <c r="T1370" s="2">
        <v>5</v>
      </c>
      <c r="U1370" s="398">
        <v>0</v>
      </c>
      <c r="V1370" s="7">
        <v>0</v>
      </c>
      <c r="W1370" s="7" t="s">
        <v>1099</v>
      </c>
    </row>
    <row r="1371" spans="1:23" x14ac:dyDescent="0.35">
      <c r="A1371" s="2">
        <v>132</v>
      </c>
      <c r="B1371" s="109" t="s">
        <v>72</v>
      </c>
      <c r="C1371" s="110" t="s">
        <v>73</v>
      </c>
      <c r="D1371" s="2"/>
      <c r="E1371" s="51"/>
      <c r="F1371" s="105"/>
      <c r="H1371" s="2">
        <v>3</v>
      </c>
      <c r="I1371" s="2">
        <v>0</v>
      </c>
      <c r="J1371" s="2">
        <v>0</v>
      </c>
      <c r="K1371" s="2" t="s">
        <v>861</v>
      </c>
      <c r="L1371" s="2">
        <v>1.4624999999999999</v>
      </c>
      <c r="M1371" s="2">
        <v>1.65</v>
      </c>
      <c r="N1371" s="244">
        <v>8.1589920000000003E-3</v>
      </c>
      <c r="O1371" s="2" t="s">
        <v>18</v>
      </c>
      <c r="P1371" s="2">
        <v>100</v>
      </c>
      <c r="Q1371" s="2">
        <v>0</v>
      </c>
      <c r="R1371" s="2" t="s">
        <v>72</v>
      </c>
      <c r="S1371" s="2">
        <v>3</v>
      </c>
      <c r="T1371" s="2">
        <v>6.16</v>
      </c>
      <c r="U1371" s="398">
        <v>0</v>
      </c>
      <c r="V1371" s="7">
        <v>0</v>
      </c>
      <c r="W1371" s="7" t="s">
        <v>1099</v>
      </c>
    </row>
    <row r="1372" spans="1:23" x14ac:dyDescent="0.35">
      <c r="A1372" s="2">
        <v>132</v>
      </c>
      <c r="B1372" s="109" t="s">
        <v>74</v>
      </c>
      <c r="C1372" s="110" t="s">
        <v>75</v>
      </c>
      <c r="D1372" s="2"/>
      <c r="E1372" s="51"/>
      <c r="F1372" s="105"/>
      <c r="H1372" s="2">
        <v>3</v>
      </c>
      <c r="I1372" s="2">
        <v>0</v>
      </c>
      <c r="J1372" s="2">
        <v>0</v>
      </c>
      <c r="K1372" s="2" t="s">
        <v>861</v>
      </c>
      <c r="L1372" s="2">
        <v>1.4624999999999999</v>
      </c>
      <c r="M1372" s="2">
        <v>1.65</v>
      </c>
      <c r="N1372" s="244">
        <v>8.1589920000000003E-3</v>
      </c>
      <c r="O1372" s="2" t="s">
        <v>18</v>
      </c>
      <c r="P1372" s="2">
        <v>100</v>
      </c>
      <c r="Q1372" s="2">
        <v>0</v>
      </c>
      <c r="R1372" s="2" t="s">
        <v>74</v>
      </c>
      <c r="S1372" s="2">
        <v>3</v>
      </c>
      <c r="T1372" s="2">
        <v>6.16</v>
      </c>
      <c r="U1372" s="398">
        <v>0</v>
      </c>
      <c r="V1372" s="7">
        <v>0</v>
      </c>
      <c r="W1372" s="7" t="s">
        <v>1099</v>
      </c>
    </row>
    <row r="1373" spans="1:23" x14ac:dyDescent="0.35">
      <c r="A1373" s="2">
        <v>132</v>
      </c>
      <c r="B1373" s="109" t="s">
        <v>76</v>
      </c>
      <c r="C1373" s="110" t="s">
        <v>77</v>
      </c>
      <c r="D1373" s="2"/>
      <c r="E1373" s="51"/>
      <c r="F1373" s="105"/>
      <c r="H1373" s="2">
        <v>3</v>
      </c>
      <c r="I1373" s="2">
        <v>0</v>
      </c>
      <c r="J1373" s="2">
        <v>0</v>
      </c>
      <c r="K1373" s="2" t="s">
        <v>861</v>
      </c>
      <c r="L1373" s="2">
        <v>1.4624999999999999</v>
      </c>
      <c r="M1373" s="2">
        <v>1.65</v>
      </c>
      <c r="N1373" s="244">
        <v>8.1589920000000003E-3</v>
      </c>
      <c r="O1373" s="2" t="s">
        <v>18</v>
      </c>
      <c r="P1373" s="2">
        <v>100</v>
      </c>
      <c r="Q1373" s="2">
        <v>0</v>
      </c>
      <c r="R1373" s="2" t="s">
        <v>76</v>
      </c>
      <c r="S1373" s="2">
        <v>3</v>
      </c>
      <c r="T1373" s="2">
        <v>6.16</v>
      </c>
      <c r="U1373" s="398">
        <v>0</v>
      </c>
      <c r="V1373" s="7">
        <v>0</v>
      </c>
      <c r="W1373" s="7" t="s">
        <v>1099</v>
      </c>
    </row>
    <row r="1374" spans="1:23" x14ac:dyDescent="0.35">
      <c r="A1374" s="2">
        <v>132</v>
      </c>
      <c r="B1374" s="109" t="s">
        <v>78</v>
      </c>
      <c r="C1374" s="110" t="s">
        <v>79</v>
      </c>
      <c r="D1374" s="2"/>
      <c r="E1374" s="51"/>
      <c r="F1374" s="105"/>
      <c r="H1374" s="2">
        <v>3</v>
      </c>
      <c r="I1374" s="2">
        <v>0</v>
      </c>
      <c r="J1374" s="2">
        <v>0</v>
      </c>
      <c r="K1374" s="2" t="s">
        <v>861</v>
      </c>
      <c r="L1374" s="2">
        <v>1.4624999999999999</v>
      </c>
      <c r="M1374" s="2">
        <v>1.65</v>
      </c>
      <c r="N1374" s="244">
        <v>8.1589920000000003E-3</v>
      </c>
      <c r="O1374" s="2" t="s">
        <v>18</v>
      </c>
      <c r="P1374" s="2">
        <v>100</v>
      </c>
      <c r="Q1374" s="2">
        <v>0</v>
      </c>
      <c r="R1374" s="2" t="s">
        <v>78</v>
      </c>
      <c r="S1374" s="2">
        <v>3</v>
      </c>
      <c r="T1374" s="2">
        <v>6.16</v>
      </c>
      <c r="U1374" s="398">
        <v>0</v>
      </c>
      <c r="V1374" s="7">
        <v>0</v>
      </c>
      <c r="W1374" s="7" t="s">
        <v>1099</v>
      </c>
    </row>
    <row r="1375" spans="1:23" x14ac:dyDescent="0.35">
      <c r="A1375" s="2">
        <v>132</v>
      </c>
      <c r="B1375" s="109" t="s">
        <v>80</v>
      </c>
      <c r="C1375" s="110" t="s">
        <v>81</v>
      </c>
      <c r="D1375" s="2"/>
      <c r="E1375" s="51"/>
      <c r="F1375" s="105"/>
      <c r="H1375" s="2">
        <v>3</v>
      </c>
      <c r="I1375" s="2">
        <v>0</v>
      </c>
      <c r="J1375" s="2">
        <v>0</v>
      </c>
      <c r="K1375" s="2" t="s">
        <v>861</v>
      </c>
      <c r="L1375" s="2">
        <v>1.3125</v>
      </c>
      <c r="M1375" s="2">
        <v>1.5</v>
      </c>
      <c r="N1375" s="244">
        <v>8.0155000000000001E-3</v>
      </c>
      <c r="O1375" s="2" t="s">
        <v>18</v>
      </c>
      <c r="P1375" s="2">
        <v>100</v>
      </c>
      <c r="Q1375" s="2">
        <v>0</v>
      </c>
      <c r="R1375" s="2" t="s">
        <v>80</v>
      </c>
      <c r="S1375" s="2">
        <v>3</v>
      </c>
      <c r="T1375" s="2">
        <v>6.16</v>
      </c>
      <c r="U1375" s="398">
        <v>0</v>
      </c>
      <c r="V1375" s="7">
        <v>0</v>
      </c>
      <c r="W1375" s="7" t="s">
        <v>1099</v>
      </c>
    </row>
    <row r="1376" spans="1:23" x14ac:dyDescent="0.35">
      <c r="A1376" s="2">
        <v>132</v>
      </c>
      <c r="B1376" s="109" t="s">
        <v>82</v>
      </c>
      <c r="C1376" s="110" t="s">
        <v>83</v>
      </c>
      <c r="D1376" s="2"/>
      <c r="E1376" s="51"/>
      <c r="F1376" s="105"/>
      <c r="H1376" s="2">
        <v>3</v>
      </c>
      <c r="I1376" s="2">
        <v>0</v>
      </c>
      <c r="J1376" s="2">
        <v>0</v>
      </c>
      <c r="K1376" s="2">
        <v>1</v>
      </c>
      <c r="L1376" s="2">
        <v>1.3125</v>
      </c>
      <c r="M1376" s="2">
        <v>1.5</v>
      </c>
      <c r="N1376" s="244">
        <v>8.0155000000000001E-3</v>
      </c>
      <c r="O1376" s="2" t="s">
        <v>18</v>
      </c>
      <c r="P1376" s="2">
        <v>100</v>
      </c>
      <c r="Q1376" s="2">
        <v>0</v>
      </c>
      <c r="R1376" s="2" t="s">
        <v>82</v>
      </c>
      <c r="S1376" s="2">
        <v>3</v>
      </c>
      <c r="T1376" s="2">
        <v>6.16</v>
      </c>
      <c r="U1376" s="398">
        <v>0</v>
      </c>
      <c r="V1376" s="7">
        <v>0</v>
      </c>
      <c r="W1376" s="7" t="s">
        <v>1099</v>
      </c>
    </row>
    <row r="1377" spans="1:23" x14ac:dyDescent="0.35">
      <c r="A1377" s="2">
        <v>132</v>
      </c>
      <c r="B1377" s="109" t="s">
        <v>84</v>
      </c>
      <c r="C1377" s="110" t="s">
        <v>85</v>
      </c>
      <c r="D1377" s="2"/>
      <c r="E1377" s="51"/>
      <c r="F1377" s="105"/>
      <c r="H1377" s="2">
        <v>3</v>
      </c>
      <c r="I1377" s="2">
        <v>0</v>
      </c>
      <c r="J1377" s="2">
        <v>0</v>
      </c>
      <c r="K1377" s="2" t="s">
        <v>861</v>
      </c>
      <c r="L1377" s="2">
        <v>1.3125</v>
      </c>
      <c r="M1377" s="2">
        <v>1.5</v>
      </c>
      <c r="N1377" s="244">
        <v>8.0155000000000001E-3</v>
      </c>
      <c r="O1377" s="2" t="s">
        <v>18</v>
      </c>
      <c r="P1377" s="2">
        <v>100</v>
      </c>
      <c r="Q1377" s="2">
        <v>0</v>
      </c>
      <c r="R1377" s="2" t="s">
        <v>84</v>
      </c>
      <c r="S1377" s="2">
        <v>3</v>
      </c>
      <c r="T1377" s="2">
        <v>6.16</v>
      </c>
      <c r="U1377" s="398">
        <v>0</v>
      </c>
      <c r="V1377" s="7">
        <v>0</v>
      </c>
      <c r="W1377" s="7" t="s">
        <v>1099</v>
      </c>
    </row>
    <row r="1378" spans="1:23" x14ac:dyDescent="0.35">
      <c r="A1378" s="2">
        <v>132</v>
      </c>
      <c r="B1378" s="109" t="s">
        <v>86</v>
      </c>
      <c r="C1378" s="110" t="s">
        <v>87</v>
      </c>
      <c r="D1378" s="2"/>
      <c r="E1378" s="51"/>
      <c r="F1378" s="105"/>
      <c r="H1378" s="2">
        <v>3</v>
      </c>
      <c r="I1378" s="2">
        <v>0</v>
      </c>
      <c r="J1378" s="2">
        <v>0</v>
      </c>
      <c r="K1378" s="2" t="s">
        <v>861</v>
      </c>
      <c r="L1378" s="2">
        <v>1.3125</v>
      </c>
      <c r="M1378" s="2">
        <v>1.5</v>
      </c>
      <c r="N1378" s="244">
        <v>8.0155000000000001E-3</v>
      </c>
      <c r="O1378" s="2" t="s">
        <v>18</v>
      </c>
      <c r="P1378" s="2">
        <v>100</v>
      </c>
      <c r="Q1378" s="2">
        <v>0</v>
      </c>
      <c r="R1378" s="2" t="s">
        <v>86</v>
      </c>
      <c r="S1378" s="2">
        <v>3</v>
      </c>
      <c r="T1378" s="2">
        <v>6.16</v>
      </c>
      <c r="U1378" s="398">
        <v>0</v>
      </c>
      <c r="V1378" s="7">
        <v>0</v>
      </c>
      <c r="W1378" s="7" t="s">
        <v>1099</v>
      </c>
    </row>
    <row r="1379" spans="1:23" x14ac:dyDescent="0.35">
      <c r="A1379" s="2">
        <v>133</v>
      </c>
      <c r="B1379" s="109" t="s">
        <v>72</v>
      </c>
      <c r="C1379" s="110" t="s">
        <v>73</v>
      </c>
      <c r="D1379" s="2">
        <v>3</v>
      </c>
      <c r="E1379" s="51"/>
      <c r="F1379" s="105"/>
      <c r="H1379" s="2"/>
      <c r="L1379" s="2"/>
      <c r="M1379" s="2"/>
      <c r="N1379" s="244"/>
      <c r="O1379" s="2"/>
      <c r="P1379" s="2"/>
      <c r="Q1379" s="2"/>
      <c r="R1379" s="2"/>
      <c r="S1379" s="2"/>
      <c r="T1379" s="2"/>
      <c r="U1379" s="398"/>
      <c r="V1379" s="7"/>
      <c r="W1379" s="7"/>
    </row>
    <row r="1380" spans="1:23" x14ac:dyDescent="0.35">
      <c r="A1380" s="2">
        <v>133</v>
      </c>
      <c r="B1380" s="109" t="s">
        <v>74</v>
      </c>
      <c r="C1380" s="110" t="s">
        <v>75</v>
      </c>
      <c r="D1380" s="2">
        <v>3</v>
      </c>
      <c r="E1380" s="51"/>
      <c r="F1380" s="105"/>
      <c r="H1380" s="2"/>
      <c r="L1380" s="2"/>
      <c r="M1380" s="2"/>
      <c r="N1380" s="244"/>
      <c r="O1380" s="2"/>
      <c r="P1380" s="2"/>
      <c r="Q1380" s="2"/>
      <c r="R1380" s="2"/>
      <c r="S1380" s="2"/>
      <c r="T1380" s="2"/>
      <c r="U1380" s="398"/>
      <c r="V1380" s="7"/>
      <c r="W1380" s="7"/>
    </row>
    <row r="1381" spans="1:23" x14ac:dyDescent="0.35">
      <c r="A1381" s="2">
        <v>133</v>
      </c>
      <c r="B1381" s="109" t="s">
        <v>76</v>
      </c>
      <c r="C1381" s="110" t="s">
        <v>77</v>
      </c>
      <c r="D1381" s="2">
        <v>3</v>
      </c>
      <c r="E1381" s="51"/>
      <c r="F1381" s="105"/>
      <c r="H1381" s="2"/>
      <c r="L1381" s="2"/>
      <c r="M1381" s="2"/>
      <c r="N1381" s="244"/>
      <c r="O1381" s="2"/>
      <c r="P1381" s="2"/>
      <c r="Q1381" s="2"/>
      <c r="R1381" s="2"/>
      <c r="S1381" s="2"/>
      <c r="T1381" s="2"/>
      <c r="U1381" s="398"/>
      <c r="V1381" s="7"/>
      <c r="W1381" s="7"/>
    </row>
    <row r="1382" spans="1:23" x14ac:dyDescent="0.35">
      <c r="A1382" s="2">
        <v>133</v>
      </c>
      <c r="B1382" s="109" t="s">
        <v>78</v>
      </c>
      <c r="C1382" s="110" t="s">
        <v>79</v>
      </c>
      <c r="D1382" s="2">
        <v>3</v>
      </c>
      <c r="E1382" s="51"/>
      <c r="F1382" s="105"/>
      <c r="H1382" s="2"/>
      <c r="L1382" s="2"/>
      <c r="M1382" s="2"/>
      <c r="N1382" s="244"/>
      <c r="O1382" s="2"/>
      <c r="P1382" s="2"/>
      <c r="Q1382" s="2"/>
      <c r="R1382" s="2"/>
      <c r="S1382" s="2"/>
      <c r="T1382" s="2"/>
      <c r="U1382" s="398"/>
      <c r="V1382" s="7"/>
      <c r="W1382" s="7"/>
    </row>
    <row r="1383" spans="1:23" x14ac:dyDescent="0.35">
      <c r="A1383" s="2">
        <v>133</v>
      </c>
      <c r="B1383" s="109" t="s">
        <v>80</v>
      </c>
      <c r="C1383" s="110" t="s">
        <v>81</v>
      </c>
      <c r="D1383" s="2">
        <v>3</v>
      </c>
      <c r="E1383" s="51"/>
      <c r="F1383" s="105"/>
      <c r="H1383" s="2"/>
      <c r="L1383" s="2"/>
      <c r="M1383" s="2"/>
      <c r="N1383" s="244"/>
      <c r="O1383" s="2"/>
      <c r="P1383" s="2"/>
      <c r="Q1383" s="2"/>
      <c r="R1383" s="2"/>
      <c r="S1383" s="2"/>
      <c r="T1383" s="2"/>
      <c r="U1383" s="398"/>
      <c r="V1383" s="7"/>
      <c r="W1383" s="7"/>
    </row>
    <row r="1384" spans="1:23" x14ac:dyDescent="0.35">
      <c r="A1384" s="2">
        <v>133</v>
      </c>
      <c r="B1384" s="109" t="s">
        <v>82</v>
      </c>
      <c r="C1384" s="110" t="s">
        <v>83</v>
      </c>
      <c r="D1384" s="2">
        <v>3</v>
      </c>
      <c r="E1384" s="51"/>
      <c r="F1384" s="105"/>
      <c r="H1384" s="2"/>
      <c r="L1384" s="2"/>
      <c r="M1384" s="2"/>
      <c r="N1384" s="244"/>
      <c r="O1384" s="2"/>
      <c r="P1384" s="2"/>
      <c r="Q1384" s="2"/>
      <c r="R1384" s="2"/>
      <c r="S1384" s="2"/>
      <c r="T1384" s="2"/>
      <c r="U1384" s="398"/>
      <c r="V1384" s="7"/>
      <c r="W1384" s="7"/>
    </row>
    <row r="1385" spans="1:23" x14ac:dyDescent="0.35">
      <c r="A1385" s="2">
        <v>133</v>
      </c>
      <c r="B1385" s="109" t="s">
        <v>84</v>
      </c>
      <c r="C1385" s="110" t="s">
        <v>85</v>
      </c>
      <c r="D1385" s="2">
        <v>3</v>
      </c>
      <c r="E1385" s="51"/>
      <c r="F1385" s="105"/>
      <c r="H1385" s="2"/>
      <c r="L1385" s="2"/>
      <c r="M1385" s="2"/>
      <c r="N1385" s="244"/>
      <c r="O1385" s="2"/>
      <c r="P1385" s="2"/>
      <c r="Q1385" s="2"/>
      <c r="R1385" s="2"/>
      <c r="S1385" s="2"/>
      <c r="T1385" s="2"/>
      <c r="U1385" s="398"/>
      <c r="V1385" s="7"/>
      <c r="W1385" s="7"/>
    </row>
    <row r="1386" spans="1:23" x14ac:dyDescent="0.35">
      <c r="A1386" s="2">
        <v>133</v>
      </c>
      <c r="B1386" s="109" t="s">
        <v>86</v>
      </c>
      <c r="C1386" s="110" t="s">
        <v>87</v>
      </c>
      <c r="D1386" s="2">
        <v>3</v>
      </c>
      <c r="E1386" s="51"/>
      <c r="F1386" s="105"/>
      <c r="H1386" s="2"/>
      <c r="L1386" s="2"/>
      <c r="M1386" s="2"/>
      <c r="N1386" s="244"/>
      <c r="O1386" s="2"/>
      <c r="P1386" s="2"/>
      <c r="Q1386" s="2"/>
      <c r="R1386" s="2"/>
      <c r="S1386" s="2"/>
      <c r="T1386" s="2"/>
      <c r="U1386" s="398"/>
      <c r="V1386" s="7"/>
      <c r="W1386" s="7"/>
    </row>
    <row r="1387" spans="1:23" x14ac:dyDescent="0.35">
      <c r="A1387" s="2">
        <v>133</v>
      </c>
      <c r="B1387" s="109" t="s">
        <v>91</v>
      </c>
      <c r="C1387" s="110" t="s">
        <v>57</v>
      </c>
      <c r="D1387" s="2">
        <v>-3</v>
      </c>
      <c r="E1387" s="51"/>
      <c r="F1387" s="105"/>
      <c r="H1387" s="2"/>
      <c r="L1387" s="2"/>
      <c r="M1387" s="2"/>
      <c r="N1387" s="244"/>
      <c r="O1387" s="2"/>
      <c r="P1387" s="2"/>
      <c r="Q1387" s="2"/>
      <c r="R1387" s="2"/>
      <c r="S1387" s="2"/>
      <c r="T1387" s="2"/>
      <c r="U1387" s="398"/>
      <c r="V1387" s="7" t="s">
        <v>1334</v>
      </c>
      <c r="W1387" s="7"/>
    </row>
    <row r="1388" spans="1:23" x14ac:dyDescent="0.35">
      <c r="A1388" s="2">
        <v>133</v>
      </c>
      <c r="B1388" s="109" t="s">
        <v>160</v>
      </c>
      <c r="C1388" s="110" t="s">
        <v>153</v>
      </c>
      <c r="D1388" s="2">
        <v>-3</v>
      </c>
      <c r="E1388" s="51"/>
      <c r="F1388" s="105"/>
      <c r="H1388" s="2"/>
      <c r="L1388" s="2"/>
      <c r="M1388" s="2"/>
      <c r="N1388" s="244"/>
      <c r="O1388" s="2"/>
      <c r="P1388" s="2"/>
      <c r="Q1388" s="2"/>
      <c r="R1388" s="2"/>
      <c r="S1388" s="2"/>
      <c r="T1388" s="2"/>
      <c r="U1388" s="398"/>
      <c r="V1388" s="7" t="s">
        <v>1334</v>
      </c>
      <c r="W1388" s="7"/>
    </row>
    <row r="1389" spans="1:23" x14ac:dyDescent="0.35">
      <c r="A1389" s="2">
        <v>133</v>
      </c>
      <c r="B1389" s="109" t="s">
        <v>713</v>
      </c>
      <c r="C1389" s="110" t="s">
        <v>976</v>
      </c>
      <c r="D1389" s="2">
        <v>-3</v>
      </c>
      <c r="E1389" s="51"/>
      <c r="F1389" s="105"/>
      <c r="H1389" s="2"/>
      <c r="L1389" s="2"/>
      <c r="M1389" s="2"/>
      <c r="N1389" s="244"/>
      <c r="O1389" s="2"/>
      <c r="P1389" s="2"/>
      <c r="Q1389" s="2"/>
      <c r="R1389" s="2"/>
      <c r="S1389" s="2"/>
      <c r="T1389" s="2"/>
      <c r="U1389" s="398"/>
      <c r="V1389" s="7" t="s">
        <v>1334</v>
      </c>
      <c r="W1389" s="7"/>
    </row>
    <row r="1390" spans="1:23" x14ac:dyDescent="0.35">
      <c r="A1390" s="2">
        <v>133</v>
      </c>
      <c r="B1390" s="109" t="s">
        <v>755</v>
      </c>
      <c r="C1390" s="110" t="s">
        <v>977</v>
      </c>
      <c r="D1390" s="2">
        <v>-3</v>
      </c>
      <c r="E1390" s="51"/>
      <c r="F1390" s="105"/>
      <c r="H1390" s="2"/>
      <c r="L1390" s="2"/>
      <c r="M1390" s="2"/>
      <c r="N1390" s="244"/>
      <c r="O1390" s="2"/>
      <c r="P1390" s="2"/>
      <c r="Q1390" s="2"/>
      <c r="R1390" s="2"/>
      <c r="S1390" s="2"/>
      <c r="T1390" s="2"/>
      <c r="U1390" s="398"/>
      <c r="V1390" s="7" t="s">
        <v>1334</v>
      </c>
      <c r="W1390" s="7"/>
    </row>
    <row r="1391" spans="1:23" x14ac:dyDescent="0.35">
      <c r="A1391" s="2">
        <v>133</v>
      </c>
      <c r="B1391" s="109" t="s">
        <v>1666</v>
      </c>
      <c r="C1391" s="110" t="s">
        <v>1038</v>
      </c>
      <c r="D1391" s="2">
        <v>-0.25</v>
      </c>
      <c r="E1391" s="51"/>
      <c r="F1391" s="105"/>
      <c r="H1391" s="2"/>
      <c r="L1391" s="2"/>
      <c r="M1391" s="2"/>
      <c r="N1391" s="244"/>
      <c r="O1391" s="2"/>
      <c r="P1391" s="2"/>
      <c r="Q1391" s="2"/>
      <c r="R1391" s="2"/>
      <c r="S1391" s="2"/>
      <c r="T1391" s="2"/>
      <c r="U1391" s="398"/>
      <c r="V1391" s="7" t="s">
        <v>1334</v>
      </c>
      <c r="W1391" s="7"/>
    </row>
    <row r="1392" spans="1:23" x14ac:dyDescent="0.35">
      <c r="A1392" s="2">
        <v>133</v>
      </c>
      <c r="B1392" s="109" t="s">
        <v>93</v>
      </c>
      <c r="C1392" s="110" t="s">
        <v>57</v>
      </c>
      <c r="D1392" s="2">
        <v>-3</v>
      </c>
      <c r="E1392" s="51"/>
      <c r="F1392" s="105"/>
      <c r="H1392" s="2"/>
      <c r="L1392" s="2"/>
      <c r="M1392" s="2"/>
      <c r="N1392" s="244"/>
      <c r="O1392" s="2"/>
      <c r="P1392" s="2"/>
      <c r="Q1392" s="2"/>
      <c r="R1392" s="2"/>
      <c r="S1392" s="2"/>
      <c r="T1392" s="2"/>
      <c r="U1392" s="398"/>
      <c r="V1392" s="7" t="s">
        <v>1334</v>
      </c>
      <c r="W1392" s="7"/>
    </row>
    <row r="1393" spans="1:23" x14ac:dyDescent="0.35">
      <c r="A1393" s="2">
        <v>133</v>
      </c>
      <c r="B1393" s="109" t="s">
        <v>162</v>
      </c>
      <c r="C1393" s="110" t="s">
        <v>153</v>
      </c>
      <c r="D1393" s="2">
        <v>-3</v>
      </c>
      <c r="E1393" s="51"/>
      <c r="F1393" s="105"/>
      <c r="H1393" s="2"/>
      <c r="L1393" s="2"/>
      <c r="M1393" s="2"/>
      <c r="N1393" s="244"/>
      <c r="O1393" s="2"/>
      <c r="P1393" s="2"/>
      <c r="Q1393" s="2"/>
      <c r="R1393" s="2"/>
      <c r="S1393" s="2"/>
      <c r="T1393" s="2"/>
      <c r="U1393" s="398"/>
      <c r="V1393" s="7" t="s">
        <v>1334</v>
      </c>
      <c r="W1393" s="7"/>
    </row>
    <row r="1394" spans="1:23" x14ac:dyDescent="0.35">
      <c r="A1394" s="2">
        <v>133</v>
      </c>
      <c r="B1394" s="109" t="s">
        <v>714</v>
      </c>
      <c r="C1394" s="110" t="s">
        <v>976</v>
      </c>
      <c r="D1394" s="2">
        <v>-3</v>
      </c>
      <c r="E1394" s="51"/>
      <c r="F1394" s="105"/>
      <c r="H1394" s="2"/>
      <c r="L1394" s="2"/>
      <c r="M1394" s="2"/>
      <c r="N1394" s="244"/>
      <c r="O1394" s="2"/>
      <c r="P1394" s="2"/>
      <c r="Q1394" s="2"/>
      <c r="R1394" s="2"/>
      <c r="S1394" s="2"/>
      <c r="T1394" s="2"/>
      <c r="U1394" s="398"/>
      <c r="V1394" s="7" t="s">
        <v>1334</v>
      </c>
      <c r="W1394" s="7"/>
    </row>
    <row r="1395" spans="1:23" x14ac:dyDescent="0.35">
      <c r="A1395" s="2">
        <v>133</v>
      </c>
      <c r="B1395" s="109" t="s">
        <v>755</v>
      </c>
      <c r="C1395" s="110" t="s">
        <v>977</v>
      </c>
      <c r="D1395" s="2">
        <v>-3</v>
      </c>
      <c r="E1395" s="51"/>
      <c r="F1395" s="105"/>
      <c r="H1395" s="2"/>
      <c r="L1395" s="2"/>
      <c r="M1395" s="2"/>
      <c r="N1395" s="244"/>
      <c r="O1395" s="2"/>
      <c r="P1395" s="2"/>
      <c r="Q1395" s="2"/>
      <c r="R1395" s="2"/>
      <c r="S1395" s="2"/>
      <c r="T1395" s="2"/>
      <c r="U1395" s="398"/>
      <c r="V1395" s="7" t="s">
        <v>1334</v>
      </c>
      <c r="W1395" s="7"/>
    </row>
    <row r="1396" spans="1:23" x14ac:dyDescent="0.35">
      <c r="A1396" s="2">
        <v>133</v>
      </c>
      <c r="B1396" s="109" t="s">
        <v>1666</v>
      </c>
      <c r="C1396" s="110" t="s">
        <v>1038</v>
      </c>
      <c r="D1396" s="2">
        <v>-0.25</v>
      </c>
      <c r="E1396" s="51"/>
      <c r="F1396" s="105"/>
      <c r="H1396" s="2"/>
      <c r="L1396" s="2"/>
      <c r="M1396" s="2"/>
      <c r="N1396" s="244"/>
      <c r="O1396" s="2"/>
      <c r="P1396" s="2"/>
      <c r="Q1396" s="2"/>
      <c r="R1396" s="2"/>
      <c r="S1396" s="2"/>
      <c r="T1396" s="2"/>
      <c r="U1396" s="398"/>
      <c r="V1396" s="7" t="s">
        <v>1334</v>
      </c>
      <c r="W1396" s="7"/>
    </row>
    <row r="1397" spans="1:23" x14ac:dyDescent="0.35">
      <c r="A1397" s="2">
        <v>133</v>
      </c>
      <c r="B1397" s="109" t="s">
        <v>95</v>
      </c>
      <c r="C1397" s="110" t="s">
        <v>57</v>
      </c>
      <c r="D1397" s="2">
        <v>-3</v>
      </c>
      <c r="E1397" s="51"/>
      <c r="F1397" s="105"/>
      <c r="H1397" s="2"/>
      <c r="L1397" s="2"/>
      <c r="M1397" s="2"/>
      <c r="N1397" s="244"/>
      <c r="O1397" s="2"/>
      <c r="P1397" s="2"/>
      <c r="Q1397" s="2"/>
      <c r="R1397" s="2"/>
      <c r="S1397" s="2"/>
      <c r="T1397" s="2"/>
      <c r="U1397" s="398"/>
      <c r="V1397" s="7" t="s">
        <v>1334</v>
      </c>
      <c r="W1397" s="7"/>
    </row>
    <row r="1398" spans="1:23" x14ac:dyDescent="0.35">
      <c r="A1398" s="2">
        <v>133</v>
      </c>
      <c r="B1398" s="109" t="s">
        <v>164</v>
      </c>
      <c r="C1398" s="110" t="s">
        <v>153</v>
      </c>
      <c r="D1398" s="2">
        <v>-3</v>
      </c>
      <c r="E1398" s="51"/>
      <c r="F1398" s="105"/>
      <c r="H1398" s="2"/>
      <c r="L1398" s="2"/>
      <c r="M1398" s="2"/>
      <c r="N1398" s="244"/>
      <c r="O1398" s="2"/>
      <c r="P1398" s="2"/>
      <c r="Q1398" s="2"/>
      <c r="R1398" s="2"/>
      <c r="S1398" s="2"/>
      <c r="T1398" s="2"/>
      <c r="U1398" s="398"/>
      <c r="V1398" s="7" t="s">
        <v>1334</v>
      </c>
      <c r="W1398" s="7"/>
    </row>
    <row r="1399" spans="1:23" x14ac:dyDescent="0.35">
      <c r="A1399" s="2">
        <v>133</v>
      </c>
      <c r="B1399" s="109" t="s">
        <v>715</v>
      </c>
      <c r="C1399" s="110" t="s">
        <v>976</v>
      </c>
      <c r="D1399" s="2">
        <v>-3</v>
      </c>
      <c r="E1399" s="51"/>
      <c r="F1399" s="105"/>
      <c r="H1399" s="2"/>
      <c r="L1399" s="2"/>
      <c r="M1399" s="2"/>
      <c r="N1399" s="244"/>
      <c r="O1399" s="2"/>
      <c r="P1399" s="2"/>
      <c r="Q1399" s="2"/>
      <c r="R1399" s="2"/>
      <c r="S1399" s="2"/>
      <c r="T1399" s="2"/>
      <c r="U1399" s="398"/>
      <c r="V1399" s="7" t="s">
        <v>1334</v>
      </c>
      <c r="W1399" s="7"/>
    </row>
    <row r="1400" spans="1:23" x14ac:dyDescent="0.35">
      <c r="A1400" s="2">
        <v>133</v>
      </c>
      <c r="B1400" s="109" t="s">
        <v>755</v>
      </c>
      <c r="C1400" s="110" t="s">
        <v>977</v>
      </c>
      <c r="D1400" s="2">
        <v>-3</v>
      </c>
      <c r="E1400" s="51"/>
      <c r="F1400" s="105"/>
      <c r="H1400" s="2"/>
      <c r="L1400" s="2"/>
      <c r="M1400" s="2"/>
      <c r="N1400" s="244"/>
      <c r="O1400" s="2"/>
      <c r="P1400" s="2"/>
      <c r="Q1400" s="2"/>
      <c r="R1400" s="2"/>
      <c r="S1400" s="2"/>
      <c r="T1400" s="2"/>
      <c r="U1400" s="398"/>
      <c r="V1400" s="7" t="s">
        <v>1334</v>
      </c>
      <c r="W1400" s="7"/>
    </row>
    <row r="1401" spans="1:23" x14ac:dyDescent="0.35">
      <c r="A1401" s="2">
        <v>133</v>
      </c>
      <c r="B1401" s="109" t="s">
        <v>1666</v>
      </c>
      <c r="C1401" s="110" t="s">
        <v>1038</v>
      </c>
      <c r="D1401" s="2">
        <v>-0.25</v>
      </c>
      <c r="E1401" s="51"/>
      <c r="F1401" s="105"/>
      <c r="H1401" s="2"/>
      <c r="L1401" s="2"/>
      <c r="M1401" s="2"/>
      <c r="N1401" s="244"/>
      <c r="O1401" s="2"/>
      <c r="P1401" s="2"/>
      <c r="Q1401" s="2"/>
      <c r="R1401" s="2"/>
      <c r="S1401" s="2"/>
      <c r="T1401" s="2"/>
      <c r="U1401" s="398"/>
      <c r="V1401" s="7" t="s">
        <v>1334</v>
      </c>
      <c r="W1401" s="7"/>
    </row>
    <row r="1402" spans="1:23" x14ac:dyDescent="0.35">
      <c r="A1402" s="2">
        <v>133</v>
      </c>
      <c r="B1402" s="109" t="s">
        <v>97</v>
      </c>
      <c r="C1402" s="110" t="s">
        <v>57</v>
      </c>
      <c r="D1402" s="2">
        <v>-3</v>
      </c>
      <c r="E1402" s="51"/>
      <c r="F1402" s="105"/>
      <c r="H1402" s="2"/>
      <c r="L1402" s="2"/>
      <c r="M1402" s="2"/>
      <c r="N1402" s="244"/>
      <c r="O1402" s="2"/>
      <c r="P1402" s="2"/>
      <c r="Q1402" s="2"/>
      <c r="R1402" s="2"/>
      <c r="S1402" s="2"/>
      <c r="T1402" s="2"/>
      <c r="U1402" s="398"/>
      <c r="V1402" s="7" t="s">
        <v>1334</v>
      </c>
      <c r="W1402" s="7"/>
    </row>
    <row r="1403" spans="1:23" x14ac:dyDescent="0.35">
      <c r="A1403" s="2">
        <v>133</v>
      </c>
      <c r="B1403" s="109" t="s">
        <v>166</v>
      </c>
      <c r="C1403" s="110" t="s">
        <v>153</v>
      </c>
      <c r="D1403" s="2">
        <v>-3</v>
      </c>
      <c r="E1403" s="51"/>
      <c r="F1403" s="105"/>
      <c r="H1403" s="2"/>
      <c r="L1403" s="2"/>
      <c r="M1403" s="2"/>
      <c r="N1403" s="244"/>
      <c r="O1403" s="2"/>
      <c r="P1403" s="2"/>
      <c r="Q1403" s="2"/>
      <c r="R1403" s="2"/>
      <c r="S1403" s="2"/>
      <c r="T1403" s="2"/>
      <c r="U1403" s="398"/>
      <c r="V1403" s="7" t="s">
        <v>1334</v>
      </c>
      <c r="W1403" s="7"/>
    </row>
    <row r="1404" spans="1:23" x14ac:dyDescent="0.35">
      <c r="A1404" s="2">
        <v>133</v>
      </c>
      <c r="B1404" s="109" t="s">
        <v>716</v>
      </c>
      <c r="C1404" s="110" t="s">
        <v>976</v>
      </c>
      <c r="D1404" s="2">
        <v>-3</v>
      </c>
      <c r="E1404" s="51"/>
      <c r="F1404" s="105"/>
      <c r="H1404" s="2"/>
      <c r="L1404" s="2"/>
      <c r="M1404" s="2"/>
      <c r="N1404" s="244"/>
      <c r="O1404" s="2"/>
      <c r="P1404" s="2"/>
      <c r="Q1404" s="2"/>
      <c r="R1404" s="2"/>
      <c r="S1404" s="2"/>
      <c r="T1404" s="2"/>
      <c r="U1404" s="398"/>
      <c r="V1404" s="7" t="s">
        <v>1334</v>
      </c>
      <c r="W1404" s="7"/>
    </row>
    <row r="1405" spans="1:23" x14ac:dyDescent="0.35">
      <c r="A1405" s="2">
        <v>133</v>
      </c>
      <c r="B1405" s="109" t="s">
        <v>755</v>
      </c>
      <c r="C1405" s="110" t="s">
        <v>977</v>
      </c>
      <c r="D1405" s="2">
        <v>-3</v>
      </c>
      <c r="E1405" s="51"/>
      <c r="F1405" s="105"/>
      <c r="H1405" s="2"/>
      <c r="L1405" s="2"/>
      <c r="M1405" s="2"/>
      <c r="N1405" s="244"/>
      <c r="O1405" s="2"/>
      <c r="P1405" s="2"/>
      <c r="Q1405" s="2"/>
      <c r="R1405" s="2"/>
      <c r="S1405" s="2"/>
      <c r="T1405" s="2"/>
      <c r="U1405" s="398"/>
      <c r="V1405" s="7" t="s">
        <v>1334</v>
      </c>
      <c r="W1405" s="7"/>
    </row>
    <row r="1406" spans="1:23" x14ac:dyDescent="0.35">
      <c r="A1406" s="2">
        <v>133</v>
      </c>
      <c r="B1406" s="109" t="s">
        <v>1666</v>
      </c>
      <c r="C1406" s="110" t="s">
        <v>1038</v>
      </c>
      <c r="D1406" s="2">
        <v>-0.25</v>
      </c>
      <c r="E1406" s="51"/>
      <c r="F1406" s="105"/>
      <c r="H1406" s="2"/>
      <c r="L1406" s="2"/>
      <c r="M1406" s="2"/>
      <c r="N1406" s="244"/>
      <c r="O1406" s="2"/>
      <c r="P1406" s="2"/>
      <c r="Q1406" s="2"/>
      <c r="R1406" s="2"/>
      <c r="S1406" s="2"/>
      <c r="T1406" s="2"/>
      <c r="U1406" s="398"/>
      <c r="V1406" s="7" t="s">
        <v>1334</v>
      </c>
      <c r="W1406" s="7"/>
    </row>
    <row r="1407" spans="1:23" x14ac:dyDescent="0.35">
      <c r="A1407" s="2">
        <v>133</v>
      </c>
      <c r="B1407" s="109" t="s">
        <v>99</v>
      </c>
      <c r="C1407" s="110" t="s">
        <v>57</v>
      </c>
      <c r="D1407" s="2">
        <v>-3</v>
      </c>
      <c r="E1407" s="51"/>
      <c r="F1407" s="105"/>
      <c r="H1407" s="2"/>
      <c r="L1407" s="2"/>
      <c r="M1407" s="2"/>
      <c r="N1407" s="244"/>
      <c r="O1407" s="2"/>
      <c r="P1407" s="2"/>
      <c r="Q1407" s="2"/>
      <c r="R1407" s="2"/>
      <c r="S1407" s="2"/>
      <c r="T1407" s="2"/>
      <c r="U1407" s="398"/>
      <c r="V1407" s="7" t="s">
        <v>1334</v>
      </c>
      <c r="W1407" s="7"/>
    </row>
    <row r="1408" spans="1:23" x14ac:dyDescent="0.35">
      <c r="A1408" s="2">
        <v>133</v>
      </c>
      <c r="B1408" s="109" t="s">
        <v>149</v>
      </c>
      <c r="C1408" s="110" t="s">
        <v>153</v>
      </c>
      <c r="D1408" s="2">
        <v>-3</v>
      </c>
      <c r="E1408" s="51"/>
      <c r="F1408" s="105"/>
      <c r="H1408" s="2"/>
      <c r="L1408" s="2"/>
      <c r="M1408" s="2"/>
      <c r="N1408" s="244"/>
      <c r="O1408" s="2"/>
      <c r="P1408" s="2"/>
      <c r="Q1408" s="2"/>
      <c r="R1408" s="2"/>
      <c r="S1408" s="2"/>
      <c r="T1408" s="2"/>
      <c r="U1408" s="398"/>
      <c r="V1408" s="7" t="s">
        <v>1334</v>
      </c>
      <c r="W1408" s="7"/>
    </row>
    <row r="1409" spans="1:23" x14ac:dyDescent="0.35">
      <c r="A1409" s="2">
        <v>133</v>
      </c>
      <c r="B1409" s="109" t="s">
        <v>717</v>
      </c>
      <c r="C1409" s="110" t="s">
        <v>976</v>
      </c>
      <c r="D1409" s="2">
        <v>-3</v>
      </c>
      <c r="E1409" s="51"/>
      <c r="F1409" s="105"/>
      <c r="H1409" s="2"/>
      <c r="L1409" s="2"/>
      <c r="M1409" s="2"/>
      <c r="N1409" s="244"/>
      <c r="O1409" s="2"/>
      <c r="P1409" s="2"/>
      <c r="Q1409" s="2"/>
      <c r="R1409" s="2"/>
      <c r="S1409" s="2"/>
      <c r="T1409" s="2"/>
      <c r="U1409" s="398"/>
      <c r="V1409" s="7" t="s">
        <v>1334</v>
      </c>
      <c r="W1409" s="7"/>
    </row>
    <row r="1410" spans="1:23" x14ac:dyDescent="0.35">
      <c r="A1410" s="2">
        <v>133</v>
      </c>
      <c r="B1410" s="109" t="s">
        <v>757</v>
      </c>
      <c r="C1410" s="110" t="s">
        <v>977</v>
      </c>
      <c r="D1410" s="2">
        <v>-3</v>
      </c>
      <c r="E1410" s="51"/>
      <c r="F1410" s="105"/>
      <c r="H1410" s="2"/>
      <c r="L1410" s="2"/>
      <c r="M1410" s="2"/>
      <c r="N1410" s="244"/>
      <c r="O1410" s="2"/>
      <c r="P1410" s="2"/>
      <c r="Q1410" s="2"/>
      <c r="R1410" s="2"/>
      <c r="S1410" s="2"/>
      <c r="T1410" s="2"/>
      <c r="U1410" s="398"/>
      <c r="V1410" s="7" t="s">
        <v>1334</v>
      </c>
      <c r="W1410" s="7"/>
    </row>
    <row r="1411" spans="1:23" x14ac:dyDescent="0.35">
      <c r="A1411" s="2">
        <v>133</v>
      </c>
      <c r="B1411" s="109" t="s">
        <v>1666</v>
      </c>
      <c r="C1411" s="110" t="s">
        <v>1038</v>
      </c>
      <c r="D1411" s="2">
        <v>-0.25</v>
      </c>
      <c r="E1411" s="51"/>
      <c r="F1411" s="105"/>
      <c r="H1411" s="2"/>
      <c r="L1411" s="2"/>
      <c r="M1411" s="2"/>
      <c r="N1411" s="244"/>
      <c r="O1411" s="2"/>
      <c r="P1411" s="2"/>
      <c r="Q1411" s="2"/>
      <c r="R1411" s="2"/>
      <c r="S1411" s="2"/>
      <c r="T1411" s="2"/>
      <c r="U1411" s="398"/>
      <c r="V1411" s="7" t="s">
        <v>1334</v>
      </c>
      <c r="W1411" s="7"/>
    </row>
    <row r="1412" spans="1:23" x14ac:dyDescent="0.35">
      <c r="A1412" s="2">
        <v>133</v>
      </c>
      <c r="B1412" s="109" t="s">
        <v>101</v>
      </c>
      <c r="C1412" s="110" t="s">
        <v>57</v>
      </c>
      <c r="D1412" s="2">
        <v>-3</v>
      </c>
      <c r="E1412" s="51"/>
      <c r="F1412" s="105"/>
      <c r="H1412" s="2"/>
      <c r="L1412" s="2"/>
      <c r="M1412" s="2"/>
      <c r="N1412" s="244"/>
      <c r="O1412" s="2"/>
      <c r="P1412" s="2"/>
      <c r="Q1412" s="2"/>
      <c r="R1412" s="2"/>
      <c r="S1412" s="2"/>
      <c r="T1412" s="2"/>
      <c r="U1412" s="398"/>
      <c r="V1412" s="7" t="s">
        <v>1334</v>
      </c>
      <c r="W1412" s="7"/>
    </row>
    <row r="1413" spans="1:23" x14ac:dyDescent="0.35">
      <c r="A1413" s="2">
        <v>133</v>
      </c>
      <c r="B1413" s="109" t="s">
        <v>154</v>
      </c>
      <c r="C1413" s="110" t="s">
        <v>153</v>
      </c>
      <c r="D1413" s="2">
        <v>-3</v>
      </c>
      <c r="E1413" s="51"/>
      <c r="F1413" s="105"/>
      <c r="H1413" s="2"/>
      <c r="L1413" s="2"/>
      <c r="M1413" s="2"/>
      <c r="N1413" s="244"/>
      <c r="O1413" s="2"/>
      <c r="P1413" s="2"/>
      <c r="Q1413" s="2"/>
      <c r="R1413" s="2"/>
      <c r="S1413" s="2"/>
      <c r="T1413" s="2"/>
      <c r="U1413" s="398"/>
      <c r="V1413" s="7" t="s">
        <v>1334</v>
      </c>
      <c r="W1413" s="7"/>
    </row>
    <row r="1414" spans="1:23" x14ac:dyDescent="0.35">
      <c r="A1414" s="2">
        <v>133</v>
      </c>
      <c r="B1414" s="109" t="s">
        <v>718</v>
      </c>
      <c r="C1414" s="110" t="s">
        <v>976</v>
      </c>
      <c r="D1414" s="2">
        <v>-3</v>
      </c>
      <c r="E1414" s="51"/>
      <c r="F1414" s="105"/>
      <c r="H1414" s="2"/>
      <c r="L1414" s="2"/>
      <c r="M1414" s="2"/>
      <c r="N1414" s="244"/>
      <c r="O1414" s="2"/>
      <c r="P1414" s="2"/>
      <c r="Q1414" s="2"/>
      <c r="R1414" s="2"/>
      <c r="S1414" s="2"/>
      <c r="T1414" s="2"/>
      <c r="U1414" s="398"/>
      <c r="V1414" s="7" t="s">
        <v>1334</v>
      </c>
      <c r="W1414" s="7"/>
    </row>
    <row r="1415" spans="1:23" x14ac:dyDescent="0.35">
      <c r="A1415" s="2">
        <v>133</v>
      </c>
      <c r="B1415" s="109" t="s">
        <v>757</v>
      </c>
      <c r="C1415" s="110" t="s">
        <v>977</v>
      </c>
      <c r="D1415" s="2">
        <v>-3</v>
      </c>
      <c r="E1415" s="51"/>
      <c r="F1415" s="105"/>
      <c r="H1415" s="2"/>
      <c r="L1415" s="2"/>
      <c r="M1415" s="2"/>
      <c r="N1415" s="244"/>
      <c r="O1415" s="2"/>
      <c r="P1415" s="2"/>
      <c r="Q1415" s="2"/>
      <c r="R1415" s="2"/>
      <c r="S1415" s="2"/>
      <c r="T1415" s="2"/>
      <c r="U1415" s="398"/>
      <c r="V1415" s="7" t="s">
        <v>1334</v>
      </c>
      <c r="W1415" s="7"/>
    </row>
    <row r="1416" spans="1:23" x14ac:dyDescent="0.35">
      <c r="A1416" s="2">
        <v>133</v>
      </c>
      <c r="B1416" s="109" t="s">
        <v>1666</v>
      </c>
      <c r="C1416" s="110" t="s">
        <v>1038</v>
      </c>
      <c r="D1416" s="2">
        <v>-0.25</v>
      </c>
      <c r="E1416" s="51"/>
      <c r="F1416" s="105"/>
      <c r="H1416" s="2"/>
      <c r="L1416" s="2"/>
      <c r="M1416" s="2"/>
      <c r="N1416" s="244"/>
      <c r="O1416" s="2"/>
      <c r="P1416" s="2"/>
      <c r="Q1416" s="2"/>
      <c r="R1416" s="2"/>
      <c r="S1416" s="2"/>
      <c r="T1416" s="2"/>
      <c r="U1416" s="398"/>
      <c r="V1416" s="7" t="s">
        <v>1334</v>
      </c>
      <c r="W1416" s="7"/>
    </row>
    <row r="1417" spans="1:23" x14ac:dyDescent="0.35">
      <c r="A1417" s="2">
        <v>133</v>
      </c>
      <c r="B1417" s="109" t="s">
        <v>103</v>
      </c>
      <c r="C1417" s="110" t="s">
        <v>57</v>
      </c>
      <c r="D1417" s="2">
        <v>-3</v>
      </c>
      <c r="E1417" s="51"/>
      <c r="F1417" s="105"/>
      <c r="H1417" s="2"/>
      <c r="L1417" s="2"/>
      <c r="M1417" s="2"/>
      <c r="N1417" s="244"/>
      <c r="O1417" s="2"/>
      <c r="P1417" s="2"/>
      <c r="Q1417" s="2"/>
      <c r="R1417" s="2"/>
      <c r="S1417" s="2"/>
      <c r="T1417" s="2"/>
      <c r="U1417" s="398"/>
      <c r="V1417" s="7" t="s">
        <v>1334</v>
      </c>
      <c r="W1417" s="7"/>
    </row>
    <row r="1418" spans="1:23" x14ac:dyDescent="0.35">
      <c r="A1418" s="2">
        <v>133</v>
      </c>
      <c r="B1418" s="109" t="s">
        <v>156</v>
      </c>
      <c r="C1418" s="110" t="s">
        <v>153</v>
      </c>
      <c r="D1418" s="2">
        <v>-3</v>
      </c>
      <c r="E1418" s="51"/>
      <c r="F1418" s="105"/>
      <c r="H1418" s="2"/>
      <c r="L1418" s="2"/>
      <c r="M1418" s="2"/>
      <c r="N1418" s="244"/>
      <c r="O1418" s="2"/>
      <c r="P1418" s="2"/>
      <c r="Q1418" s="2"/>
      <c r="R1418" s="2"/>
      <c r="S1418" s="2"/>
      <c r="T1418" s="2"/>
      <c r="U1418" s="398"/>
      <c r="V1418" s="7" t="s">
        <v>1334</v>
      </c>
      <c r="W1418" s="7"/>
    </row>
    <row r="1419" spans="1:23" x14ac:dyDescent="0.35">
      <c r="A1419" s="2">
        <v>133</v>
      </c>
      <c r="B1419" s="109" t="s">
        <v>719</v>
      </c>
      <c r="C1419" s="110" t="s">
        <v>976</v>
      </c>
      <c r="D1419" s="2">
        <v>-3</v>
      </c>
      <c r="E1419" s="51"/>
      <c r="F1419" s="105"/>
      <c r="H1419" s="2"/>
      <c r="L1419" s="2"/>
      <c r="M1419" s="2"/>
      <c r="N1419" s="244"/>
      <c r="O1419" s="2"/>
      <c r="P1419" s="2"/>
      <c r="Q1419" s="2"/>
      <c r="R1419" s="2"/>
      <c r="S1419" s="2"/>
      <c r="T1419" s="2"/>
      <c r="U1419" s="398"/>
      <c r="V1419" s="7" t="s">
        <v>1334</v>
      </c>
      <c r="W1419" s="7"/>
    </row>
    <row r="1420" spans="1:23" x14ac:dyDescent="0.35">
      <c r="A1420" s="2">
        <v>133</v>
      </c>
      <c r="B1420" s="109" t="s">
        <v>757</v>
      </c>
      <c r="C1420" s="110" t="s">
        <v>977</v>
      </c>
      <c r="D1420" s="2">
        <v>-3</v>
      </c>
      <c r="E1420" s="51"/>
      <c r="F1420" s="105"/>
      <c r="H1420" s="2"/>
      <c r="L1420" s="2"/>
      <c r="M1420" s="2"/>
      <c r="N1420" s="244"/>
      <c r="O1420" s="2"/>
      <c r="P1420" s="2"/>
      <c r="Q1420" s="2"/>
      <c r="R1420" s="2"/>
      <c r="S1420" s="2"/>
      <c r="T1420" s="2"/>
      <c r="U1420" s="398"/>
      <c r="V1420" s="7" t="s">
        <v>1334</v>
      </c>
      <c r="W1420" s="7"/>
    </row>
    <row r="1421" spans="1:23" x14ac:dyDescent="0.35">
      <c r="A1421" s="2">
        <v>133</v>
      </c>
      <c r="B1421" s="109" t="s">
        <v>1666</v>
      </c>
      <c r="C1421" s="110" t="s">
        <v>1038</v>
      </c>
      <c r="D1421" s="2">
        <v>-0.25</v>
      </c>
      <c r="E1421" s="51"/>
      <c r="F1421" s="105"/>
      <c r="H1421" s="2"/>
      <c r="L1421" s="2"/>
      <c r="M1421" s="2"/>
      <c r="N1421" s="244"/>
      <c r="O1421" s="2"/>
      <c r="P1421" s="2"/>
      <c r="Q1421" s="2"/>
      <c r="R1421" s="2"/>
      <c r="S1421" s="2"/>
      <c r="T1421" s="2"/>
      <c r="U1421" s="398"/>
      <c r="V1421" s="7" t="s">
        <v>1334</v>
      </c>
      <c r="W1421" s="7"/>
    </row>
    <row r="1422" spans="1:23" x14ac:dyDescent="0.35">
      <c r="A1422" s="2">
        <v>133</v>
      </c>
      <c r="B1422" s="109" t="s">
        <v>105</v>
      </c>
      <c r="C1422" s="110" t="s">
        <v>57</v>
      </c>
      <c r="D1422" s="2">
        <v>-3</v>
      </c>
      <c r="E1422" s="51"/>
      <c r="F1422" s="105"/>
      <c r="H1422" s="2"/>
      <c r="L1422" s="2"/>
      <c r="M1422" s="2"/>
      <c r="N1422" s="244"/>
      <c r="O1422" s="2"/>
      <c r="P1422" s="2"/>
      <c r="Q1422" s="2"/>
      <c r="R1422" s="2"/>
      <c r="S1422" s="2"/>
      <c r="T1422" s="2"/>
      <c r="U1422" s="398"/>
      <c r="V1422" s="7" t="s">
        <v>1334</v>
      </c>
      <c r="W1422" s="7"/>
    </row>
    <row r="1423" spans="1:23" x14ac:dyDescent="0.35">
      <c r="A1423" s="2">
        <v>133</v>
      </c>
      <c r="B1423" s="109" t="s">
        <v>158</v>
      </c>
      <c r="C1423" s="110" t="s">
        <v>153</v>
      </c>
      <c r="D1423" s="2">
        <v>-3</v>
      </c>
      <c r="E1423" s="51"/>
      <c r="F1423" s="105"/>
      <c r="H1423" s="2"/>
      <c r="L1423" s="2"/>
      <c r="M1423" s="2"/>
      <c r="N1423" s="244"/>
      <c r="O1423" s="2"/>
      <c r="P1423" s="2"/>
      <c r="Q1423" s="2"/>
      <c r="R1423" s="2"/>
      <c r="S1423" s="2"/>
      <c r="T1423" s="2"/>
      <c r="U1423" s="398"/>
      <c r="V1423" s="7" t="s">
        <v>1334</v>
      </c>
      <c r="W1423" s="7"/>
    </row>
    <row r="1424" spans="1:23" x14ac:dyDescent="0.35">
      <c r="A1424" s="2">
        <v>133</v>
      </c>
      <c r="B1424" s="109" t="s">
        <v>720</v>
      </c>
      <c r="C1424" s="110" t="s">
        <v>976</v>
      </c>
      <c r="D1424" s="2">
        <v>-3</v>
      </c>
      <c r="E1424" s="51"/>
      <c r="F1424" s="105"/>
      <c r="H1424" s="2"/>
      <c r="L1424" s="2"/>
      <c r="M1424" s="2"/>
      <c r="N1424" s="244"/>
      <c r="O1424" s="2"/>
      <c r="P1424" s="2"/>
      <c r="Q1424" s="2"/>
      <c r="R1424" s="2"/>
      <c r="S1424" s="2"/>
      <c r="T1424" s="2"/>
      <c r="U1424" s="398"/>
      <c r="V1424" s="7" t="s">
        <v>1334</v>
      </c>
      <c r="W1424" s="7"/>
    </row>
    <row r="1425" spans="1:23" x14ac:dyDescent="0.35">
      <c r="A1425" s="2">
        <v>133</v>
      </c>
      <c r="B1425" s="109" t="s">
        <v>757</v>
      </c>
      <c r="C1425" s="110" t="s">
        <v>977</v>
      </c>
      <c r="D1425" s="2">
        <v>-3</v>
      </c>
      <c r="E1425" s="51"/>
      <c r="F1425" s="105"/>
      <c r="H1425" s="2"/>
      <c r="L1425" s="2"/>
      <c r="M1425" s="2"/>
      <c r="N1425" s="244"/>
      <c r="O1425" s="2"/>
      <c r="P1425" s="2"/>
      <c r="Q1425" s="2"/>
      <c r="R1425" s="2"/>
      <c r="S1425" s="2"/>
      <c r="T1425" s="2"/>
      <c r="U1425" s="398"/>
      <c r="V1425" s="7" t="s">
        <v>1334</v>
      </c>
      <c r="W1425" s="7"/>
    </row>
    <row r="1426" spans="1:23" x14ac:dyDescent="0.35">
      <c r="A1426" s="2">
        <v>133</v>
      </c>
      <c r="B1426" s="109" t="s">
        <v>1666</v>
      </c>
      <c r="C1426" s="110" t="s">
        <v>1038</v>
      </c>
      <c r="D1426" s="2">
        <v>-0.25</v>
      </c>
      <c r="E1426" s="51"/>
      <c r="F1426" s="105"/>
      <c r="H1426" s="2"/>
      <c r="L1426" s="2"/>
      <c r="M1426" s="2"/>
      <c r="N1426" s="244"/>
      <c r="O1426" s="2"/>
      <c r="P1426" s="2"/>
      <c r="Q1426" s="2"/>
      <c r="R1426" s="2"/>
      <c r="S1426" s="2"/>
      <c r="T1426" s="2"/>
      <c r="U1426" s="398"/>
      <c r="V1426" s="7" t="s">
        <v>1334</v>
      </c>
      <c r="W1426" s="7"/>
    </row>
    <row r="1427" spans="1:23" x14ac:dyDescent="0.35">
      <c r="A1427" s="2">
        <v>134</v>
      </c>
      <c r="B1427" s="109" t="s">
        <v>88</v>
      </c>
      <c r="C1427" s="110" t="s">
        <v>89</v>
      </c>
      <c r="D1427" s="2">
        <v>1966</v>
      </c>
      <c r="E1427" s="51">
        <v>17</v>
      </c>
      <c r="F1427" s="105"/>
      <c r="H1427" s="2"/>
      <c r="I1427" s="2">
        <v>99</v>
      </c>
      <c r="J1427" s="2">
        <v>0</v>
      </c>
      <c r="K1427" s="2" t="s">
        <v>861</v>
      </c>
      <c r="L1427" s="2">
        <v>1435.1799999999998</v>
      </c>
      <c r="M1427" s="2">
        <v>2015.1499999999999</v>
      </c>
      <c r="N1427" s="244">
        <v>7.2348800000000004</v>
      </c>
      <c r="O1427" s="2" t="s">
        <v>18</v>
      </c>
      <c r="P1427" s="2">
        <v>100</v>
      </c>
      <c r="Q1427" s="2">
        <v>0</v>
      </c>
      <c r="R1427" s="2" t="s">
        <v>88</v>
      </c>
      <c r="S1427" s="2">
        <v>1966</v>
      </c>
      <c r="T1427" s="2">
        <v>15.89</v>
      </c>
      <c r="U1427" s="398">
        <v>31239.74</v>
      </c>
      <c r="V1427" s="7">
        <v>33422</v>
      </c>
      <c r="W1427" s="7" t="s">
        <v>660</v>
      </c>
    </row>
    <row r="1428" spans="1:23" x14ac:dyDescent="0.35">
      <c r="A1428" s="2">
        <v>135</v>
      </c>
      <c r="B1428" s="109" t="s">
        <v>107</v>
      </c>
      <c r="C1428" s="110" t="s">
        <v>109</v>
      </c>
      <c r="D1428" s="2">
        <v>-1966</v>
      </c>
      <c r="E1428" s="51"/>
      <c r="F1428" s="105"/>
      <c r="H1428" s="2"/>
      <c r="I1428" s="2">
        <v>-82</v>
      </c>
      <c r="J1428" s="2">
        <v>0</v>
      </c>
      <c r="K1428" s="2" t="s">
        <v>861</v>
      </c>
      <c r="L1428" s="2">
        <v>-776.57</v>
      </c>
      <c r="M1428" s="2">
        <v>-810.97500000000002</v>
      </c>
      <c r="N1428" s="244">
        <v>-1.4169535416666668</v>
      </c>
      <c r="O1428" s="2" t="s">
        <v>108</v>
      </c>
      <c r="P1428" s="2">
        <v>100</v>
      </c>
      <c r="Q1428" s="2" t="s">
        <v>55</v>
      </c>
      <c r="R1428" s="2" t="s">
        <v>107</v>
      </c>
      <c r="S1428" s="2"/>
      <c r="T1428" s="2" t="s">
        <v>861</v>
      </c>
      <c r="U1428" s="398" t="s">
        <v>861</v>
      </c>
      <c r="V1428" s="7">
        <v>0</v>
      </c>
      <c r="W1428" s="7" t="s">
        <v>1334</v>
      </c>
    </row>
    <row r="1429" spans="1:23" x14ac:dyDescent="0.35">
      <c r="A1429" s="2">
        <v>135</v>
      </c>
      <c r="B1429" s="109" t="s">
        <v>680</v>
      </c>
      <c r="C1429" s="110" t="s">
        <v>847</v>
      </c>
      <c r="D1429" s="2">
        <v>-1966</v>
      </c>
      <c r="E1429" s="51"/>
      <c r="F1429" s="105"/>
      <c r="H1429" s="2"/>
      <c r="I1429" s="2">
        <v>-82</v>
      </c>
      <c r="J1429" s="2">
        <v>0</v>
      </c>
      <c r="K1429" s="2" t="s">
        <v>861</v>
      </c>
      <c r="L1429" s="2">
        <v>-499.36400000000003</v>
      </c>
      <c r="M1429" s="2">
        <v>-557.0333333333333</v>
      </c>
      <c r="N1429" s="244">
        <v>-1.8571941875000002</v>
      </c>
      <c r="O1429" s="2" t="s">
        <v>150</v>
      </c>
      <c r="P1429" s="2">
        <v>300</v>
      </c>
      <c r="Q1429" s="2" t="s">
        <v>151</v>
      </c>
      <c r="R1429" s="2" t="s">
        <v>680</v>
      </c>
      <c r="S1429" s="2"/>
      <c r="T1429" s="2" t="s">
        <v>861</v>
      </c>
      <c r="U1429" s="398" t="s">
        <v>861</v>
      </c>
      <c r="V1429" s="7">
        <v>0</v>
      </c>
      <c r="W1429" s="7" t="s">
        <v>1334</v>
      </c>
    </row>
    <row r="1430" spans="1:23" x14ac:dyDescent="0.35">
      <c r="A1430" s="2">
        <v>135</v>
      </c>
      <c r="B1430" s="109" t="s">
        <v>88</v>
      </c>
      <c r="C1430" s="110" t="s">
        <v>89</v>
      </c>
      <c r="D1430" s="2">
        <v>1966</v>
      </c>
      <c r="E1430" s="51"/>
      <c r="F1430" s="105"/>
      <c r="H1430" s="2"/>
      <c r="I1430" s="2">
        <v>99</v>
      </c>
      <c r="J1430" s="2">
        <v>0</v>
      </c>
      <c r="K1430" s="2" t="s">
        <v>861</v>
      </c>
      <c r="L1430" s="2">
        <v>1435.1799999999998</v>
      </c>
      <c r="M1430" s="2">
        <v>2015.1499999999999</v>
      </c>
      <c r="N1430" s="244">
        <v>7.2348800000000004</v>
      </c>
      <c r="O1430" s="2" t="s">
        <v>18</v>
      </c>
      <c r="P1430" s="2">
        <v>100</v>
      </c>
      <c r="Q1430" s="2">
        <v>0</v>
      </c>
      <c r="R1430" s="2" t="s">
        <v>88</v>
      </c>
      <c r="S1430" s="2"/>
      <c r="T1430" s="2" t="s">
        <v>861</v>
      </c>
      <c r="U1430" s="398" t="s">
        <v>861</v>
      </c>
      <c r="V1430" s="7">
        <v>0</v>
      </c>
      <c r="W1430" s="7" t="s">
        <v>1334</v>
      </c>
    </row>
    <row r="1431" spans="1:23" x14ac:dyDescent="0.35">
      <c r="A1431" s="2">
        <v>135</v>
      </c>
      <c r="B1431" s="109" t="s">
        <v>749</v>
      </c>
      <c r="C1431" s="110" t="s">
        <v>750</v>
      </c>
      <c r="D1431" s="2">
        <v>-1966</v>
      </c>
      <c r="E1431" s="51"/>
      <c r="F1431" s="105"/>
      <c r="H1431" s="2"/>
      <c r="I1431" s="2" t="s">
        <v>861</v>
      </c>
      <c r="J1431" s="2" t="s">
        <v>861</v>
      </c>
      <c r="K1431" s="2" t="s">
        <v>861</v>
      </c>
      <c r="L1431" s="2" t="s">
        <v>861</v>
      </c>
      <c r="M1431" s="2" t="s">
        <v>861</v>
      </c>
      <c r="N1431" s="244" t="s">
        <v>861</v>
      </c>
      <c r="O1431" s="2" t="s">
        <v>1055</v>
      </c>
      <c r="P1431" s="2">
        <v>0</v>
      </c>
      <c r="Q1431" s="2" t="s">
        <v>1154</v>
      </c>
      <c r="R1431" s="2" t="s">
        <v>749</v>
      </c>
      <c r="S1431" s="2"/>
      <c r="T1431" s="2" t="s">
        <v>861</v>
      </c>
      <c r="U1431" s="398" t="s">
        <v>861</v>
      </c>
      <c r="V1431" s="7">
        <v>0</v>
      </c>
      <c r="W1431" s="7" t="s">
        <v>1334</v>
      </c>
    </row>
    <row r="1432" spans="1:23" x14ac:dyDescent="0.35">
      <c r="A1432" s="2">
        <v>135</v>
      </c>
      <c r="B1432" s="109" t="s">
        <v>1667</v>
      </c>
      <c r="C1432" s="110" t="s">
        <v>1669</v>
      </c>
      <c r="D1432" s="2">
        <v>-246</v>
      </c>
      <c r="E1432" s="51"/>
      <c r="F1432" s="105"/>
      <c r="H1432" s="2"/>
      <c r="I1432" s="2" t="s">
        <v>861</v>
      </c>
      <c r="J1432" s="2" t="s">
        <v>861</v>
      </c>
      <c r="K1432" s="2" t="s">
        <v>861</v>
      </c>
      <c r="L1432" s="2" t="s">
        <v>861</v>
      </c>
      <c r="M1432" s="2" t="s">
        <v>861</v>
      </c>
      <c r="N1432" s="244" t="s">
        <v>861</v>
      </c>
      <c r="O1432" s="2" t="s">
        <v>1055</v>
      </c>
      <c r="P1432" s="2">
        <v>0</v>
      </c>
      <c r="Q1432" s="2" t="s">
        <v>1154</v>
      </c>
      <c r="R1432" s="2" t="s">
        <v>1037</v>
      </c>
      <c r="S1432" s="2"/>
      <c r="T1432" s="2" t="s">
        <v>861</v>
      </c>
      <c r="U1432" s="398" t="s">
        <v>861</v>
      </c>
      <c r="V1432" s="7">
        <v>0</v>
      </c>
      <c r="W1432" s="7" t="s">
        <v>1334</v>
      </c>
    </row>
    <row r="1433" spans="1:23" x14ac:dyDescent="0.35">
      <c r="A1433" s="2">
        <v>135</v>
      </c>
      <c r="B1433" s="109" t="s">
        <v>1018</v>
      </c>
      <c r="C1433" s="110" t="s">
        <v>1068</v>
      </c>
      <c r="D1433" s="2">
        <v>-1966</v>
      </c>
      <c r="E1433" s="51"/>
      <c r="F1433" s="105"/>
      <c r="H1433" s="2"/>
      <c r="I1433" s="2" t="s">
        <v>861</v>
      </c>
      <c r="J1433" s="2" t="s">
        <v>861</v>
      </c>
      <c r="K1433" s="2" t="s">
        <v>861</v>
      </c>
      <c r="L1433" s="2" t="s">
        <v>861</v>
      </c>
      <c r="M1433" s="2" t="s">
        <v>861</v>
      </c>
      <c r="N1433" s="244" t="s">
        <v>861</v>
      </c>
      <c r="O1433" s="2" t="s">
        <v>1055</v>
      </c>
      <c r="P1433" s="2">
        <v>0</v>
      </c>
      <c r="Q1433" s="2">
        <v>0</v>
      </c>
      <c r="R1433" s="2">
        <v>0</v>
      </c>
      <c r="S1433" s="2"/>
      <c r="T1433" s="2" t="s">
        <v>861</v>
      </c>
      <c r="U1433" s="398" t="s">
        <v>861</v>
      </c>
      <c r="V1433" s="7">
        <v>0</v>
      </c>
      <c r="W1433" s="7" t="s">
        <v>1334</v>
      </c>
    </row>
    <row r="1434" spans="1:23" x14ac:dyDescent="0.35">
      <c r="A1434" s="2">
        <v>136</v>
      </c>
      <c r="B1434" s="109" t="s">
        <v>107</v>
      </c>
      <c r="C1434" s="110" t="s">
        <v>109</v>
      </c>
      <c r="D1434" s="2">
        <v>1000</v>
      </c>
      <c r="E1434" s="51">
        <v>12.5</v>
      </c>
      <c r="F1434" s="105"/>
      <c r="H1434" s="2">
        <v>60</v>
      </c>
      <c r="I1434" s="2">
        <v>42</v>
      </c>
      <c r="J1434" s="2">
        <v>0</v>
      </c>
      <c r="K1434" s="2" t="s">
        <v>861</v>
      </c>
      <c r="L1434" s="2">
        <v>418.7</v>
      </c>
      <c r="M1434" s="2">
        <v>437.25</v>
      </c>
      <c r="N1434" s="244">
        <v>0.76397291666666667</v>
      </c>
      <c r="O1434" s="2" t="s">
        <v>108</v>
      </c>
      <c r="P1434" s="2">
        <v>100</v>
      </c>
      <c r="Q1434" s="2" t="s">
        <v>55</v>
      </c>
      <c r="R1434" s="2" t="s">
        <v>107</v>
      </c>
      <c r="S1434" s="2"/>
      <c r="T1434" s="2">
        <v>11.68</v>
      </c>
      <c r="U1434" s="398">
        <v>11680</v>
      </c>
      <c r="V1434" s="7">
        <v>12500</v>
      </c>
      <c r="W1434" s="7" t="s">
        <v>660</v>
      </c>
    </row>
    <row r="1435" spans="1:23" x14ac:dyDescent="0.35">
      <c r="A1435" s="2">
        <v>136</v>
      </c>
      <c r="B1435" s="109" t="s">
        <v>114</v>
      </c>
      <c r="C1435" s="110" t="s">
        <v>115</v>
      </c>
      <c r="D1435" s="2">
        <v>240</v>
      </c>
      <c r="E1435" s="51">
        <v>12.5</v>
      </c>
      <c r="F1435" s="105"/>
      <c r="H1435" s="2">
        <v>48</v>
      </c>
      <c r="I1435" s="2">
        <v>10</v>
      </c>
      <c r="J1435" s="2">
        <v>0</v>
      </c>
      <c r="K1435" s="2" t="s">
        <v>861</v>
      </c>
      <c r="L1435" s="2">
        <v>113.76</v>
      </c>
      <c r="M1435" s="2">
        <v>118.80000000000001</v>
      </c>
      <c r="N1435" s="244">
        <v>0.20757</v>
      </c>
      <c r="O1435" s="2" t="s">
        <v>108</v>
      </c>
      <c r="P1435" s="2">
        <v>100</v>
      </c>
      <c r="Q1435" s="2" t="s">
        <v>55</v>
      </c>
      <c r="R1435" s="2" t="s">
        <v>114</v>
      </c>
      <c r="S1435" s="2"/>
      <c r="T1435" s="2">
        <v>11.68</v>
      </c>
      <c r="U1435" s="398">
        <v>2803.2</v>
      </c>
      <c r="V1435" s="7">
        <v>3000</v>
      </c>
      <c r="W1435" s="7" t="s">
        <v>660</v>
      </c>
    </row>
    <row r="1436" spans="1:23" x14ac:dyDescent="0.35">
      <c r="A1436" s="2">
        <v>136</v>
      </c>
      <c r="B1436" s="109" t="s">
        <v>141</v>
      </c>
      <c r="C1436" s="110" t="s">
        <v>142</v>
      </c>
      <c r="D1436" s="2">
        <v>300</v>
      </c>
      <c r="E1436" s="51">
        <v>12.5</v>
      </c>
      <c r="F1436" s="105"/>
      <c r="H1436" s="2">
        <v>48</v>
      </c>
      <c r="I1436" s="2">
        <v>13</v>
      </c>
      <c r="J1436" s="2">
        <v>0</v>
      </c>
      <c r="K1436" s="2" t="s">
        <v>861</v>
      </c>
      <c r="L1436" s="2">
        <v>137.46</v>
      </c>
      <c r="M1436" s="2">
        <v>143.55000000000001</v>
      </c>
      <c r="N1436" s="244">
        <v>0.25420312499999997</v>
      </c>
      <c r="O1436" s="2" t="s">
        <v>108</v>
      </c>
      <c r="P1436" s="2">
        <v>100</v>
      </c>
      <c r="Q1436" s="2" t="s">
        <v>55</v>
      </c>
      <c r="R1436" s="2" t="s">
        <v>141</v>
      </c>
      <c r="S1436" s="2"/>
      <c r="T1436" s="2">
        <v>11.68</v>
      </c>
      <c r="U1436" s="398">
        <v>3504</v>
      </c>
      <c r="V1436" s="7">
        <v>3750</v>
      </c>
      <c r="W1436" s="7" t="s">
        <v>660</v>
      </c>
    </row>
    <row r="1437" spans="1:23" x14ac:dyDescent="0.35">
      <c r="A1437" s="2">
        <v>136</v>
      </c>
      <c r="B1437" s="109" t="s">
        <v>143</v>
      </c>
      <c r="C1437" s="110" t="s">
        <v>144</v>
      </c>
      <c r="D1437" s="2">
        <v>120</v>
      </c>
      <c r="E1437" s="51">
        <v>12.5</v>
      </c>
      <c r="F1437" s="105"/>
      <c r="H1437" s="2">
        <v>48</v>
      </c>
      <c r="I1437" s="2">
        <v>5</v>
      </c>
      <c r="J1437" s="2">
        <v>0</v>
      </c>
      <c r="K1437" s="2" t="s">
        <v>861</v>
      </c>
      <c r="L1437" s="2">
        <v>66.36</v>
      </c>
      <c r="M1437" s="2">
        <v>69.3</v>
      </c>
      <c r="N1437" s="244">
        <v>0.12271875</v>
      </c>
      <c r="O1437" s="2" t="s">
        <v>108</v>
      </c>
      <c r="P1437" s="2">
        <v>100</v>
      </c>
      <c r="Q1437" s="2" t="s">
        <v>55</v>
      </c>
      <c r="R1437" s="2" t="s">
        <v>143</v>
      </c>
      <c r="S1437" s="2"/>
      <c r="T1437" s="2">
        <v>11.68</v>
      </c>
      <c r="U1437" s="398">
        <v>1401.6</v>
      </c>
      <c r="V1437" s="7">
        <v>1500</v>
      </c>
      <c r="W1437" s="7" t="s">
        <v>660</v>
      </c>
    </row>
    <row r="1438" spans="1:23" x14ac:dyDescent="0.35">
      <c r="A1438" s="2">
        <v>137</v>
      </c>
      <c r="B1438" s="109" t="s">
        <v>107</v>
      </c>
      <c r="C1438" s="110" t="s">
        <v>109</v>
      </c>
      <c r="D1438" s="2">
        <v>3</v>
      </c>
      <c r="E1438" s="51"/>
      <c r="F1438" s="105"/>
      <c r="H1438" s="2"/>
      <c r="I1438" s="2">
        <v>1</v>
      </c>
      <c r="J1438" s="2">
        <v>0</v>
      </c>
      <c r="K1438" s="2" t="s">
        <v>861</v>
      </c>
      <c r="L1438" s="2">
        <v>1.1850000000000001</v>
      </c>
      <c r="M1438" s="2">
        <v>1.2375</v>
      </c>
      <c r="N1438" s="244">
        <v>2.1621875E-3</v>
      </c>
      <c r="O1438" s="2" t="s">
        <v>108</v>
      </c>
      <c r="P1438" s="2">
        <v>100</v>
      </c>
      <c r="Q1438" s="2" t="s">
        <v>55</v>
      </c>
      <c r="R1438" s="2" t="s">
        <v>107</v>
      </c>
      <c r="S1438" s="2"/>
      <c r="T1438" s="2" t="s">
        <v>861</v>
      </c>
      <c r="U1438" s="398" t="s">
        <v>861</v>
      </c>
      <c r="V1438" s="7">
        <v>0</v>
      </c>
      <c r="W1438" s="7" t="s">
        <v>1084</v>
      </c>
    </row>
    <row r="1439" spans="1:23" x14ac:dyDescent="0.35">
      <c r="A1439" s="2">
        <v>137</v>
      </c>
      <c r="B1439" s="109" t="s">
        <v>110</v>
      </c>
      <c r="C1439" s="110" t="s">
        <v>111</v>
      </c>
      <c r="D1439" s="2">
        <v>5</v>
      </c>
      <c r="E1439" s="51"/>
      <c r="F1439" s="105"/>
      <c r="H1439" s="2"/>
      <c r="I1439" s="2">
        <v>1</v>
      </c>
      <c r="J1439" s="2">
        <v>0</v>
      </c>
      <c r="K1439" s="2" t="s">
        <v>861</v>
      </c>
      <c r="L1439" s="2">
        <v>1.9750000000000001</v>
      </c>
      <c r="M1439" s="2">
        <v>2.0625</v>
      </c>
      <c r="N1439" s="244">
        <v>3.6036458333333337E-3</v>
      </c>
      <c r="O1439" s="2" t="s">
        <v>108</v>
      </c>
      <c r="P1439" s="2">
        <v>100</v>
      </c>
      <c r="Q1439" s="2" t="s">
        <v>55</v>
      </c>
      <c r="R1439" s="2" t="s">
        <v>110</v>
      </c>
      <c r="S1439" s="2"/>
      <c r="T1439" s="2" t="s">
        <v>861</v>
      </c>
      <c r="U1439" s="398" t="s">
        <v>861</v>
      </c>
      <c r="V1439" s="7">
        <v>0</v>
      </c>
      <c r="W1439" s="7" t="s">
        <v>1084</v>
      </c>
    </row>
    <row r="1440" spans="1:23" x14ac:dyDescent="0.35">
      <c r="A1440" s="2">
        <v>137</v>
      </c>
      <c r="B1440" s="109" t="s">
        <v>1216</v>
      </c>
      <c r="C1440" s="110" t="s">
        <v>648</v>
      </c>
      <c r="D1440" s="2">
        <v>4</v>
      </c>
      <c r="E1440" s="51"/>
      <c r="F1440" s="105"/>
      <c r="H1440" s="2"/>
      <c r="I1440" s="2">
        <v>1</v>
      </c>
      <c r="J1440" s="2">
        <v>0</v>
      </c>
      <c r="K1440" s="2" t="s">
        <v>861</v>
      </c>
      <c r="L1440" s="2">
        <v>1.58</v>
      </c>
      <c r="M1440" s="2">
        <v>1.65</v>
      </c>
      <c r="N1440" s="244">
        <v>2.8829166666666664E-3</v>
      </c>
      <c r="O1440" s="2" t="s">
        <v>108</v>
      </c>
      <c r="P1440" s="2">
        <v>100</v>
      </c>
      <c r="Q1440" s="2" t="s">
        <v>55</v>
      </c>
      <c r="R1440" s="2" t="s">
        <v>112</v>
      </c>
      <c r="S1440" s="2"/>
      <c r="T1440" s="2" t="s">
        <v>861</v>
      </c>
      <c r="U1440" s="398" t="s">
        <v>861</v>
      </c>
      <c r="V1440" s="7">
        <v>0</v>
      </c>
      <c r="W1440" s="7" t="s">
        <v>1084</v>
      </c>
    </row>
    <row r="1441" spans="1:23" x14ac:dyDescent="0.35">
      <c r="A1441" s="2">
        <v>137</v>
      </c>
      <c r="B1441" s="109" t="s">
        <v>114</v>
      </c>
      <c r="C1441" s="110" t="s">
        <v>115</v>
      </c>
      <c r="D1441" s="2">
        <v>2</v>
      </c>
      <c r="E1441" s="51"/>
      <c r="F1441" s="105"/>
      <c r="H1441" s="2"/>
      <c r="I1441" s="2">
        <v>1</v>
      </c>
      <c r="J1441" s="2">
        <v>0</v>
      </c>
      <c r="K1441" s="2" t="s">
        <v>861</v>
      </c>
      <c r="L1441" s="2">
        <v>0.79</v>
      </c>
      <c r="M1441" s="2">
        <v>0.82499999999999996</v>
      </c>
      <c r="N1441" s="244">
        <v>1.4414583333333332E-3</v>
      </c>
      <c r="O1441" s="2" t="s">
        <v>108</v>
      </c>
      <c r="P1441" s="2">
        <v>100</v>
      </c>
      <c r="Q1441" s="2" t="s">
        <v>55</v>
      </c>
      <c r="R1441" s="2" t="s">
        <v>114</v>
      </c>
      <c r="S1441" s="2"/>
      <c r="T1441" s="2" t="s">
        <v>861</v>
      </c>
      <c r="U1441" s="398" t="s">
        <v>861</v>
      </c>
      <c r="V1441" s="7">
        <v>0</v>
      </c>
      <c r="W1441" s="7" t="s">
        <v>1084</v>
      </c>
    </row>
    <row r="1442" spans="1:23" x14ac:dyDescent="0.35">
      <c r="A1442" s="2">
        <v>137</v>
      </c>
      <c r="B1442" s="109" t="s">
        <v>116</v>
      </c>
      <c r="C1442" s="110" t="s">
        <v>117</v>
      </c>
      <c r="D1442" s="2">
        <v>9</v>
      </c>
      <c r="E1442" s="51"/>
      <c r="F1442" s="105"/>
      <c r="H1442" s="2"/>
      <c r="I1442" s="2">
        <v>1</v>
      </c>
      <c r="J1442" s="2">
        <v>0</v>
      </c>
      <c r="K1442" s="2" t="s">
        <v>861</v>
      </c>
      <c r="L1442" s="2">
        <v>3.42</v>
      </c>
      <c r="M1442" s="2">
        <v>3.5625</v>
      </c>
      <c r="N1442" s="244">
        <v>6.5742187500000002E-3</v>
      </c>
      <c r="O1442" s="2" t="s">
        <v>108</v>
      </c>
      <c r="P1442" s="2">
        <v>100</v>
      </c>
      <c r="Q1442" s="2" t="s">
        <v>55</v>
      </c>
      <c r="R1442" s="2" t="s">
        <v>116</v>
      </c>
      <c r="S1442" s="2"/>
      <c r="T1442" s="2" t="s">
        <v>861</v>
      </c>
      <c r="U1442" s="398" t="s">
        <v>861</v>
      </c>
      <c r="V1442" s="7">
        <v>0</v>
      </c>
      <c r="W1442" s="7" t="s">
        <v>1084</v>
      </c>
    </row>
    <row r="1443" spans="1:23" x14ac:dyDescent="0.35">
      <c r="A1443" s="2">
        <v>137</v>
      </c>
      <c r="B1443" s="109" t="s">
        <v>118</v>
      </c>
      <c r="C1443" s="110" t="s">
        <v>119</v>
      </c>
      <c r="D1443" s="2">
        <v>9</v>
      </c>
      <c r="E1443" s="51"/>
      <c r="F1443" s="105"/>
      <c r="H1443" s="2"/>
      <c r="I1443" s="2">
        <v>1</v>
      </c>
      <c r="J1443" s="2">
        <v>0</v>
      </c>
      <c r="K1443" s="2" t="s">
        <v>861</v>
      </c>
      <c r="L1443" s="2">
        <v>3.42</v>
      </c>
      <c r="M1443" s="2">
        <v>3.5625</v>
      </c>
      <c r="N1443" s="244">
        <v>6.5742187500000002E-3</v>
      </c>
      <c r="O1443" s="2" t="s">
        <v>108</v>
      </c>
      <c r="P1443" s="2">
        <v>100</v>
      </c>
      <c r="Q1443" s="2" t="s">
        <v>55</v>
      </c>
      <c r="R1443" s="2" t="s">
        <v>118</v>
      </c>
      <c r="S1443" s="2"/>
      <c r="T1443" s="2" t="s">
        <v>861</v>
      </c>
      <c r="U1443" s="398" t="s">
        <v>861</v>
      </c>
      <c r="V1443" s="7">
        <v>0</v>
      </c>
      <c r="W1443" s="7" t="s">
        <v>1084</v>
      </c>
    </row>
    <row r="1444" spans="1:23" x14ac:dyDescent="0.35">
      <c r="A1444" s="2">
        <v>137</v>
      </c>
      <c r="B1444" s="109" t="s">
        <v>1218</v>
      </c>
      <c r="C1444" s="110" t="s">
        <v>1197</v>
      </c>
      <c r="D1444" s="2">
        <v>8</v>
      </c>
      <c r="E1444" s="51"/>
      <c r="F1444" s="105"/>
      <c r="H1444" s="2"/>
      <c r="I1444" s="2">
        <v>1</v>
      </c>
      <c r="J1444" s="2">
        <v>0</v>
      </c>
      <c r="K1444" s="2" t="s">
        <v>861</v>
      </c>
      <c r="L1444" s="2">
        <v>3.0399999999999996</v>
      </c>
      <c r="M1444" s="2">
        <v>3.1666666666666665</v>
      </c>
      <c r="N1444" s="244">
        <v>5.84375E-3</v>
      </c>
      <c r="O1444" s="2" t="s">
        <v>108</v>
      </c>
      <c r="P1444" s="2">
        <v>100</v>
      </c>
      <c r="Q1444" s="2" t="s">
        <v>55</v>
      </c>
      <c r="R1444" s="2" t="s">
        <v>120</v>
      </c>
      <c r="S1444" s="2"/>
      <c r="T1444" s="2" t="s">
        <v>861</v>
      </c>
      <c r="U1444" s="398" t="s">
        <v>861</v>
      </c>
      <c r="V1444" s="7">
        <v>0</v>
      </c>
      <c r="W1444" s="7" t="s">
        <v>1084</v>
      </c>
    </row>
    <row r="1445" spans="1:23" x14ac:dyDescent="0.35">
      <c r="A1445" s="2">
        <v>137</v>
      </c>
      <c r="B1445" s="109" t="s">
        <v>122</v>
      </c>
      <c r="C1445" s="110" t="s">
        <v>123</v>
      </c>
      <c r="D1445" s="2">
        <v>6</v>
      </c>
      <c r="E1445" s="51"/>
      <c r="F1445" s="105"/>
      <c r="H1445" s="2"/>
      <c r="I1445" s="2">
        <v>1</v>
      </c>
      <c r="J1445" s="2">
        <v>0</v>
      </c>
      <c r="K1445" s="2" t="s">
        <v>861</v>
      </c>
      <c r="L1445" s="2">
        <v>2.2799999999999998</v>
      </c>
      <c r="M1445" s="2">
        <v>2.375</v>
      </c>
      <c r="N1445" s="244">
        <v>4.3828125000000004E-3</v>
      </c>
      <c r="O1445" s="2" t="s">
        <v>108</v>
      </c>
      <c r="P1445" s="2">
        <v>100</v>
      </c>
      <c r="Q1445" s="2" t="s">
        <v>55</v>
      </c>
      <c r="R1445" s="2" t="s">
        <v>122</v>
      </c>
      <c r="S1445" s="2"/>
      <c r="T1445" s="2" t="s">
        <v>861</v>
      </c>
      <c r="U1445" s="398" t="s">
        <v>861</v>
      </c>
      <c r="V1445" s="7">
        <v>0</v>
      </c>
      <c r="W1445" s="7" t="s">
        <v>1084</v>
      </c>
    </row>
    <row r="1446" spans="1:23" x14ac:dyDescent="0.35">
      <c r="A1446" s="2">
        <v>137</v>
      </c>
      <c r="B1446" s="109" t="s">
        <v>141</v>
      </c>
      <c r="C1446" s="110" t="s">
        <v>142</v>
      </c>
      <c r="D1446" s="2">
        <v>3</v>
      </c>
      <c r="E1446" s="51"/>
      <c r="F1446" s="105"/>
      <c r="H1446" s="2"/>
      <c r="I1446" s="2">
        <v>1</v>
      </c>
      <c r="J1446" s="2">
        <v>0</v>
      </c>
      <c r="K1446" s="2" t="s">
        <v>861</v>
      </c>
      <c r="L1446" s="2">
        <v>1.1850000000000001</v>
      </c>
      <c r="M1446" s="2">
        <v>1.2375</v>
      </c>
      <c r="N1446" s="244">
        <v>2.1914062500000002E-3</v>
      </c>
      <c r="O1446" s="2" t="s">
        <v>108</v>
      </c>
      <c r="P1446" s="2">
        <v>100</v>
      </c>
      <c r="Q1446" s="2" t="s">
        <v>55</v>
      </c>
      <c r="R1446" s="2" t="s">
        <v>141</v>
      </c>
      <c r="S1446" s="2"/>
      <c r="T1446" s="2" t="s">
        <v>861</v>
      </c>
      <c r="U1446" s="398" t="s">
        <v>861</v>
      </c>
      <c r="V1446" s="7">
        <v>0</v>
      </c>
      <c r="W1446" s="7" t="s">
        <v>1084</v>
      </c>
    </row>
    <row r="1447" spans="1:23" x14ac:dyDescent="0.35">
      <c r="A1447" s="2">
        <v>137</v>
      </c>
      <c r="B1447" s="109" t="s">
        <v>143</v>
      </c>
      <c r="C1447" s="110" t="s">
        <v>144</v>
      </c>
      <c r="D1447" s="2">
        <v>3</v>
      </c>
      <c r="E1447" s="51"/>
      <c r="F1447" s="105"/>
      <c r="H1447" s="2"/>
      <c r="I1447" s="2">
        <v>1</v>
      </c>
      <c r="J1447" s="2">
        <v>0</v>
      </c>
      <c r="K1447" s="2" t="s">
        <v>861</v>
      </c>
      <c r="L1447" s="2">
        <v>1.1850000000000001</v>
      </c>
      <c r="M1447" s="2">
        <v>1.2375</v>
      </c>
      <c r="N1447" s="244">
        <v>2.1914062500000002E-3</v>
      </c>
      <c r="O1447" s="2" t="s">
        <v>108</v>
      </c>
      <c r="P1447" s="2">
        <v>100</v>
      </c>
      <c r="Q1447" s="2" t="s">
        <v>55</v>
      </c>
      <c r="R1447" s="2" t="s">
        <v>143</v>
      </c>
      <c r="S1447" s="2"/>
      <c r="T1447" s="2" t="s">
        <v>861</v>
      </c>
      <c r="U1447" s="398" t="s">
        <v>861</v>
      </c>
      <c r="V1447" s="7">
        <v>0</v>
      </c>
      <c r="W1447" s="7" t="s">
        <v>1084</v>
      </c>
    </row>
    <row r="1448" spans="1:23" x14ac:dyDescent="0.35">
      <c r="A1448" s="2">
        <v>137</v>
      </c>
      <c r="B1448" s="109" t="s">
        <v>1680</v>
      </c>
      <c r="C1448" s="110" t="s">
        <v>1683</v>
      </c>
      <c r="D1448" s="2">
        <v>3</v>
      </c>
      <c r="E1448" s="51"/>
      <c r="F1448" s="105"/>
      <c r="H1448" s="2"/>
      <c r="I1448" s="2">
        <v>1</v>
      </c>
      <c r="J1448" s="2">
        <v>0</v>
      </c>
      <c r="K1448" s="2" t="s">
        <v>861</v>
      </c>
      <c r="L1448" s="2">
        <v>0</v>
      </c>
      <c r="M1448" s="2">
        <v>0</v>
      </c>
      <c r="N1448" s="244">
        <v>0</v>
      </c>
      <c r="O1448" s="2" t="s">
        <v>108</v>
      </c>
      <c r="P1448" s="2">
        <v>100</v>
      </c>
      <c r="Q1448" s="2" t="s">
        <v>55</v>
      </c>
      <c r="R1448" s="2">
        <v>0</v>
      </c>
      <c r="S1448" s="2"/>
      <c r="T1448" s="2" t="s">
        <v>861</v>
      </c>
      <c r="U1448" s="398" t="s">
        <v>861</v>
      </c>
      <c r="V1448" s="7">
        <v>0</v>
      </c>
      <c r="W1448" s="7" t="s">
        <v>1084</v>
      </c>
    </row>
    <row r="1449" spans="1:23" x14ac:dyDescent="0.35">
      <c r="A1449" s="2">
        <v>137</v>
      </c>
      <c r="B1449" s="109" t="s">
        <v>1679</v>
      </c>
      <c r="C1449" s="110" t="s">
        <v>1682</v>
      </c>
      <c r="D1449" s="2">
        <v>4</v>
      </c>
      <c r="E1449" s="51"/>
      <c r="F1449" s="105"/>
      <c r="H1449" s="2"/>
      <c r="I1449" s="2">
        <v>1</v>
      </c>
      <c r="J1449" s="2">
        <v>0</v>
      </c>
      <c r="K1449" s="2" t="s">
        <v>861</v>
      </c>
      <c r="L1449" s="2">
        <v>0</v>
      </c>
      <c r="M1449" s="2">
        <v>0</v>
      </c>
      <c r="N1449" s="244">
        <v>0</v>
      </c>
      <c r="O1449" s="2" t="s">
        <v>108</v>
      </c>
      <c r="P1449" s="2">
        <v>100</v>
      </c>
      <c r="Q1449" s="2" t="s">
        <v>55</v>
      </c>
      <c r="R1449" s="2">
        <v>0</v>
      </c>
      <c r="S1449" s="2"/>
      <c r="T1449" s="2" t="s">
        <v>861</v>
      </c>
      <c r="U1449" s="398" t="s">
        <v>861</v>
      </c>
      <c r="V1449" s="7">
        <v>0</v>
      </c>
      <c r="W1449" s="7" t="s">
        <v>1084</v>
      </c>
    </row>
    <row r="1450" spans="1:23" x14ac:dyDescent="0.35">
      <c r="A1450" s="2">
        <v>137</v>
      </c>
      <c r="B1450" s="109" t="s">
        <v>91</v>
      </c>
      <c r="C1450" s="110" t="s">
        <v>92</v>
      </c>
      <c r="D1450" s="2">
        <v>9</v>
      </c>
      <c r="E1450" s="51"/>
      <c r="F1450" s="105"/>
      <c r="H1450" s="2"/>
      <c r="I1450" s="2">
        <v>1</v>
      </c>
      <c r="J1450" s="2">
        <v>0</v>
      </c>
      <c r="K1450" s="2" t="s">
        <v>861</v>
      </c>
      <c r="L1450" s="2">
        <v>2.82</v>
      </c>
      <c r="M1450" s="2">
        <v>3.0862500000000002</v>
      </c>
      <c r="N1450" s="244">
        <v>8.4172499999999994E-3</v>
      </c>
      <c r="O1450" s="2" t="s">
        <v>934</v>
      </c>
      <c r="P1450" s="2">
        <v>100</v>
      </c>
      <c r="Q1450" s="2" t="s">
        <v>55</v>
      </c>
      <c r="R1450" s="2" t="s">
        <v>91</v>
      </c>
      <c r="S1450" s="2"/>
      <c r="T1450" s="2" t="s">
        <v>861</v>
      </c>
      <c r="U1450" s="398" t="s">
        <v>861</v>
      </c>
      <c r="V1450" s="7">
        <v>0</v>
      </c>
      <c r="W1450" s="7" t="s">
        <v>1084</v>
      </c>
    </row>
    <row r="1451" spans="1:23" x14ac:dyDescent="0.35">
      <c r="A1451" s="2">
        <v>137</v>
      </c>
      <c r="B1451" s="109" t="s">
        <v>93</v>
      </c>
      <c r="C1451" s="110" t="s">
        <v>94</v>
      </c>
      <c r="D1451" s="2">
        <v>7</v>
      </c>
      <c r="E1451" s="51"/>
      <c r="F1451" s="105"/>
      <c r="H1451" s="2"/>
      <c r="I1451" s="2">
        <v>1</v>
      </c>
      <c r="J1451" s="2">
        <v>0</v>
      </c>
      <c r="K1451" s="2" t="s">
        <v>861</v>
      </c>
      <c r="L1451" s="2">
        <v>2.1933333333333334</v>
      </c>
      <c r="M1451" s="2">
        <v>2.4004166666666671</v>
      </c>
      <c r="N1451" s="244">
        <v>6.5467499999999996E-3</v>
      </c>
      <c r="O1451" s="2" t="s">
        <v>934</v>
      </c>
      <c r="P1451" s="2">
        <v>100</v>
      </c>
      <c r="Q1451" s="2" t="s">
        <v>55</v>
      </c>
      <c r="R1451" s="2" t="s">
        <v>93</v>
      </c>
      <c r="S1451" s="2"/>
      <c r="T1451" s="2" t="s">
        <v>861</v>
      </c>
      <c r="U1451" s="398" t="s">
        <v>861</v>
      </c>
      <c r="V1451" s="7">
        <v>0</v>
      </c>
      <c r="W1451" s="7" t="s">
        <v>1084</v>
      </c>
    </row>
    <row r="1452" spans="1:23" x14ac:dyDescent="0.35">
      <c r="A1452" s="2">
        <v>137</v>
      </c>
      <c r="B1452" s="109" t="s">
        <v>95</v>
      </c>
      <c r="C1452" s="110" t="s">
        <v>96</v>
      </c>
      <c r="D1452" s="2">
        <v>5</v>
      </c>
      <c r="E1452" s="51"/>
      <c r="F1452" s="105"/>
      <c r="H1452" s="2"/>
      <c r="I1452" s="2">
        <v>1</v>
      </c>
      <c r="J1452" s="2">
        <v>0</v>
      </c>
      <c r="K1452" s="2" t="s">
        <v>861</v>
      </c>
      <c r="L1452" s="2">
        <v>1.5666666666666667</v>
      </c>
      <c r="M1452" s="2">
        <v>1.7145833333333336</v>
      </c>
      <c r="N1452" s="244">
        <v>4.6762500000000007E-3</v>
      </c>
      <c r="O1452" s="2" t="s">
        <v>934</v>
      </c>
      <c r="P1452" s="2">
        <v>100</v>
      </c>
      <c r="Q1452" s="2" t="s">
        <v>55</v>
      </c>
      <c r="R1452" s="2" t="s">
        <v>95</v>
      </c>
      <c r="S1452" s="2"/>
      <c r="T1452" s="2" t="s">
        <v>861</v>
      </c>
      <c r="U1452" s="398" t="s">
        <v>861</v>
      </c>
      <c r="V1452" s="7">
        <v>0</v>
      </c>
      <c r="W1452" s="7" t="s">
        <v>1084</v>
      </c>
    </row>
    <row r="1453" spans="1:23" x14ac:dyDescent="0.35">
      <c r="A1453" s="2">
        <v>137</v>
      </c>
      <c r="B1453" s="109" t="s">
        <v>97</v>
      </c>
      <c r="C1453" s="110" t="s">
        <v>98</v>
      </c>
      <c r="D1453" s="2">
        <v>5</v>
      </c>
      <c r="E1453" s="51"/>
      <c r="F1453" s="105"/>
      <c r="H1453" s="2"/>
      <c r="I1453" s="2">
        <v>1</v>
      </c>
      <c r="J1453" s="2">
        <v>0</v>
      </c>
      <c r="K1453" s="2" t="s">
        <v>861</v>
      </c>
      <c r="L1453" s="2">
        <v>1.5666666666666667</v>
      </c>
      <c r="M1453" s="2">
        <v>1.7145833333333336</v>
      </c>
      <c r="N1453" s="244">
        <v>4.6762500000000007E-3</v>
      </c>
      <c r="O1453" s="2" t="s">
        <v>934</v>
      </c>
      <c r="P1453" s="2">
        <v>100</v>
      </c>
      <c r="Q1453" s="2" t="s">
        <v>55</v>
      </c>
      <c r="R1453" s="2" t="s">
        <v>97</v>
      </c>
      <c r="S1453" s="2"/>
      <c r="T1453" s="2" t="s">
        <v>861</v>
      </c>
      <c r="U1453" s="398" t="s">
        <v>861</v>
      </c>
      <c r="V1453" s="7">
        <v>0</v>
      </c>
      <c r="W1453" s="7" t="s">
        <v>1084</v>
      </c>
    </row>
    <row r="1454" spans="1:23" x14ac:dyDescent="0.35">
      <c r="A1454" s="2">
        <v>137</v>
      </c>
      <c r="B1454" s="109" t="s">
        <v>99</v>
      </c>
      <c r="C1454" s="110" t="s">
        <v>100</v>
      </c>
      <c r="D1454" s="2">
        <v>6</v>
      </c>
      <c r="E1454" s="51"/>
      <c r="F1454" s="105"/>
      <c r="H1454" s="2"/>
      <c r="I1454" s="2">
        <v>1</v>
      </c>
      <c r="J1454" s="2">
        <v>0</v>
      </c>
      <c r="K1454" s="2" t="s">
        <v>861</v>
      </c>
      <c r="L1454" s="2">
        <v>1.7175</v>
      </c>
      <c r="M1454" s="2">
        <v>1.89</v>
      </c>
      <c r="N1454" s="244">
        <v>6.2887500000000001E-3</v>
      </c>
      <c r="O1454" s="2" t="s">
        <v>934</v>
      </c>
      <c r="P1454" s="2">
        <v>100</v>
      </c>
      <c r="Q1454" s="2" t="s">
        <v>55</v>
      </c>
      <c r="R1454" s="2" t="s">
        <v>99</v>
      </c>
      <c r="S1454" s="2"/>
      <c r="T1454" s="2" t="s">
        <v>861</v>
      </c>
      <c r="U1454" s="398" t="s">
        <v>861</v>
      </c>
      <c r="V1454" s="7">
        <v>0</v>
      </c>
      <c r="W1454" s="7" t="s">
        <v>1084</v>
      </c>
    </row>
    <row r="1455" spans="1:23" x14ac:dyDescent="0.35">
      <c r="A1455" s="2">
        <v>137</v>
      </c>
      <c r="B1455" s="109" t="s">
        <v>101</v>
      </c>
      <c r="C1455" s="110" t="s">
        <v>102</v>
      </c>
      <c r="D1455" s="2">
        <v>9</v>
      </c>
      <c r="E1455" s="51"/>
      <c r="F1455" s="105"/>
      <c r="H1455" s="2"/>
      <c r="I1455" s="2">
        <v>1</v>
      </c>
      <c r="J1455" s="2">
        <v>0</v>
      </c>
      <c r="K1455" s="2" t="s">
        <v>861</v>
      </c>
      <c r="L1455" s="2">
        <v>2.5762499999999999</v>
      </c>
      <c r="M1455" s="2">
        <v>2.835</v>
      </c>
      <c r="N1455" s="244">
        <v>9.4331250000000005E-3</v>
      </c>
      <c r="O1455" s="2" t="s">
        <v>934</v>
      </c>
      <c r="P1455" s="2">
        <v>100</v>
      </c>
      <c r="Q1455" s="2" t="s">
        <v>55</v>
      </c>
      <c r="R1455" s="2" t="s">
        <v>101</v>
      </c>
      <c r="S1455" s="2"/>
      <c r="T1455" s="2" t="s">
        <v>861</v>
      </c>
      <c r="U1455" s="398" t="s">
        <v>861</v>
      </c>
      <c r="V1455" s="7">
        <v>0</v>
      </c>
      <c r="W1455" s="7" t="s">
        <v>1084</v>
      </c>
    </row>
    <row r="1456" spans="1:23" x14ac:dyDescent="0.35">
      <c r="A1456" s="2">
        <v>137</v>
      </c>
      <c r="B1456" s="109" t="s">
        <v>103</v>
      </c>
      <c r="C1456" s="110" t="s">
        <v>104</v>
      </c>
      <c r="D1456" s="2">
        <v>13</v>
      </c>
      <c r="E1456" s="51"/>
      <c r="F1456" s="105"/>
      <c r="H1456" s="2"/>
      <c r="I1456" s="2">
        <v>1</v>
      </c>
      <c r="J1456" s="2">
        <v>0</v>
      </c>
      <c r="K1456" s="2" t="s">
        <v>861</v>
      </c>
      <c r="L1456" s="2">
        <v>3.7212499999999999</v>
      </c>
      <c r="M1456" s="2">
        <v>4.0949999999999998</v>
      </c>
      <c r="N1456" s="244">
        <v>1.3625625000000001E-2</v>
      </c>
      <c r="O1456" s="2" t="s">
        <v>934</v>
      </c>
      <c r="P1456" s="2">
        <v>100</v>
      </c>
      <c r="Q1456" s="2" t="s">
        <v>55</v>
      </c>
      <c r="R1456" s="2" t="s">
        <v>103</v>
      </c>
      <c r="S1456" s="2"/>
      <c r="T1456" s="2" t="s">
        <v>861</v>
      </c>
      <c r="U1456" s="398" t="s">
        <v>861</v>
      </c>
      <c r="V1456" s="7">
        <v>0</v>
      </c>
      <c r="W1456" s="7" t="s">
        <v>1084</v>
      </c>
    </row>
    <row r="1457" spans="1:23" x14ac:dyDescent="0.35">
      <c r="A1457" s="2">
        <v>137</v>
      </c>
      <c r="B1457" s="109" t="s">
        <v>105</v>
      </c>
      <c r="C1457" s="110" t="s">
        <v>106</v>
      </c>
      <c r="D1457" s="2">
        <v>12</v>
      </c>
      <c r="E1457" s="51"/>
      <c r="F1457" s="105"/>
      <c r="H1457" s="2"/>
      <c r="I1457" s="2">
        <v>1</v>
      </c>
      <c r="J1457" s="2">
        <v>0</v>
      </c>
      <c r="K1457" s="2" t="s">
        <v>861</v>
      </c>
      <c r="L1457" s="2">
        <v>3.4350000000000001</v>
      </c>
      <c r="M1457" s="2">
        <v>3.78</v>
      </c>
      <c r="N1457" s="244">
        <v>1.25775E-2</v>
      </c>
      <c r="O1457" s="2" t="s">
        <v>934</v>
      </c>
      <c r="P1457" s="2">
        <v>100</v>
      </c>
      <c r="Q1457" s="2" t="s">
        <v>55</v>
      </c>
      <c r="R1457" s="2" t="s">
        <v>105</v>
      </c>
      <c r="S1457" s="2"/>
      <c r="T1457" s="2" t="s">
        <v>861</v>
      </c>
      <c r="U1457" s="398" t="s">
        <v>861</v>
      </c>
      <c r="V1457" s="7">
        <v>0</v>
      </c>
      <c r="W1457" s="7" t="s">
        <v>1084</v>
      </c>
    </row>
    <row r="1458" spans="1:23" x14ac:dyDescent="0.35">
      <c r="A1458" s="2">
        <v>137</v>
      </c>
      <c r="B1458" s="109" t="s">
        <v>672</v>
      </c>
      <c r="C1458" s="110" t="s">
        <v>851</v>
      </c>
      <c r="D1458" s="2">
        <v>3</v>
      </c>
      <c r="E1458" s="51"/>
      <c r="F1458" s="105"/>
      <c r="H1458" s="2"/>
      <c r="I1458" s="2">
        <v>1</v>
      </c>
      <c r="J1458" s="2">
        <v>0</v>
      </c>
      <c r="K1458" s="2" t="s">
        <v>861</v>
      </c>
      <c r="L1458" s="2">
        <v>0.81299999999999994</v>
      </c>
      <c r="M1458" s="2">
        <v>0.88624999999999998</v>
      </c>
      <c r="N1458" s="244">
        <v>2.0048437500000001E-3</v>
      </c>
      <c r="O1458" s="2" t="s">
        <v>150</v>
      </c>
      <c r="P1458" s="2">
        <v>250</v>
      </c>
      <c r="Q1458" s="2" t="s">
        <v>151</v>
      </c>
      <c r="R1458" s="2" t="s">
        <v>672</v>
      </c>
      <c r="S1458" s="2"/>
      <c r="T1458" s="2" t="s">
        <v>861</v>
      </c>
      <c r="U1458" s="398" t="s">
        <v>861</v>
      </c>
      <c r="V1458" s="7">
        <v>0</v>
      </c>
      <c r="W1458" s="7" t="s">
        <v>1084</v>
      </c>
    </row>
    <row r="1459" spans="1:23" x14ac:dyDescent="0.35">
      <c r="A1459" s="2">
        <v>137</v>
      </c>
      <c r="B1459" s="109" t="s">
        <v>674</v>
      </c>
      <c r="C1459" s="110" t="s">
        <v>852</v>
      </c>
      <c r="D1459" s="2">
        <v>3</v>
      </c>
      <c r="E1459" s="51"/>
      <c r="F1459" s="105"/>
      <c r="H1459" s="2"/>
      <c r="I1459" s="2">
        <v>1</v>
      </c>
      <c r="J1459" s="2">
        <v>0</v>
      </c>
      <c r="K1459" s="2" t="s">
        <v>861</v>
      </c>
      <c r="L1459" s="2">
        <v>0.81299999999999994</v>
      </c>
      <c r="M1459" s="2">
        <v>0.88624999999999998</v>
      </c>
      <c r="N1459" s="244">
        <v>2.0048437500000001E-3</v>
      </c>
      <c r="O1459" s="2" t="s">
        <v>150</v>
      </c>
      <c r="P1459" s="2">
        <v>250</v>
      </c>
      <c r="Q1459" s="2" t="s">
        <v>151</v>
      </c>
      <c r="R1459" s="2" t="s">
        <v>674</v>
      </c>
      <c r="S1459" s="2"/>
      <c r="T1459" s="2" t="s">
        <v>861</v>
      </c>
      <c r="U1459" s="398" t="s">
        <v>861</v>
      </c>
      <c r="V1459" s="7">
        <v>0</v>
      </c>
      <c r="W1459" s="7" t="s">
        <v>1084</v>
      </c>
    </row>
    <row r="1460" spans="1:23" x14ac:dyDescent="0.35">
      <c r="A1460" s="2">
        <v>137</v>
      </c>
      <c r="B1460" s="109" t="s">
        <v>676</v>
      </c>
      <c r="C1460" s="110" t="s">
        <v>853</v>
      </c>
      <c r="D1460" s="2">
        <v>3</v>
      </c>
      <c r="E1460" s="51"/>
      <c r="F1460" s="105"/>
      <c r="H1460" s="2"/>
      <c r="I1460" s="2">
        <v>1</v>
      </c>
      <c r="J1460" s="2">
        <v>0</v>
      </c>
      <c r="K1460" s="2" t="s">
        <v>861</v>
      </c>
      <c r="L1460" s="2">
        <v>0.81299999999999994</v>
      </c>
      <c r="M1460" s="2">
        <v>0.88624999999999998</v>
      </c>
      <c r="N1460" s="244">
        <v>2.0048437500000001E-3</v>
      </c>
      <c r="O1460" s="2" t="s">
        <v>150</v>
      </c>
      <c r="P1460" s="2">
        <v>250</v>
      </c>
      <c r="Q1460" s="2" t="s">
        <v>151</v>
      </c>
      <c r="R1460" s="2" t="s">
        <v>676</v>
      </c>
      <c r="S1460" s="2"/>
      <c r="T1460" s="2" t="s">
        <v>861</v>
      </c>
      <c r="U1460" s="398" t="s">
        <v>861</v>
      </c>
      <c r="V1460" s="7">
        <v>0</v>
      </c>
      <c r="W1460" s="7" t="s">
        <v>1084</v>
      </c>
    </row>
    <row r="1461" spans="1:23" x14ac:dyDescent="0.35">
      <c r="A1461" s="2">
        <v>137</v>
      </c>
      <c r="B1461" s="109" t="s">
        <v>678</v>
      </c>
      <c r="C1461" s="110" t="s">
        <v>854</v>
      </c>
      <c r="D1461" s="2">
        <v>3</v>
      </c>
      <c r="E1461" s="51"/>
      <c r="F1461" s="105"/>
      <c r="H1461" s="2"/>
      <c r="I1461" s="2">
        <v>1</v>
      </c>
      <c r="J1461" s="2">
        <v>0</v>
      </c>
      <c r="K1461" s="2" t="s">
        <v>861</v>
      </c>
      <c r="L1461" s="2">
        <v>0.81299999999999994</v>
      </c>
      <c r="M1461" s="2">
        <v>0.88624999999999998</v>
      </c>
      <c r="N1461" s="244">
        <v>2.0048437500000001E-3</v>
      </c>
      <c r="O1461" s="2" t="s">
        <v>150</v>
      </c>
      <c r="P1461" s="2">
        <v>250</v>
      </c>
      <c r="Q1461" s="2" t="s">
        <v>151</v>
      </c>
      <c r="R1461" s="2" t="s">
        <v>678</v>
      </c>
      <c r="S1461" s="2"/>
      <c r="T1461" s="2" t="s">
        <v>861</v>
      </c>
      <c r="U1461" s="398" t="s">
        <v>861</v>
      </c>
      <c r="V1461" s="7">
        <v>0</v>
      </c>
      <c r="W1461" s="7" t="s">
        <v>1084</v>
      </c>
    </row>
    <row r="1462" spans="1:23" x14ac:dyDescent="0.35">
      <c r="A1462" s="2">
        <v>137</v>
      </c>
      <c r="B1462" s="109" t="s">
        <v>680</v>
      </c>
      <c r="C1462" s="110" t="s">
        <v>847</v>
      </c>
      <c r="D1462" s="2">
        <v>3</v>
      </c>
      <c r="E1462" s="51"/>
      <c r="F1462" s="105"/>
      <c r="H1462" s="2"/>
      <c r="I1462" s="2">
        <v>1</v>
      </c>
      <c r="J1462" s="2">
        <v>0</v>
      </c>
      <c r="K1462" s="2" t="s">
        <v>861</v>
      </c>
      <c r="L1462" s="2">
        <v>0.76200000000000001</v>
      </c>
      <c r="M1462" s="2">
        <v>0.85</v>
      </c>
      <c r="N1462" s="244">
        <v>2.8339687500000001E-3</v>
      </c>
      <c r="O1462" s="2" t="s">
        <v>150</v>
      </c>
      <c r="P1462" s="2">
        <v>300</v>
      </c>
      <c r="Q1462" s="2" t="s">
        <v>151</v>
      </c>
      <c r="R1462" s="2" t="s">
        <v>680</v>
      </c>
      <c r="S1462" s="2"/>
      <c r="T1462" s="2" t="s">
        <v>861</v>
      </c>
      <c r="U1462" s="398" t="s">
        <v>861</v>
      </c>
      <c r="V1462" s="7">
        <v>0</v>
      </c>
      <c r="W1462" s="7" t="s">
        <v>1084</v>
      </c>
    </row>
    <row r="1463" spans="1:23" x14ac:dyDescent="0.35">
      <c r="A1463" s="2">
        <v>137</v>
      </c>
      <c r="B1463" s="109" t="s">
        <v>682</v>
      </c>
      <c r="C1463" s="110" t="s">
        <v>848</v>
      </c>
      <c r="D1463" s="2">
        <v>3</v>
      </c>
      <c r="E1463" s="51"/>
      <c r="F1463" s="105"/>
      <c r="H1463" s="2"/>
      <c r="I1463" s="2">
        <v>1</v>
      </c>
      <c r="J1463" s="2">
        <v>0</v>
      </c>
      <c r="K1463" s="2" t="s">
        <v>861</v>
      </c>
      <c r="L1463" s="2">
        <v>0.76200000000000001</v>
      </c>
      <c r="M1463" s="2">
        <v>0.85</v>
      </c>
      <c r="N1463" s="244">
        <v>2.8339687500000001E-3</v>
      </c>
      <c r="O1463" s="2" t="s">
        <v>150</v>
      </c>
      <c r="P1463" s="2">
        <v>300</v>
      </c>
      <c r="Q1463" s="2" t="s">
        <v>151</v>
      </c>
      <c r="R1463" s="2" t="s">
        <v>682</v>
      </c>
      <c r="S1463" s="2"/>
      <c r="T1463" s="2" t="s">
        <v>861</v>
      </c>
      <c r="U1463" s="398" t="s">
        <v>861</v>
      </c>
      <c r="V1463" s="7">
        <v>0</v>
      </c>
      <c r="W1463" s="7" t="s">
        <v>1084</v>
      </c>
    </row>
    <row r="1464" spans="1:23" x14ac:dyDescent="0.35">
      <c r="A1464" s="2">
        <v>137</v>
      </c>
      <c r="B1464" s="109" t="s">
        <v>684</v>
      </c>
      <c r="C1464" s="110" t="s">
        <v>850</v>
      </c>
      <c r="D1464" s="2">
        <v>3</v>
      </c>
      <c r="E1464" s="51"/>
      <c r="F1464" s="105"/>
      <c r="H1464" s="2"/>
      <c r="I1464" s="2">
        <v>1</v>
      </c>
      <c r="J1464" s="2">
        <v>0</v>
      </c>
      <c r="K1464" s="2" t="s">
        <v>861</v>
      </c>
      <c r="L1464" s="2">
        <v>0.76200000000000001</v>
      </c>
      <c r="M1464" s="2">
        <v>0.85</v>
      </c>
      <c r="N1464" s="244">
        <v>2.8339687500000001E-3</v>
      </c>
      <c r="O1464" s="2" t="s">
        <v>150</v>
      </c>
      <c r="P1464" s="2">
        <v>300</v>
      </c>
      <c r="Q1464" s="2" t="s">
        <v>151</v>
      </c>
      <c r="R1464" s="2" t="s">
        <v>684</v>
      </c>
      <c r="S1464" s="2"/>
      <c r="T1464" s="2" t="s">
        <v>861</v>
      </c>
      <c r="U1464" s="398" t="s">
        <v>861</v>
      </c>
      <c r="V1464" s="7">
        <v>0</v>
      </c>
      <c r="W1464" s="7" t="s">
        <v>1084</v>
      </c>
    </row>
    <row r="1465" spans="1:23" x14ac:dyDescent="0.35">
      <c r="A1465" s="2">
        <v>137</v>
      </c>
      <c r="B1465" s="109" t="s">
        <v>686</v>
      </c>
      <c r="C1465" s="110" t="s">
        <v>849</v>
      </c>
      <c r="D1465" s="2">
        <v>3</v>
      </c>
      <c r="E1465" s="51"/>
      <c r="F1465" s="105"/>
      <c r="H1465" s="2"/>
      <c r="I1465" s="2">
        <v>1</v>
      </c>
      <c r="J1465" s="2">
        <v>0</v>
      </c>
      <c r="K1465" s="2" t="s">
        <v>861</v>
      </c>
      <c r="L1465" s="2">
        <v>0.76200000000000001</v>
      </c>
      <c r="M1465" s="2">
        <v>0.85</v>
      </c>
      <c r="N1465" s="244">
        <v>2.8339687500000001E-3</v>
      </c>
      <c r="O1465" s="2" t="s">
        <v>150</v>
      </c>
      <c r="P1465" s="2">
        <v>300</v>
      </c>
      <c r="Q1465" s="2" t="s">
        <v>151</v>
      </c>
      <c r="R1465" s="2" t="s">
        <v>686</v>
      </c>
      <c r="S1465" s="2"/>
      <c r="T1465" s="2" t="s">
        <v>861</v>
      </c>
      <c r="U1465" s="398" t="s">
        <v>861</v>
      </c>
      <c r="V1465" s="7">
        <v>0</v>
      </c>
      <c r="W1465" s="7" t="s">
        <v>1084</v>
      </c>
    </row>
    <row r="1466" spans="1:23" x14ac:dyDescent="0.35">
      <c r="A1466" s="2">
        <v>137</v>
      </c>
      <c r="B1466" s="109" t="s">
        <v>17</v>
      </c>
      <c r="C1466" s="110" t="s">
        <v>20</v>
      </c>
      <c r="D1466" s="2">
        <v>4</v>
      </c>
      <c r="E1466" s="51"/>
      <c r="F1466" s="105"/>
      <c r="H1466" s="2"/>
      <c r="I1466" s="2">
        <v>1</v>
      </c>
      <c r="J1466" s="2">
        <v>0</v>
      </c>
      <c r="K1466" s="2" t="s">
        <v>861</v>
      </c>
      <c r="L1466" s="2">
        <v>1.68</v>
      </c>
      <c r="M1466" s="2">
        <v>1.93</v>
      </c>
      <c r="N1466" s="244">
        <v>9.3609999999999995E-3</v>
      </c>
      <c r="O1466" s="2" t="s">
        <v>18</v>
      </c>
      <c r="P1466" s="2">
        <v>50</v>
      </c>
      <c r="Q1466" s="2" t="s">
        <v>1695</v>
      </c>
      <c r="R1466" s="2" t="s">
        <v>17</v>
      </c>
      <c r="S1466" s="2"/>
      <c r="T1466" s="2" t="s">
        <v>861</v>
      </c>
      <c r="U1466" s="398" t="s">
        <v>861</v>
      </c>
      <c r="V1466" s="7">
        <v>0</v>
      </c>
      <c r="W1466" s="7" t="s">
        <v>1084</v>
      </c>
    </row>
    <row r="1467" spans="1:23" x14ac:dyDescent="0.35">
      <c r="A1467" s="2">
        <v>137</v>
      </c>
      <c r="B1467" s="109" t="s">
        <v>23</v>
      </c>
      <c r="C1467" s="110" t="s">
        <v>24</v>
      </c>
      <c r="D1467" s="2">
        <v>3</v>
      </c>
      <c r="E1467" s="51"/>
      <c r="F1467" s="105"/>
      <c r="H1467" s="2"/>
      <c r="I1467" s="2">
        <v>1</v>
      </c>
      <c r="J1467" s="2">
        <v>0</v>
      </c>
      <c r="K1467" s="2" t="s">
        <v>861</v>
      </c>
      <c r="L1467" s="2">
        <v>1.26</v>
      </c>
      <c r="M1467" s="2">
        <v>1.4475</v>
      </c>
      <c r="N1467" s="244">
        <v>7.0207500000000001E-3</v>
      </c>
      <c r="O1467" s="2" t="s">
        <v>18</v>
      </c>
      <c r="P1467" s="2">
        <v>50</v>
      </c>
      <c r="Q1467" s="2">
        <v>0</v>
      </c>
      <c r="R1467" s="2" t="s">
        <v>23</v>
      </c>
      <c r="S1467" s="2"/>
      <c r="T1467" s="2" t="s">
        <v>861</v>
      </c>
      <c r="U1467" s="398" t="s">
        <v>861</v>
      </c>
      <c r="V1467" s="7">
        <v>0</v>
      </c>
      <c r="W1467" s="7" t="s">
        <v>1084</v>
      </c>
    </row>
    <row r="1468" spans="1:23" x14ac:dyDescent="0.35">
      <c r="A1468" s="2">
        <v>137</v>
      </c>
      <c r="B1468" s="109" t="s">
        <v>25</v>
      </c>
      <c r="C1468" s="110" t="s">
        <v>26</v>
      </c>
      <c r="D1468" s="2">
        <v>6</v>
      </c>
      <c r="E1468" s="51"/>
      <c r="F1468" s="105"/>
      <c r="H1468" s="2"/>
      <c r="I1468" s="2">
        <v>1</v>
      </c>
      <c r="J1468" s="2">
        <v>0</v>
      </c>
      <c r="K1468" s="2" t="s">
        <v>861</v>
      </c>
      <c r="L1468" s="2">
        <v>2.52</v>
      </c>
      <c r="M1468" s="2">
        <v>2.895</v>
      </c>
      <c r="N1468" s="244">
        <v>1.40415E-2</v>
      </c>
      <c r="O1468" s="2" t="s">
        <v>18</v>
      </c>
      <c r="P1468" s="2">
        <v>50</v>
      </c>
      <c r="Q1468" s="2" t="s">
        <v>1686</v>
      </c>
      <c r="R1468" s="2" t="s">
        <v>25</v>
      </c>
      <c r="S1468" s="2"/>
      <c r="T1468" s="2" t="s">
        <v>861</v>
      </c>
      <c r="U1468" s="398" t="s">
        <v>861</v>
      </c>
      <c r="V1468" s="7">
        <v>0</v>
      </c>
      <c r="W1468" s="7" t="s">
        <v>1084</v>
      </c>
    </row>
    <row r="1469" spans="1:23" x14ac:dyDescent="0.35">
      <c r="A1469" s="2">
        <v>137</v>
      </c>
      <c r="B1469" s="109" t="s">
        <v>27</v>
      </c>
      <c r="C1469" s="110" t="s">
        <v>28</v>
      </c>
      <c r="D1469" s="2">
        <v>6</v>
      </c>
      <c r="E1469" s="51"/>
      <c r="F1469" s="105"/>
      <c r="H1469" s="2"/>
      <c r="I1469" s="2">
        <v>1</v>
      </c>
      <c r="J1469" s="2">
        <v>0</v>
      </c>
      <c r="K1469" s="2" t="s">
        <v>861</v>
      </c>
      <c r="L1469" s="2">
        <v>2.52</v>
      </c>
      <c r="M1469" s="2">
        <v>2.895</v>
      </c>
      <c r="N1469" s="244">
        <v>1.40415E-2</v>
      </c>
      <c r="O1469" s="2" t="s">
        <v>18</v>
      </c>
      <c r="P1469" s="2">
        <v>50</v>
      </c>
      <c r="Q1469" s="2">
        <v>0</v>
      </c>
      <c r="R1469" s="2" t="s">
        <v>27</v>
      </c>
      <c r="S1469" s="2"/>
      <c r="T1469" s="2" t="s">
        <v>861</v>
      </c>
      <c r="U1469" s="398" t="s">
        <v>861</v>
      </c>
      <c r="V1469" s="7">
        <v>0</v>
      </c>
      <c r="W1469" s="7" t="s">
        <v>1084</v>
      </c>
    </row>
    <row r="1470" spans="1:23" x14ac:dyDescent="0.35">
      <c r="A1470" s="2">
        <v>137</v>
      </c>
      <c r="B1470" s="109" t="s">
        <v>29</v>
      </c>
      <c r="C1470" s="110" t="s">
        <v>31</v>
      </c>
      <c r="D1470" s="2">
        <v>6</v>
      </c>
      <c r="E1470" s="51"/>
      <c r="F1470" s="105"/>
      <c r="H1470" s="2"/>
      <c r="I1470" s="2">
        <v>1</v>
      </c>
      <c r="J1470" s="2">
        <v>0</v>
      </c>
      <c r="K1470" s="2" t="s">
        <v>861</v>
      </c>
      <c r="L1470" s="2">
        <v>2.39</v>
      </c>
      <c r="M1470" s="2">
        <v>2.625</v>
      </c>
      <c r="N1470" s="244">
        <v>1.40415E-2</v>
      </c>
      <c r="O1470" s="2" t="s">
        <v>18</v>
      </c>
      <c r="P1470" s="2">
        <v>50</v>
      </c>
      <c r="Q1470" s="2">
        <v>0</v>
      </c>
      <c r="R1470" s="2" t="s">
        <v>29</v>
      </c>
      <c r="S1470" s="2"/>
      <c r="T1470" s="2" t="s">
        <v>861</v>
      </c>
      <c r="U1470" s="398" t="s">
        <v>861</v>
      </c>
      <c r="V1470" s="7">
        <v>0</v>
      </c>
      <c r="W1470" s="7" t="s">
        <v>1084</v>
      </c>
    </row>
    <row r="1471" spans="1:23" x14ac:dyDescent="0.35">
      <c r="A1471" s="2">
        <v>137</v>
      </c>
      <c r="B1471" s="109" t="s">
        <v>32</v>
      </c>
      <c r="C1471" s="110" t="s">
        <v>33</v>
      </c>
      <c r="D1471" s="2">
        <v>5</v>
      </c>
      <c r="E1471" s="51"/>
      <c r="F1471" s="105"/>
      <c r="H1471" s="2"/>
      <c r="I1471" s="2">
        <v>1</v>
      </c>
      <c r="J1471" s="2">
        <v>0</v>
      </c>
      <c r="K1471" s="2" t="s">
        <v>861</v>
      </c>
      <c r="L1471" s="2">
        <v>1.9916666666666669</v>
      </c>
      <c r="M1471" s="2">
        <v>2.1875</v>
      </c>
      <c r="N1471" s="244">
        <v>1.1701250000000002E-2</v>
      </c>
      <c r="O1471" s="2" t="s">
        <v>18</v>
      </c>
      <c r="P1471" s="2">
        <v>50</v>
      </c>
      <c r="Q1471" s="2" t="s">
        <v>1687</v>
      </c>
      <c r="R1471" s="2" t="s">
        <v>32</v>
      </c>
      <c r="S1471" s="2"/>
      <c r="T1471" s="2" t="s">
        <v>861</v>
      </c>
      <c r="U1471" s="398" t="s">
        <v>861</v>
      </c>
      <c r="V1471" s="7">
        <v>0</v>
      </c>
      <c r="W1471" s="7" t="s">
        <v>1084</v>
      </c>
    </row>
    <row r="1472" spans="1:23" x14ac:dyDescent="0.35">
      <c r="A1472" s="2">
        <v>137</v>
      </c>
      <c r="B1472" s="109" t="s">
        <v>34</v>
      </c>
      <c r="C1472" s="110" t="s">
        <v>35</v>
      </c>
      <c r="D1472" s="2">
        <v>5</v>
      </c>
      <c r="E1472" s="51"/>
      <c r="F1472" s="105"/>
      <c r="H1472" s="2"/>
      <c r="I1472" s="2">
        <v>1</v>
      </c>
      <c r="J1472" s="2">
        <v>0</v>
      </c>
      <c r="K1472" s="2" t="s">
        <v>861</v>
      </c>
      <c r="L1472" s="2">
        <v>1.9916666666666669</v>
      </c>
      <c r="M1472" s="2">
        <v>2.1875</v>
      </c>
      <c r="N1472" s="244">
        <v>1.1701250000000002E-2</v>
      </c>
      <c r="O1472" s="2" t="s">
        <v>18</v>
      </c>
      <c r="P1472" s="2">
        <v>50</v>
      </c>
      <c r="Q1472" s="2">
        <v>0</v>
      </c>
      <c r="R1472" s="2" t="s">
        <v>34</v>
      </c>
      <c r="S1472" s="2"/>
      <c r="T1472" s="2" t="s">
        <v>861</v>
      </c>
      <c r="U1472" s="398" t="s">
        <v>861</v>
      </c>
      <c r="V1472" s="7">
        <v>0</v>
      </c>
      <c r="W1472" s="7" t="s">
        <v>1084</v>
      </c>
    </row>
    <row r="1473" spans="1:23" x14ac:dyDescent="0.35">
      <c r="A1473" s="2">
        <v>137</v>
      </c>
      <c r="B1473" s="109" t="s">
        <v>36</v>
      </c>
      <c r="C1473" s="110" t="s">
        <v>37</v>
      </c>
      <c r="D1473" s="2">
        <v>6</v>
      </c>
      <c r="E1473" s="51"/>
      <c r="F1473" s="105"/>
      <c r="H1473" s="2"/>
      <c r="I1473" s="2">
        <v>1</v>
      </c>
      <c r="J1473" s="2">
        <v>0</v>
      </c>
      <c r="K1473" s="2" t="s">
        <v>861</v>
      </c>
      <c r="L1473" s="2">
        <v>2.39</v>
      </c>
      <c r="M1473" s="2">
        <v>2.625</v>
      </c>
      <c r="N1473" s="244">
        <v>1.40415E-2</v>
      </c>
      <c r="O1473" s="2" t="s">
        <v>18</v>
      </c>
      <c r="P1473" s="2">
        <v>50</v>
      </c>
      <c r="Q1473" s="2">
        <v>0</v>
      </c>
      <c r="R1473" s="2" t="s">
        <v>36</v>
      </c>
      <c r="S1473" s="2"/>
      <c r="T1473" s="2" t="s">
        <v>861</v>
      </c>
      <c r="U1473" s="398" t="s">
        <v>861</v>
      </c>
      <c r="V1473" s="7">
        <v>0</v>
      </c>
      <c r="W1473" s="7" t="s">
        <v>1084</v>
      </c>
    </row>
    <row r="1474" spans="1:23" x14ac:dyDescent="0.35">
      <c r="A1474" s="2">
        <v>137</v>
      </c>
      <c r="B1474" s="109" t="s">
        <v>38</v>
      </c>
      <c r="C1474" s="110" t="s">
        <v>39</v>
      </c>
      <c r="D1474" s="2">
        <v>3</v>
      </c>
      <c r="E1474" s="51"/>
      <c r="F1474" s="105"/>
      <c r="H1474" s="2"/>
      <c r="I1474" s="2">
        <v>1</v>
      </c>
      <c r="J1474" s="2">
        <v>0</v>
      </c>
      <c r="K1474" s="2" t="s">
        <v>861</v>
      </c>
      <c r="L1474" s="2">
        <v>1.5425</v>
      </c>
      <c r="M1474" s="2">
        <v>1.6924999999999999</v>
      </c>
      <c r="N1474" s="244">
        <v>9.7455000000000007E-3</v>
      </c>
      <c r="O1474" s="2" t="s">
        <v>18</v>
      </c>
      <c r="P1474" s="2">
        <v>50</v>
      </c>
      <c r="Q1474" s="2">
        <v>0</v>
      </c>
      <c r="R1474" s="2" t="s">
        <v>38</v>
      </c>
      <c r="S1474" s="2"/>
      <c r="T1474" s="2" t="s">
        <v>861</v>
      </c>
      <c r="U1474" s="398" t="s">
        <v>861</v>
      </c>
      <c r="V1474" s="7">
        <v>0</v>
      </c>
      <c r="W1474" s="7" t="s">
        <v>1084</v>
      </c>
    </row>
    <row r="1475" spans="1:23" x14ac:dyDescent="0.35">
      <c r="A1475" s="2">
        <v>137</v>
      </c>
      <c r="B1475" s="109" t="s">
        <v>40</v>
      </c>
      <c r="C1475" s="110" t="s">
        <v>41</v>
      </c>
      <c r="D1475" s="2">
        <v>5</v>
      </c>
      <c r="E1475" s="51"/>
      <c r="F1475" s="105"/>
      <c r="H1475" s="2"/>
      <c r="I1475" s="2">
        <v>1</v>
      </c>
      <c r="J1475" s="2">
        <v>0</v>
      </c>
      <c r="K1475" s="2" t="s">
        <v>861</v>
      </c>
      <c r="L1475" s="2">
        <v>2.5708333333333333</v>
      </c>
      <c r="M1475" s="2">
        <v>2.8208333333333333</v>
      </c>
      <c r="N1475" s="244">
        <v>1.6242500000000003E-2</v>
      </c>
      <c r="O1475" s="2" t="s">
        <v>18</v>
      </c>
      <c r="P1475" s="2">
        <v>50</v>
      </c>
      <c r="Q1475" s="2">
        <v>0</v>
      </c>
      <c r="R1475" s="2" t="s">
        <v>40</v>
      </c>
      <c r="S1475" s="2"/>
      <c r="T1475" s="2" t="s">
        <v>861</v>
      </c>
      <c r="U1475" s="398" t="s">
        <v>861</v>
      </c>
      <c r="V1475" s="7">
        <v>0</v>
      </c>
      <c r="W1475" s="7" t="s">
        <v>1084</v>
      </c>
    </row>
    <row r="1476" spans="1:23" x14ac:dyDescent="0.35">
      <c r="A1476" s="2">
        <v>137</v>
      </c>
      <c r="B1476" s="109" t="s">
        <v>42</v>
      </c>
      <c r="C1476" s="110" t="s">
        <v>43</v>
      </c>
      <c r="D1476" s="2">
        <v>5</v>
      </c>
      <c r="E1476" s="51"/>
      <c r="F1476" s="105"/>
      <c r="H1476" s="2"/>
      <c r="I1476" s="2">
        <v>1</v>
      </c>
      <c r="J1476" s="2">
        <v>0</v>
      </c>
      <c r="K1476" s="2" t="s">
        <v>861</v>
      </c>
      <c r="L1476" s="2">
        <v>2.5708333333333333</v>
      </c>
      <c r="M1476" s="2">
        <v>2.8208333333333333</v>
      </c>
      <c r="N1476" s="244">
        <v>1.6242500000000003E-2</v>
      </c>
      <c r="O1476" s="2" t="s">
        <v>18</v>
      </c>
      <c r="P1476" s="2">
        <v>50</v>
      </c>
      <c r="Q1476" s="2">
        <v>0</v>
      </c>
      <c r="R1476" s="2" t="s">
        <v>42</v>
      </c>
      <c r="S1476" s="2"/>
      <c r="T1476" s="2" t="s">
        <v>861</v>
      </c>
      <c r="U1476" s="398" t="s">
        <v>861</v>
      </c>
      <c r="V1476" s="7">
        <v>0</v>
      </c>
      <c r="W1476" s="7" t="s">
        <v>1084</v>
      </c>
    </row>
    <row r="1477" spans="1:23" x14ac:dyDescent="0.35">
      <c r="A1477" s="2">
        <v>137</v>
      </c>
      <c r="B1477" s="109" t="s">
        <v>44</v>
      </c>
      <c r="C1477" s="110" t="s">
        <v>45</v>
      </c>
      <c r="D1477" s="2">
        <v>5</v>
      </c>
      <c r="E1477" s="51"/>
      <c r="F1477" s="105"/>
      <c r="H1477" s="2"/>
      <c r="I1477" s="2">
        <v>1</v>
      </c>
      <c r="J1477" s="2">
        <v>0</v>
      </c>
      <c r="K1477" s="2" t="s">
        <v>861</v>
      </c>
      <c r="L1477" s="2">
        <v>2.5708333333333333</v>
      </c>
      <c r="M1477" s="2">
        <v>2.8208333333333333</v>
      </c>
      <c r="N1477" s="244">
        <v>1.6242500000000003E-2</v>
      </c>
      <c r="O1477" s="2" t="s">
        <v>18</v>
      </c>
      <c r="P1477" s="2">
        <v>50</v>
      </c>
      <c r="Q1477" s="2">
        <v>0</v>
      </c>
      <c r="R1477" s="2" t="s">
        <v>44</v>
      </c>
      <c r="S1477" s="2"/>
      <c r="T1477" s="2" t="s">
        <v>861</v>
      </c>
      <c r="U1477" s="398" t="s">
        <v>861</v>
      </c>
      <c r="V1477" s="7">
        <v>0</v>
      </c>
      <c r="W1477" s="7" t="s">
        <v>1084</v>
      </c>
    </row>
    <row r="1478" spans="1:23" x14ac:dyDescent="0.35">
      <c r="A1478" s="2">
        <v>137</v>
      </c>
      <c r="B1478" s="109" t="s">
        <v>46</v>
      </c>
      <c r="C1478" s="110" t="s">
        <v>47</v>
      </c>
      <c r="D1478" s="2">
        <v>6</v>
      </c>
      <c r="E1478" s="51"/>
      <c r="F1478" s="105"/>
      <c r="H1478" s="2"/>
      <c r="I1478" s="2">
        <v>1</v>
      </c>
      <c r="J1478" s="2">
        <v>0</v>
      </c>
      <c r="K1478" s="2" t="s">
        <v>861</v>
      </c>
      <c r="L1478" s="2">
        <v>2.85</v>
      </c>
      <c r="M1478" s="2">
        <v>3.15</v>
      </c>
      <c r="N1478" s="244">
        <v>1.9491000000000001E-2</v>
      </c>
      <c r="O1478" s="2" t="s">
        <v>18</v>
      </c>
      <c r="P1478" s="2">
        <v>50</v>
      </c>
      <c r="Q1478" s="2">
        <v>0</v>
      </c>
      <c r="R1478" s="2" t="s">
        <v>46</v>
      </c>
      <c r="S1478" s="2"/>
      <c r="T1478" s="2" t="s">
        <v>861</v>
      </c>
      <c r="U1478" s="398" t="s">
        <v>861</v>
      </c>
      <c r="V1478" s="7">
        <v>0</v>
      </c>
      <c r="W1478" s="7" t="s">
        <v>1084</v>
      </c>
    </row>
    <row r="1479" spans="1:23" x14ac:dyDescent="0.35">
      <c r="A1479" s="2">
        <v>137</v>
      </c>
      <c r="B1479" s="109" t="s">
        <v>48</v>
      </c>
      <c r="C1479" s="110" t="s">
        <v>49</v>
      </c>
      <c r="D1479" s="2">
        <v>6</v>
      </c>
      <c r="E1479" s="51"/>
      <c r="F1479" s="105"/>
      <c r="H1479" s="2"/>
      <c r="I1479" s="2">
        <v>1</v>
      </c>
      <c r="J1479" s="2">
        <v>0</v>
      </c>
      <c r="K1479" s="2" t="s">
        <v>861</v>
      </c>
      <c r="L1479" s="2">
        <v>2.85</v>
      </c>
      <c r="M1479" s="2">
        <v>3.15</v>
      </c>
      <c r="N1479" s="244">
        <v>1.9491000000000001E-2</v>
      </c>
      <c r="O1479" s="2" t="s">
        <v>18</v>
      </c>
      <c r="P1479" s="2">
        <v>50</v>
      </c>
      <c r="Q1479" s="2">
        <v>0</v>
      </c>
      <c r="R1479" s="2" t="s">
        <v>48</v>
      </c>
      <c r="S1479" s="2"/>
      <c r="T1479" s="2" t="s">
        <v>861</v>
      </c>
      <c r="U1479" s="398" t="s">
        <v>861</v>
      </c>
      <c r="V1479" s="7">
        <v>0</v>
      </c>
      <c r="W1479" s="7" t="s">
        <v>1084</v>
      </c>
    </row>
    <row r="1480" spans="1:23" x14ac:dyDescent="0.35">
      <c r="A1480" s="2">
        <v>137</v>
      </c>
      <c r="B1480" s="109" t="s">
        <v>50</v>
      </c>
      <c r="C1480" s="110" t="s">
        <v>51</v>
      </c>
      <c r="D1480" s="2">
        <v>6</v>
      </c>
      <c r="E1480" s="51"/>
      <c r="F1480" s="105"/>
      <c r="H1480" s="2"/>
      <c r="I1480" s="2">
        <v>1</v>
      </c>
      <c r="J1480" s="2">
        <v>0</v>
      </c>
      <c r="K1480" s="2" t="s">
        <v>861</v>
      </c>
      <c r="L1480" s="2">
        <v>2.85</v>
      </c>
      <c r="M1480" s="2">
        <v>3.15</v>
      </c>
      <c r="N1480" s="244">
        <v>1.9491000000000001E-2</v>
      </c>
      <c r="O1480" s="2" t="s">
        <v>18</v>
      </c>
      <c r="P1480" s="2">
        <v>50</v>
      </c>
      <c r="Q1480" s="2">
        <v>0</v>
      </c>
      <c r="R1480" s="2" t="s">
        <v>50</v>
      </c>
      <c r="S1480" s="2"/>
      <c r="T1480" s="2" t="s">
        <v>861</v>
      </c>
      <c r="U1480" s="398" t="s">
        <v>861</v>
      </c>
      <c r="V1480" s="7">
        <v>0</v>
      </c>
      <c r="W1480" s="7" t="s">
        <v>1084</v>
      </c>
    </row>
    <row r="1481" spans="1:23" x14ac:dyDescent="0.35">
      <c r="A1481" s="2">
        <v>137</v>
      </c>
      <c r="B1481" s="109" t="s">
        <v>52</v>
      </c>
      <c r="C1481" s="110" t="s">
        <v>53</v>
      </c>
      <c r="D1481" s="2">
        <v>6</v>
      </c>
      <c r="E1481" s="51"/>
      <c r="F1481" s="105"/>
      <c r="H1481" s="2"/>
      <c r="I1481" s="2">
        <v>1</v>
      </c>
      <c r="J1481" s="2">
        <v>0</v>
      </c>
      <c r="K1481" s="2" t="s">
        <v>861</v>
      </c>
      <c r="L1481" s="2">
        <v>2.85</v>
      </c>
      <c r="M1481" s="2">
        <v>3.15</v>
      </c>
      <c r="N1481" s="244">
        <v>1.9491000000000001E-2</v>
      </c>
      <c r="O1481" s="2" t="s">
        <v>18</v>
      </c>
      <c r="P1481" s="2">
        <v>50</v>
      </c>
      <c r="Q1481" s="2">
        <v>0</v>
      </c>
      <c r="R1481" s="2" t="s">
        <v>52</v>
      </c>
      <c r="S1481" s="2"/>
      <c r="T1481" s="2" t="s">
        <v>861</v>
      </c>
      <c r="U1481" s="398" t="s">
        <v>861</v>
      </c>
      <c r="V1481" s="7">
        <v>0</v>
      </c>
      <c r="W1481" s="7" t="s">
        <v>1084</v>
      </c>
    </row>
    <row r="1482" spans="1:23" x14ac:dyDescent="0.35">
      <c r="A1482" s="2">
        <v>137</v>
      </c>
      <c r="B1482" s="109" t="s">
        <v>168</v>
      </c>
      <c r="C1482" s="110" t="s">
        <v>171</v>
      </c>
      <c r="D1482" s="2">
        <v>6</v>
      </c>
      <c r="E1482" s="51"/>
      <c r="F1482" s="105"/>
      <c r="H1482" s="2"/>
      <c r="I1482" s="2">
        <v>1</v>
      </c>
      <c r="J1482" s="2">
        <v>0</v>
      </c>
      <c r="K1482" s="2" t="s">
        <v>861</v>
      </c>
      <c r="L1482" s="2">
        <v>1.5874999999999999</v>
      </c>
      <c r="M1482" s="2">
        <v>1.75</v>
      </c>
      <c r="N1482" s="244">
        <v>3.9847499999999996E-3</v>
      </c>
      <c r="O1482" s="2" t="s">
        <v>169</v>
      </c>
      <c r="P1482" s="2">
        <v>200</v>
      </c>
      <c r="Q1482" s="2" t="s">
        <v>170</v>
      </c>
      <c r="R1482" s="2" t="s">
        <v>168</v>
      </c>
      <c r="S1482" s="2"/>
      <c r="T1482" s="2" t="s">
        <v>861</v>
      </c>
      <c r="U1482" s="398" t="s">
        <v>861</v>
      </c>
      <c r="V1482" s="7">
        <v>0</v>
      </c>
      <c r="W1482" s="7" t="s">
        <v>1084</v>
      </c>
    </row>
    <row r="1483" spans="1:23" x14ac:dyDescent="0.35">
      <c r="A1483" s="2">
        <v>137</v>
      </c>
      <c r="B1483" s="109" t="s">
        <v>173</v>
      </c>
      <c r="C1483" s="110" t="s">
        <v>174</v>
      </c>
      <c r="D1483" s="2">
        <v>6</v>
      </c>
      <c r="E1483" s="51"/>
      <c r="F1483" s="105"/>
      <c r="H1483" s="2"/>
      <c r="I1483" s="2">
        <v>1</v>
      </c>
      <c r="J1483" s="2">
        <v>0</v>
      </c>
      <c r="K1483" s="2" t="s">
        <v>861</v>
      </c>
      <c r="L1483" s="2">
        <v>1.5874999999999999</v>
      </c>
      <c r="M1483" s="2">
        <v>1.75</v>
      </c>
      <c r="N1483" s="244">
        <v>3.9847499999999996E-3</v>
      </c>
      <c r="O1483" s="2" t="s">
        <v>169</v>
      </c>
      <c r="P1483" s="2">
        <v>200</v>
      </c>
      <c r="Q1483" s="2" t="s">
        <v>170</v>
      </c>
      <c r="R1483" s="2" t="s">
        <v>173</v>
      </c>
      <c r="S1483" s="2"/>
      <c r="T1483" s="2" t="s">
        <v>861</v>
      </c>
      <c r="U1483" s="398" t="s">
        <v>861</v>
      </c>
      <c r="V1483" s="7">
        <v>0</v>
      </c>
      <c r="W1483" s="7" t="s">
        <v>1084</v>
      </c>
    </row>
    <row r="1484" spans="1:23" x14ac:dyDescent="0.35">
      <c r="A1484" s="2">
        <v>137</v>
      </c>
      <c r="B1484" s="109" t="s">
        <v>175</v>
      </c>
      <c r="C1484" s="110" t="s">
        <v>176</v>
      </c>
      <c r="D1484" s="2">
        <v>6</v>
      </c>
      <c r="E1484" s="51"/>
      <c r="F1484" s="105"/>
      <c r="H1484" s="2"/>
      <c r="I1484" s="2">
        <v>1</v>
      </c>
      <c r="J1484" s="2">
        <v>0</v>
      </c>
      <c r="K1484" s="2" t="s">
        <v>861</v>
      </c>
      <c r="L1484" s="2">
        <v>1.5874999999999999</v>
      </c>
      <c r="M1484" s="2">
        <v>1.75</v>
      </c>
      <c r="N1484" s="244">
        <v>3.9847499999999996E-3</v>
      </c>
      <c r="O1484" s="2" t="s">
        <v>169</v>
      </c>
      <c r="P1484" s="2">
        <v>200</v>
      </c>
      <c r="Q1484" s="2" t="s">
        <v>170</v>
      </c>
      <c r="R1484" s="2" t="s">
        <v>175</v>
      </c>
      <c r="S1484" s="2"/>
      <c r="T1484" s="2" t="s">
        <v>861</v>
      </c>
      <c r="U1484" s="398" t="s">
        <v>861</v>
      </c>
      <c r="V1484" s="7">
        <v>0</v>
      </c>
      <c r="W1484" s="7" t="s">
        <v>1084</v>
      </c>
    </row>
    <row r="1485" spans="1:23" x14ac:dyDescent="0.35">
      <c r="A1485" s="2">
        <v>137</v>
      </c>
      <c r="B1485" s="109" t="s">
        <v>177</v>
      </c>
      <c r="C1485" s="110" t="s">
        <v>178</v>
      </c>
      <c r="D1485" s="2">
        <v>6</v>
      </c>
      <c r="E1485" s="51"/>
      <c r="F1485" s="105"/>
      <c r="H1485" s="2"/>
      <c r="I1485" s="2">
        <v>1</v>
      </c>
      <c r="J1485" s="2">
        <v>0</v>
      </c>
      <c r="K1485" s="2" t="s">
        <v>861</v>
      </c>
      <c r="L1485" s="2">
        <v>1.5874999999999999</v>
      </c>
      <c r="M1485" s="2">
        <v>1.75</v>
      </c>
      <c r="N1485" s="244">
        <v>3.9847499999999996E-3</v>
      </c>
      <c r="O1485" s="2" t="s">
        <v>169</v>
      </c>
      <c r="P1485" s="2">
        <v>200</v>
      </c>
      <c r="Q1485" s="2" t="s">
        <v>170</v>
      </c>
      <c r="R1485" s="2" t="s">
        <v>177</v>
      </c>
      <c r="S1485" s="2"/>
      <c r="T1485" s="2" t="s">
        <v>861</v>
      </c>
      <c r="U1485" s="398" t="s">
        <v>861</v>
      </c>
      <c r="V1485" s="7">
        <v>0</v>
      </c>
      <c r="W1485" s="7" t="s">
        <v>1084</v>
      </c>
    </row>
    <row r="1486" spans="1:23" x14ac:dyDescent="0.35">
      <c r="A1486" s="2">
        <v>137</v>
      </c>
      <c r="B1486" s="109" t="s">
        <v>1713</v>
      </c>
      <c r="C1486" s="110" t="s">
        <v>861</v>
      </c>
      <c r="D1486" s="2">
        <v>5</v>
      </c>
      <c r="E1486" s="51"/>
      <c r="F1486" s="105"/>
      <c r="H1486" s="2"/>
      <c r="I1486" s="2" t="s">
        <v>861</v>
      </c>
      <c r="J1486" s="2" t="s">
        <v>861</v>
      </c>
      <c r="K1486" s="2" t="s">
        <v>861</v>
      </c>
      <c r="L1486" s="2" t="s">
        <v>861</v>
      </c>
      <c r="M1486" s="2" t="s">
        <v>861</v>
      </c>
      <c r="N1486" s="244" t="s">
        <v>861</v>
      </c>
      <c r="O1486" s="2" t="s">
        <v>861</v>
      </c>
      <c r="P1486" s="2" t="s">
        <v>861</v>
      </c>
      <c r="Q1486" s="2" t="s">
        <v>861</v>
      </c>
      <c r="R1486" s="2" t="s">
        <v>861</v>
      </c>
      <c r="S1486" s="2"/>
      <c r="T1486" s="2" t="s">
        <v>861</v>
      </c>
      <c r="U1486" s="398" t="s">
        <v>861</v>
      </c>
      <c r="V1486" s="7">
        <v>0</v>
      </c>
      <c r="W1486" s="7" t="s">
        <v>1084</v>
      </c>
    </row>
    <row r="1487" spans="1:23" x14ac:dyDescent="0.35">
      <c r="A1487" s="2">
        <v>137</v>
      </c>
      <c r="B1487" s="109" t="s">
        <v>1714</v>
      </c>
      <c r="C1487" s="110" t="s">
        <v>861</v>
      </c>
      <c r="D1487" s="2">
        <v>6</v>
      </c>
      <c r="E1487" s="51"/>
      <c r="F1487" s="105"/>
      <c r="H1487" s="2"/>
      <c r="I1487" s="2" t="s">
        <v>861</v>
      </c>
      <c r="J1487" s="2" t="s">
        <v>861</v>
      </c>
      <c r="K1487" s="2" t="s">
        <v>861</v>
      </c>
      <c r="L1487" s="2" t="s">
        <v>861</v>
      </c>
      <c r="M1487" s="2" t="s">
        <v>861</v>
      </c>
      <c r="N1487" s="244" t="s">
        <v>861</v>
      </c>
      <c r="O1487" s="2" t="s">
        <v>861</v>
      </c>
      <c r="P1487" s="2" t="s">
        <v>861</v>
      </c>
      <c r="Q1487" s="2" t="s">
        <v>861</v>
      </c>
      <c r="R1487" s="2" t="s">
        <v>861</v>
      </c>
      <c r="S1487" s="2"/>
      <c r="T1487" s="2" t="s">
        <v>861</v>
      </c>
      <c r="U1487" s="398" t="s">
        <v>861</v>
      </c>
      <c r="V1487" s="7">
        <v>0</v>
      </c>
      <c r="W1487" s="7" t="s">
        <v>1084</v>
      </c>
    </row>
    <row r="1488" spans="1:23" x14ac:dyDescent="0.35">
      <c r="A1488" s="2">
        <v>137</v>
      </c>
      <c r="B1488" s="109" t="s">
        <v>1715</v>
      </c>
      <c r="C1488" s="110" t="s">
        <v>861</v>
      </c>
      <c r="D1488" s="2">
        <v>6</v>
      </c>
      <c r="E1488" s="51"/>
      <c r="F1488" s="105"/>
      <c r="H1488" s="2"/>
      <c r="I1488" s="2" t="s">
        <v>861</v>
      </c>
      <c r="J1488" s="2" t="s">
        <v>861</v>
      </c>
      <c r="K1488" s="2" t="s">
        <v>861</v>
      </c>
      <c r="L1488" s="2" t="s">
        <v>861</v>
      </c>
      <c r="M1488" s="2" t="s">
        <v>861</v>
      </c>
      <c r="N1488" s="244" t="s">
        <v>861</v>
      </c>
      <c r="O1488" s="2" t="s">
        <v>861</v>
      </c>
      <c r="P1488" s="2" t="s">
        <v>861</v>
      </c>
      <c r="Q1488" s="2" t="s">
        <v>861</v>
      </c>
      <c r="R1488" s="2" t="s">
        <v>861</v>
      </c>
      <c r="S1488" s="2"/>
      <c r="T1488" s="2" t="s">
        <v>861</v>
      </c>
      <c r="U1488" s="398" t="s">
        <v>861</v>
      </c>
      <c r="V1488" s="7">
        <v>0</v>
      </c>
      <c r="W1488" s="7" t="s">
        <v>1084</v>
      </c>
    </row>
    <row r="1489" spans="1:23" x14ac:dyDescent="0.35">
      <c r="A1489" s="2">
        <v>137</v>
      </c>
      <c r="B1489" s="109" t="s">
        <v>1716</v>
      </c>
      <c r="C1489" s="110" t="s">
        <v>861</v>
      </c>
      <c r="D1489" s="2">
        <v>6</v>
      </c>
      <c r="E1489" s="51"/>
      <c r="F1489" s="105"/>
      <c r="H1489" s="2"/>
      <c r="I1489" s="2" t="s">
        <v>861</v>
      </c>
      <c r="J1489" s="2" t="s">
        <v>861</v>
      </c>
      <c r="K1489" s="2" t="s">
        <v>861</v>
      </c>
      <c r="L1489" s="2" t="s">
        <v>861</v>
      </c>
      <c r="M1489" s="2" t="s">
        <v>861</v>
      </c>
      <c r="N1489" s="244" t="s">
        <v>861</v>
      </c>
      <c r="O1489" s="2" t="s">
        <v>861</v>
      </c>
      <c r="P1489" s="2" t="s">
        <v>861</v>
      </c>
      <c r="Q1489" s="2" t="s">
        <v>861</v>
      </c>
      <c r="R1489" s="2" t="s">
        <v>861</v>
      </c>
      <c r="S1489" s="2"/>
      <c r="T1489" s="2" t="s">
        <v>861</v>
      </c>
      <c r="U1489" s="398" t="s">
        <v>861</v>
      </c>
      <c r="V1489" s="7">
        <v>0</v>
      </c>
      <c r="W1489" s="7" t="s">
        <v>1084</v>
      </c>
    </row>
    <row r="1490" spans="1:23" x14ac:dyDescent="0.35">
      <c r="A1490" s="2">
        <v>137</v>
      </c>
      <c r="B1490" s="109" t="s">
        <v>1717</v>
      </c>
      <c r="C1490" s="110" t="s">
        <v>861</v>
      </c>
      <c r="D1490" s="2">
        <v>6</v>
      </c>
      <c r="E1490" s="51"/>
      <c r="F1490" s="105"/>
      <c r="H1490" s="2"/>
      <c r="I1490" s="2" t="s">
        <v>861</v>
      </c>
      <c r="J1490" s="2" t="s">
        <v>861</v>
      </c>
      <c r="K1490" s="2" t="s">
        <v>861</v>
      </c>
      <c r="L1490" s="2" t="s">
        <v>861</v>
      </c>
      <c r="M1490" s="2" t="s">
        <v>861</v>
      </c>
      <c r="N1490" s="244" t="s">
        <v>861</v>
      </c>
      <c r="O1490" s="2" t="s">
        <v>861</v>
      </c>
      <c r="P1490" s="2" t="s">
        <v>861</v>
      </c>
      <c r="Q1490" s="2" t="s">
        <v>861</v>
      </c>
      <c r="R1490" s="2" t="s">
        <v>861</v>
      </c>
      <c r="S1490" s="2"/>
      <c r="T1490" s="2" t="s">
        <v>861</v>
      </c>
      <c r="U1490" s="398" t="s">
        <v>861</v>
      </c>
      <c r="V1490" s="7">
        <v>0</v>
      </c>
      <c r="W1490" s="7" t="s">
        <v>1084</v>
      </c>
    </row>
    <row r="1491" spans="1:23" x14ac:dyDescent="0.35">
      <c r="A1491" s="2">
        <v>137</v>
      </c>
      <c r="B1491" s="109" t="s">
        <v>1718</v>
      </c>
      <c r="C1491" s="110" t="s">
        <v>861</v>
      </c>
      <c r="D1491" s="2">
        <v>6</v>
      </c>
      <c r="E1491" s="51"/>
      <c r="F1491" s="105"/>
      <c r="H1491" s="2"/>
      <c r="I1491" s="2" t="s">
        <v>861</v>
      </c>
      <c r="J1491" s="2" t="s">
        <v>861</v>
      </c>
      <c r="K1491" s="2" t="s">
        <v>861</v>
      </c>
      <c r="L1491" s="2" t="s">
        <v>861</v>
      </c>
      <c r="M1491" s="2" t="s">
        <v>861</v>
      </c>
      <c r="N1491" s="244" t="s">
        <v>861</v>
      </c>
      <c r="O1491" s="2" t="s">
        <v>861</v>
      </c>
      <c r="P1491" s="2" t="s">
        <v>861</v>
      </c>
      <c r="Q1491" s="2" t="s">
        <v>861</v>
      </c>
      <c r="R1491" s="2" t="s">
        <v>861</v>
      </c>
      <c r="S1491" s="2"/>
      <c r="T1491" s="2" t="s">
        <v>861</v>
      </c>
      <c r="U1491" s="398" t="s">
        <v>861</v>
      </c>
      <c r="V1491" s="7">
        <v>0</v>
      </c>
      <c r="W1491" s="7" t="s">
        <v>1084</v>
      </c>
    </row>
    <row r="1492" spans="1:23" x14ac:dyDescent="0.35">
      <c r="A1492" s="2">
        <v>138</v>
      </c>
      <c r="B1492" s="109" t="s">
        <v>160</v>
      </c>
      <c r="C1492" s="110" t="s">
        <v>161</v>
      </c>
      <c r="D1492" s="2">
        <v>13980</v>
      </c>
      <c r="E1492" s="51"/>
      <c r="F1492" s="105"/>
      <c r="H1492" s="2"/>
      <c r="I1492" s="2">
        <v>292</v>
      </c>
      <c r="J1492" s="2">
        <v>0</v>
      </c>
      <c r="K1492" s="2" t="s">
        <v>861</v>
      </c>
      <c r="L1492" s="2">
        <v>2178.5500000000002</v>
      </c>
      <c r="M1492" s="2">
        <v>2242.625</v>
      </c>
      <c r="N1492" s="244">
        <v>9.9161887499999999</v>
      </c>
      <c r="O1492" s="2" t="s">
        <v>150</v>
      </c>
      <c r="P1492" s="2">
        <v>175</v>
      </c>
      <c r="Q1492" s="2" t="s">
        <v>151</v>
      </c>
      <c r="R1492" s="2" t="s">
        <v>160</v>
      </c>
      <c r="S1492" s="2"/>
      <c r="T1492" s="2" t="s">
        <v>861</v>
      </c>
      <c r="U1492" s="398" t="s">
        <v>861</v>
      </c>
      <c r="V1492" s="7">
        <v>0</v>
      </c>
      <c r="W1492" s="7" t="s">
        <v>1084</v>
      </c>
    </row>
    <row r="1493" spans="1:23" x14ac:dyDescent="0.35">
      <c r="A1493" s="2">
        <v>138</v>
      </c>
      <c r="B1493" s="109" t="s">
        <v>162</v>
      </c>
      <c r="C1493" s="110" t="s">
        <v>163</v>
      </c>
      <c r="D1493" s="2">
        <v>13980</v>
      </c>
      <c r="E1493" s="51"/>
      <c r="F1493" s="105"/>
      <c r="H1493" s="2"/>
      <c r="I1493" s="2">
        <v>292</v>
      </c>
      <c r="J1493" s="2">
        <v>0</v>
      </c>
      <c r="K1493" s="2" t="s">
        <v>861</v>
      </c>
      <c r="L1493" s="2">
        <v>2178.5500000000002</v>
      </c>
      <c r="M1493" s="2">
        <v>2242.625</v>
      </c>
      <c r="N1493" s="244">
        <v>9.9161887499999999</v>
      </c>
      <c r="O1493" s="2" t="s">
        <v>150</v>
      </c>
      <c r="P1493" s="2">
        <v>175</v>
      </c>
      <c r="Q1493" s="2" t="s">
        <v>151</v>
      </c>
      <c r="R1493" s="2" t="s">
        <v>162</v>
      </c>
      <c r="S1493" s="2"/>
      <c r="T1493" s="2" t="s">
        <v>861</v>
      </c>
      <c r="U1493" s="398" t="s">
        <v>861</v>
      </c>
      <c r="V1493" s="7">
        <v>0</v>
      </c>
      <c r="W1493" s="7" t="s">
        <v>1084</v>
      </c>
    </row>
    <row r="1494" spans="1:23" x14ac:dyDescent="0.35">
      <c r="A1494" s="2">
        <v>138</v>
      </c>
      <c r="B1494" s="109" t="s">
        <v>164</v>
      </c>
      <c r="C1494" s="110" t="s">
        <v>165</v>
      </c>
      <c r="D1494" s="2">
        <v>13980</v>
      </c>
      <c r="E1494" s="51"/>
      <c r="F1494" s="105"/>
      <c r="H1494" s="2"/>
      <c r="I1494" s="2">
        <v>292</v>
      </c>
      <c r="J1494" s="2">
        <v>0</v>
      </c>
      <c r="K1494" s="2" t="s">
        <v>861</v>
      </c>
      <c r="L1494" s="2">
        <v>2178.5500000000002</v>
      </c>
      <c r="M1494" s="2">
        <v>2242.625</v>
      </c>
      <c r="N1494" s="244">
        <v>9.9161887499999999</v>
      </c>
      <c r="O1494" s="2" t="s">
        <v>150</v>
      </c>
      <c r="P1494" s="2">
        <v>175</v>
      </c>
      <c r="Q1494" s="2" t="s">
        <v>151</v>
      </c>
      <c r="R1494" s="2" t="s">
        <v>164</v>
      </c>
      <c r="S1494" s="2"/>
      <c r="T1494" s="2" t="s">
        <v>861</v>
      </c>
      <c r="U1494" s="398" t="s">
        <v>861</v>
      </c>
      <c r="V1494" s="7">
        <v>0</v>
      </c>
      <c r="W1494" s="7" t="s">
        <v>1084</v>
      </c>
    </row>
    <row r="1495" spans="1:23" x14ac:dyDescent="0.35">
      <c r="A1495" s="2">
        <v>138</v>
      </c>
      <c r="B1495" s="109" t="s">
        <v>166</v>
      </c>
      <c r="C1495" s="110" t="s">
        <v>167</v>
      </c>
      <c r="D1495" s="2">
        <v>13980</v>
      </c>
      <c r="E1495" s="51"/>
      <c r="F1495" s="105"/>
      <c r="H1495" s="2"/>
      <c r="I1495" s="2">
        <v>292</v>
      </c>
      <c r="J1495" s="2">
        <v>0</v>
      </c>
      <c r="K1495" s="2" t="s">
        <v>861</v>
      </c>
      <c r="L1495" s="2">
        <v>2178.5500000000002</v>
      </c>
      <c r="M1495" s="2">
        <v>2242.625</v>
      </c>
      <c r="N1495" s="244">
        <v>9.9161887499999999</v>
      </c>
      <c r="O1495" s="2" t="s">
        <v>150</v>
      </c>
      <c r="P1495" s="2">
        <v>175</v>
      </c>
      <c r="Q1495" s="2" t="s">
        <v>151</v>
      </c>
      <c r="R1495" s="2" t="s">
        <v>166</v>
      </c>
      <c r="S1495" s="2"/>
      <c r="T1495" s="2" t="s">
        <v>861</v>
      </c>
      <c r="U1495" s="398" t="s">
        <v>861</v>
      </c>
      <c r="V1495" s="7">
        <v>0</v>
      </c>
      <c r="W1495" s="7" t="s">
        <v>1084</v>
      </c>
    </row>
    <row r="1496" spans="1:23" x14ac:dyDescent="0.35">
      <c r="A1496" s="2">
        <v>139</v>
      </c>
      <c r="B1496" s="109" t="s">
        <v>91</v>
      </c>
      <c r="C1496" s="110" t="s">
        <v>92</v>
      </c>
      <c r="D1496" s="2">
        <v>132</v>
      </c>
      <c r="E1496" s="51">
        <v>7.43</v>
      </c>
      <c r="F1496" s="105"/>
      <c r="H1496" s="2">
        <v>11</v>
      </c>
      <c r="I1496" s="2">
        <v>6</v>
      </c>
      <c r="J1496" s="2">
        <v>0</v>
      </c>
      <c r="K1496" s="2" t="s">
        <v>861</v>
      </c>
      <c r="L1496" s="2">
        <v>44.806666666666665</v>
      </c>
      <c r="M1496" s="2">
        <v>49.037083333333335</v>
      </c>
      <c r="N1496" s="244">
        <v>0.13374074999999999</v>
      </c>
      <c r="O1496" s="2" t="s">
        <v>934</v>
      </c>
      <c r="P1496" s="2">
        <v>100</v>
      </c>
      <c r="Q1496" s="2" t="s">
        <v>55</v>
      </c>
      <c r="R1496" s="2" t="s">
        <v>91</v>
      </c>
      <c r="S1496" s="2"/>
      <c r="T1496" s="2">
        <v>5</v>
      </c>
      <c r="U1496" s="398">
        <v>660</v>
      </c>
      <c r="V1496" s="7">
        <v>980.76</v>
      </c>
      <c r="W1496" s="7" t="s">
        <v>660</v>
      </c>
    </row>
    <row r="1497" spans="1:23" x14ac:dyDescent="0.35">
      <c r="A1497" s="2">
        <v>139</v>
      </c>
      <c r="B1497" s="109" t="s">
        <v>93</v>
      </c>
      <c r="C1497" s="110" t="s">
        <v>94</v>
      </c>
      <c r="D1497" s="2">
        <v>132</v>
      </c>
      <c r="E1497" s="51">
        <v>7.43</v>
      </c>
      <c r="F1497" s="105"/>
      <c r="H1497" s="2">
        <v>11</v>
      </c>
      <c r="I1497" s="2">
        <v>6</v>
      </c>
      <c r="J1497" s="2">
        <v>0</v>
      </c>
      <c r="K1497" s="2" t="s">
        <v>861</v>
      </c>
      <c r="L1497" s="2">
        <v>44.806666666666665</v>
      </c>
      <c r="M1497" s="2">
        <v>49.037083333333335</v>
      </c>
      <c r="N1497" s="244">
        <v>0.13374074999999999</v>
      </c>
      <c r="O1497" s="2" t="s">
        <v>934</v>
      </c>
      <c r="P1497" s="2">
        <v>100</v>
      </c>
      <c r="Q1497" s="2" t="s">
        <v>55</v>
      </c>
      <c r="R1497" s="2" t="s">
        <v>93</v>
      </c>
      <c r="S1497" s="2"/>
      <c r="T1497" s="2">
        <v>5</v>
      </c>
      <c r="U1497" s="398">
        <v>660</v>
      </c>
      <c r="V1497" s="7">
        <v>980.76</v>
      </c>
      <c r="W1497" s="7" t="s">
        <v>660</v>
      </c>
    </row>
    <row r="1498" spans="1:23" x14ac:dyDescent="0.35">
      <c r="A1498" s="2">
        <v>139</v>
      </c>
      <c r="B1498" s="109" t="s">
        <v>95</v>
      </c>
      <c r="C1498" s="110" t="s">
        <v>96</v>
      </c>
      <c r="D1498" s="2">
        <v>132</v>
      </c>
      <c r="E1498" s="51">
        <v>7.43</v>
      </c>
      <c r="F1498" s="105"/>
      <c r="H1498" s="2">
        <v>11</v>
      </c>
      <c r="I1498" s="2">
        <v>6</v>
      </c>
      <c r="J1498" s="2">
        <v>0</v>
      </c>
      <c r="K1498" s="2" t="s">
        <v>861</v>
      </c>
      <c r="L1498" s="2">
        <v>44.806666666666665</v>
      </c>
      <c r="M1498" s="2">
        <v>49.037083333333335</v>
      </c>
      <c r="N1498" s="244">
        <v>0.13374074999999999</v>
      </c>
      <c r="O1498" s="2" t="s">
        <v>934</v>
      </c>
      <c r="P1498" s="2">
        <v>100</v>
      </c>
      <c r="Q1498" s="2" t="s">
        <v>55</v>
      </c>
      <c r="R1498" s="2" t="s">
        <v>95</v>
      </c>
      <c r="S1498" s="2"/>
      <c r="T1498" s="2">
        <v>5</v>
      </c>
      <c r="U1498" s="398">
        <v>660</v>
      </c>
      <c r="V1498" s="7">
        <v>980.76</v>
      </c>
      <c r="W1498" s="7" t="s">
        <v>660</v>
      </c>
    </row>
    <row r="1499" spans="1:23" x14ac:dyDescent="0.35">
      <c r="A1499" s="2">
        <v>139</v>
      </c>
      <c r="B1499" s="109" t="s">
        <v>97</v>
      </c>
      <c r="C1499" s="110" t="s">
        <v>98</v>
      </c>
      <c r="D1499" s="2">
        <v>132</v>
      </c>
      <c r="E1499" s="51">
        <v>7.43</v>
      </c>
      <c r="F1499" s="105"/>
      <c r="H1499" s="2">
        <v>11</v>
      </c>
      <c r="I1499" s="2">
        <v>6</v>
      </c>
      <c r="J1499" s="2">
        <v>0</v>
      </c>
      <c r="K1499" s="2" t="s">
        <v>861</v>
      </c>
      <c r="L1499" s="2">
        <v>44.806666666666665</v>
      </c>
      <c r="M1499" s="2">
        <v>49.037083333333335</v>
      </c>
      <c r="N1499" s="244">
        <v>0.13374074999999999</v>
      </c>
      <c r="O1499" s="2" t="s">
        <v>934</v>
      </c>
      <c r="P1499" s="2">
        <v>100</v>
      </c>
      <c r="Q1499" s="2" t="s">
        <v>55</v>
      </c>
      <c r="R1499" s="2" t="s">
        <v>97</v>
      </c>
      <c r="S1499" s="2"/>
      <c r="T1499" s="2">
        <v>5</v>
      </c>
      <c r="U1499" s="398">
        <v>660</v>
      </c>
      <c r="V1499" s="7">
        <v>980.76</v>
      </c>
      <c r="W1499" s="7" t="s">
        <v>660</v>
      </c>
    </row>
    <row r="1500" spans="1:23" x14ac:dyDescent="0.35">
      <c r="A1500" s="2">
        <v>139</v>
      </c>
      <c r="B1500" s="109" t="s">
        <v>99</v>
      </c>
      <c r="C1500" s="110" t="s">
        <v>100</v>
      </c>
      <c r="D1500" s="2">
        <v>132</v>
      </c>
      <c r="E1500" s="51">
        <v>7.43</v>
      </c>
      <c r="F1500" s="105"/>
      <c r="H1500" s="2">
        <v>11</v>
      </c>
      <c r="I1500" s="2">
        <v>6</v>
      </c>
      <c r="J1500" s="2">
        <v>0</v>
      </c>
      <c r="K1500" s="2" t="s">
        <v>861</v>
      </c>
      <c r="L1500" s="2">
        <v>40.933749999999996</v>
      </c>
      <c r="M1500" s="2">
        <v>45.044999999999995</v>
      </c>
      <c r="N1500" s="244">
        <v>0.14988187499999997</v>
      </c>
      <c r="O1500" s="2" t="s">
        <v>934</v>
      </c>
      <c r="P1500" s="2">
        <v>100</v>
      </c>
      <c r="Q1500" s="2" t="s">
        <v>55</v>
      </c>
      <c r="R1500" s="2" t="s">
        <v>99</v>
      </c>
      <c r="S1500" s="2"/>
      <c r="T1500" s="2">
        <v>5</v>
      </c>
      <c r="U1500" s="398">
        <v>660</v>
      </c>
      <c r="V1500" s="7">
        <v>980.76</v>
      </c>
      <c r="W1500" s="7" t="s">
        <v>660</v>
      </c>
    </row>
    <row r="1501" spans="1:23" x14ac:dyDescent="0.35">
      <c r="A1501" s="2">
        <v>139</v>
      </c>
      <c r="B1501" s="109" t="s">
        <v>101</v>
      </c>
      <c r="C1501" s="110" t="s">
        <v>102</v>
      </c>
      <c r="D1501" s="2">
        <v>132</v>
      </c>
      <c r="E1501" s="51">
        <v>7.43</v>
      </c>
      <c r="F1501" s="105"/>
      <c r="H1501" s="2">
        <v>11</v>
      </c>
      <c r="I1501" s="2">
        <v>6</v>
      </c>
      <c r="J1501" s="2">
        <v>0</v>
      </c>
      <c r="K1501" s="2" t="s">
        <v>861</v>
      </c>
      <c r="L1501" s="2">
        <v>40.933749999999996</v>
      </c>
      <c r="M1501" s="2">
        <v>45.044999999999995</v>
      </c>
      <c r="N1501" s="244">
        <v>0.14988187499999997</v>
      </c>
      <c r="O1501" s="2" t="s">
        <v>934</v>
      </c>
      <c r="P1501" s="2">
        <v>100</v>
      </c>
      <c r="Q1501" s="2" t="s">
        <v>55</v>
      </c>
      <c r="R1501" s="2" t="s">
        <v>101</v>
      </c>
      <c r="S1501" s="2"/>
      <c r="T1501" s="2">
        <v>5</v>
      </c>
      <c r="U1501" s="398">
        <v>660</v>
      </c>
      <c r="V1501" s="7">
        <v>980.76</v>
      </c>
      <c r="W1501" s="7" t="s">
        <v>660</v>
      </c>
    </row>
    <row r="1502" spans="1:23" x14ac:dyDescent="0.35">
      <c r="A1502" s="2">
        <v>139</v>
      </c>
      <c r="B1502" s="109" t="s">
        <v>103</v>
      </c>
      <c r="C1502" s="110" t="s">
        <v>104</v>
      </c>
      <c r="D1502" s="2">
        <v>132</v>
      </c>
      <c r="E1502" s="51">
        <v>7.43</v>
      </c>
      <c r="F1502" s="105"/>
      <c r="H1502" s="2">
        <v>11</v>
      </c>
      <c r="I1502" s="2">
        <v>6</v>
      </c>
      <c r="J1502" s="2">
        <v>0</v>
      </c>
      <c r="K1502" s="2" t="s">
        <v>861</v>
      </c>
      <c r="L1502" s="2">
        <v>40.933749999999996</v>
      </c>
      <c r="M1502" s="2">
        <v>45.044999999999995</v>
      </c>
      <c r="N1502" s="244">
        <v>0.14988187499999997</v>
      </c>
      <c r="O1502" s="2" t="s">
        <v>934</v>
      </c>
      <c r="P1502" s="2">
        <v>100</v>
      </c>
      <c r="Q1502" s="2" t="s">
        <v>55</v>
      </c>
      <c r="R1502" s="2" t="s">
        <v>103</v>
      </c>
      <c r="S1502" s="2"/>
      <c r="T1502" s="2">
        <v>5</v>
      </c>
      <c r="U1502" s="398">
        <v>660</v>
      </c>
      <c r="V1502" s="7">
        <v>980.76</v>
      </c>
      <c r="W1502" s="7" t="s">
        <v>660</v>
      </c>
    </row>
    <row r="1503" spans="1:23" x14ac:dyDescent="0.35">
      <c r="A1503" s="2">
        <v>139</v>
      </c>
      <c r="B1503" s="109" t="s">
        <v>105</v>
      </c>
      <c r="C1503" s="110" t="s">
        <v>106</v>
      </c>
      <c r="D1503" s="2">
        <v>132</v>
      </c>
      <c r="E1503" s="51">
        <v>7.43</v>
      </c>
      <c r="F1503" s="105"/>
      <c r="H1503" s="2">
        <v>11</v>
      </c>
      <c r="I1503" s="2">
        <v>6</v>
      </c>
      <c r="J1503" s="2">
        <v>0</v>
      </c>
      <c r="K1503" s="2" t="s">
        <v>861</v>
      </c>
      <c r="L1503" s="2">
        <v>40.933749999999996</v>
      </c>
      <c r="M1503" s="2">
        <v>45.044999999999995</v>
      </c>
      <c r="N1503" s="244">
        <v>0.14988187499999997</v>
      </c>
      <c r="O1503" s="2" t="s">
        <v>934</v>
      </c>
      <c r="P1503" s="2">
        <v>100</v>
      </c>
      <c r="Q1503" s="2" t="s">
        <v>55</v>
      </c>
      <c r="R1503" s="2" t="s">
        <v>105</v>
      </c>
      <c r="S1503" s="2"/>
      <c r="T1503" s="2">
        <v>5</v>
      </c>
      <c r="U1503" s="398">
        <v>660</v>
      </c>
      <c r="V1503" s="7">
        <v>980.76</v>
      </c>
      <c r="W1503" s="7" t="s">
        <v>660</v>
      </c>
    </row>
    <row r="1504" spans="1:23" x14ac:dyDescent="0.35">
      <c r="A1504" s="2">
        <v>139</v>
      </c>
      <c r="B1504" s="109" t="s">
        <v>168</v>
      </c>
      <c r="C1504" s="110" t="s">
        <v>171</v>
      </c>
      <c r="D1504" s="2">
        <v>240</v>
      </c>
      <c r="E1504" s="51">
        <v>2.85</v>
      </c>
      <c r="F1504" s="105"/>
      <c r="H1504" s="2">
        <v>20</v>
      </c>
      <c r="I1504" s="2">
        <v>10</v>
      </c>
      <c r="J1504" s="2">
        <v>0</v>
      </c>
      <c r="K1504" s="2" t="s">
        <v>861</v>
      </c>
      <c r="L1504" s="2">
        <v>68.791666666666671</v>
      </c>
      <c r="M1504" s="2">
        <v>75.833333333333343</v>
      </c>
      <c r="N1504" s="244">
        <v>0.17267250000000001</v>
      </c>
      <c r="O1504" s="2" t="s">
        <v>169</v>
      </c>
      <c r="P1504" s="2">
        <v>200</v>
      </c>
      <c r="Q1504" s="2" t="s">
        <v>170</v>
      </c>
      <c r="R1504" s="2" t="s">
        <v>168</v>
      </c>
      <c r="S1504" s="2"/>
      <c r="T1504" s="2">
        <v>2.0499999999999998</v>
      </c>
      <c r="U1504" s="398">
        <v>491.99999999999994</v>
      </c>
      <c r="V1504" s="7">
        <v>684</v>
      </c>
      <c r="W1504" s="7" t="s">
        <v>660</v>
      </c>
    </row>
    <row r="1505" spans="1:23" x14ac:dyDescent="0.35">
      <c r="A1505" s="2">
        <v>139</v>
      </c>
      <c r="B1505" s="109" t="s">
        <v>173</v>
      </c>
      <c r="C1505" s="110" t="s">
        <v>174</v>
      </c>
      <c r="D1505" s="2">
        <v>240</v>
      </c>
      <c r="E1505" s="51">
        <v>2.85</v>
      </c>
      <c r="F1505" s="105"/>
      <c r="H1505" s="2">
        <v>20</v>
      </c>
      <c r="I1505" s="2">
        <v>10</v>
      </c>
      <c r="J1505" s="2">
        <v>0</v>
      </c>
      <c r="K1505" s="2" t="s">
        <v>861</v>
      </c>
      <c r="L1505" s="2">
        <v>68.791666666666671</v>
      </c>
      <c r="M1505" s="2">
        <v>75.833333333333343</v>
      </c>
      <c r="N1505" s="244">
        <v>0.17267250000000001</v>
      </c>
      <c r="O1505" s="2" t="s">
        <v>169</v>
      </c>
      <c r="P1505" s="2">
        <v>200</v>
      </c>
      <c r="Q1505" s="2" t="s">
        <v>170</v>
      </c>
      <c r="R1505" s="2" t="s">
        <v>173</v>
      </c>
      <c r="S1505" s="2"/>
      <c r="T1505" s="2">
        <v>2.0499999999999998</v>
      </c>
      <c r="U1505" s="398">
        <v>491.99999999999994</v>
      </c>
      <c r="V1505" s="7">
        <v>684</v>
      </c>
      <c r="W1505" s="7" t="s">
        <v>660</v>
      </c>
    </row>
    <row r="1506" spans="1:23" x14ac:dyDescent="0.35">
      <c r="A1506" s="2">
        <v>139</v>
      </c>
      <c r="B1506" s="109" t="s">
        <v>175</v>
      </c>
      <c r="C1506" s="110" t="s">
        <v>176</v>
      </c>
      <c r="D1506" s="2">
        <v>240</v>
      </c>
      <c r="E1506" s="51">
        <v>2.85</v>
      </c>
      <c r="F1506" s="105"/>
      <c r="H1506" s="2">
        <v>20</v>
      </c>
      <c r="I1506" s="2">
        <v>10</v>
      </c>
      <c r="J1506" s="2">
        <v>0</v>
      </c>
      <c r="K1506" s="2" t="s">
        <v>861</v>
      </c>
      <c r="L1506" s="2">
        <v>68.791666666666671</v>
      </c>
      <c r="M1506" s="2">
        <v>75.833333333333343</v>
      </c>
      <c r="N1506" s="244">
        <v>0.17267250000000001</v>
      </c>
      <c r="O1506" s="2" t="s">
        <v>169</v>
      </c>
      <c r="P1506" s="2">
        <v>200</v>
      </c>
      <c r="Q1506" s="2" t="s">
        <v>170</v>
      </c>
      <c r="R1506" s="2" t="s">
        <v>175</v>
      </c>
      <c r="S1506" s="2"/>
      <c r="T1506" s="2">
        <v>2.0499999999999998</v>
      </c>
      <c r="U1506" s="398">
        <v>491.99999999999994</v>
      </c>
      <c r="V1506" s="7">
        <v>684</v>
      </c>
      <c r="W1506" s="7" t="s">
        <v>660</v>
      </c>
    </row>
    <row r="1507" spans="1:23" x14ac:dyDescent="0.35">
      <c r="A1507" s="2">
        <v>139</v>
      </c>
      <c r="B1507" s="109" t="s">
        <v>177</v>
      </c>
      <c r="C1507" s="110" t="s">
        <v>178</v>
      </c>
      <c r="D1507" s="2">
        <v>240</v>
      </c>
      <c r="E1507" s="51">
        <v>2.85</v>
      </c>
      <c r="F1507" s="105"/>
      <c r="H1507" s="2">
        <v>20</v>
      </c>
      <c r="I1507" s="2">
        <v>10</v>
      </c>
      <c r="J1507" s="2">
        <v>0</v>
      </c>
      <c r="K1507" s="2" t="s">
        <v>861</v>
      </c>
      <c r="L1507" s="2">
        <v>68.791666666666671</v>
      </c>
      <c r="M1507" s="2">
        <v>75.833333333333343</v>
      </c>
      <c r="N1507" s="244">
        <v>0.17267250000000001</v>
      </c>
      <c r="O1507" s="2" t="s">
        <v>169</v>
      </c>
      <c r="P1507" s="2">
        <v>200</v>
      </c>
      <c r="Q1507" s="2" t="s">
        <v>170</v>
      </c>
      <c r="R1507" s="2" t="s">
        <v>177</v>
      </c>
      <c r="S1507" s="2"/>
      <c r="T1507" s="2">
        <v>2.0499999999999998</v>
      </c>
      <c r="U1507" s="398">
        <v>491.99999999999994</v>
      </c>
      <c r="V1507" s="7">
        <v>684</v>
      </c>
      <c r="W1507" s="7" t="s">
        <v>660</v>
      </c>
    </row>
    <row r="1508" spans="1:23" x14ac:dyDescent="0.35">
      <c r="A1508" s="2">
        <v>140</v>
      </c>
      <c r="B1508" s="109" t="s">
        <v>91</v>
      </c>
      <c r="C1508" s="110" t="s">
        <v>92</v>
      </c>
      <c r="D1508" s="2">
        <v>1500</v>
      </c>
      <c r="E1508" s="51">
        <v>4.5</v>
      </c>
      <c r="F1508" s="105"/>
      <c r="H1508" s="2"/>
      <c r="I1508" s="2">
        <v>63</v>
      </c>
      <c r="J1508" s="2">
        <v>0</v>
      </c>
      <c r="K1508" s="2" t="s">
        <v>861</v>
      </c>
      <c r="L1508" s="2">
        <v>470</v>
      </c>
      <c r="M1508" s="2">
        <v>514.375</v>
      </c>
      <c r="N1508" s="244">
        <v>1.4028750000000001</v>
      </c>
      <c r="O1508" s="2" t="s">
        <v>934</v>
      </c>
      <c r="P1508" s="2">
        <v>100</v>
      </c>
      <c r="Q1508" s="2" t="s">
        <v>55</v>
      </c>
      <c r="R1508" s="2" t="s">
        <v>91</v>
      </c>
      <c r="S1508" s="2"/>
      <c r="T1508" s="2">
        <v>5</v>
      </c>
      <c r="U1508" s="398">
        <v>7500</v>
      </c>
      <c r="V1508" s="7">
        <v>6750</v>
      </c>
      <c r="W1508" s="7" t="s">
        <v>660</v>
      </c>
    </row>
    <row r="1509" spans="1:23" x14ac:dyDescent="0.35">
      <c r="A1509" s="2">
        <v>140</v>
      </c>
      <c r="B1509" s="109" t="s">
        <v>93</v>
      </c>
      <c r="C1509" s="110" t="s">
        <v>94</v>
      </c>
      <c r="D1509" s="2">
        <v>200</v>
      </c>
      <c r="E1509" s="51">
        <v>4.5</v>
      </c>
      <c r="F1509" s="105"/>
      <c r="H1509" s="2"/>
      <c r="I1509" s="2">
        <v>9</v>
      </c>
      <c r="J1509" s="2">
        <v>0</v>
      </c>
      <c r="K1509" s="2" t="s">
        <v>861</v>
      </c>
      <c r="L1509" s="2">
        <v>62.666666666666664</v>
      </c>
      <c r="M1509" s="2">
        <v>68.583333333333343</v>
      </c>
      <c r="N1509" s="244">
        <v>0.18704999999999999</v>
      </c>
      <c r="O1509" s="2" t="s">
        <v>934</v>
      </c>
      <c r="P1509" s="2">
        <v>100</v>
      </c>
      <c r="Q1509" s="2" t="s">
        <v>55</v>
      </c>
      <c r="R1509" s="2" t="s">
        <v>93</v>
      </c>
      <c r="S1509" s="2"/>
      <c r="T1509" s="2">
        <v>5</v>
      </c>
      <c r="U1509" s="398">
        <v>1000</v>
      </c>
      <c r="V1509" s="7">
        <v>900</v>
      </c>
      <c r="W1509" s="7" t="s">
        <v>660</v>
      </c>
    </row>
    <row r="1510" spans="1:23" x14ac:dyDescent="0.35">
      <c r="A1510" s="2">
        <v>140</v>
      </c>
      <c r="B1510" s="109" t="s">
        <v>97</v>
      </c>
      <c r="C1510" s="110" t="s">
        <v>98</v>
      </c>
      <c r="D1510" s="2">
        <v>1500</v>
      </c>
      <c r="E1510" s="51">
        <v>4.5</v>
      </c>
      <c r="F1510" s="105"/>
      <c r="H1510" s="2"/>
      <c r="I1510" s="2">
        <v>63</v>
      </c>
      <c r="J1510" s="2">
        <v>0</v>
      </c>
      <c r="K1510" s="2" t="s">
        <v>861</v>
      </c>
      <c r="L1510" s="2">
        <v>470</v>
      </c>
      <c r="M1510" s="2">
        <v>514.375</v>
      </c>
      <c r="N1510" s="244">
        <v>1.4028750000000001</v>
      </c>
      <c r="O1510" s="2" t="s">
        <v>934</v>
      </c>
      <c r="P1510" s="2">
        <v>100</v>
      </c>
      <c r="Q1510" s="2" t="s">
        <v>55</v>
      </c>
      <c r="R1510" s="2" t="s">
        <v>97</v>
      </c>
      <c r="S1510" s="2"/>
      <c r="T1510" s="2">
        <v>5</v>
      </c>
      <c r="U1510" s="398">
        <v>7500</v>
      </c>
      <c r="V1510" s="7">
        <v>6750</v>
      </c>
      <c r="W1510" s="7" t="s">
        <v>660</v>
      </c>
    </row>
    <row r="1511" spans="1:23" x14ac:dyDescent="0.35">
      <c r="A1511" s="2">
        <v>140</v>
      </c>
      <c r="B1511" s="109" t="s">
        <v>99</v>
      </c>
      <c r="C1511" s="110" t="s">
        <v>100</v>
      </c>
      <c r="D1511" s="2">
        <v>300</v>
      </c>
      <c r="E1511" s="51">
        <v>4.5</v>
      </c>
      <c r="F1511" s="105"/>
      <c r="H1511" s="2"/>
      <c r="I1511" s="2">
        <v>13</v>
      </c>
      <c r="J1511" s="2">
        <v>0</v>
      </c>
      <c r="K1511" s="2" t="s">
        <v>861</v>
      </c>
      <c r="L1511" s="2">
        <v>85.875</v>
      </c>
      <c r="M1511" s="2">
        <v>94.5</v>
      </c>
      <c r="N1511" s="244">
        <v>0.31443749999999998</v>
      </c>
      <c r="O1511" s="2" t="s">
        <v>934</v>
      </c>
      <c r="P1511" s="2">
        <v>100</v>
      </c>
      <c r="Q1511" s="2" t="s">
        <v>55</v>
      </c>
      <c r="R1511" s="2" t="s">
        <v>99</v>
      </c>
      <c r="S1511" s="2"/>
      <c r="T1511" s="2">
        <v>5</v>
      </c>
      <c r="U1511" s="398">
        <v>1500</v>
      </c>
      <c r="V1511" s="7">
        <v>1350</v>
      </c>
      <c r="W1511" s="7" t="s">
        <v>660</v>
      </c>
    </row>
    <row r="1512" spans="1:23" x14ac:dyDescent="0.35">
      <c r="A1512" s="2">
        <v>140</v>
      </c>
      <c r="B1512" s="109" t="s">
        <v>101</v>
      </c>
      <c r="C1512" s="110" t="s">
        <v>102</v>
      </c>
      <c r="D1512" s="2">
        <v>500</v>
      </c>
      <c r="E1512" s="51">
        <v>4.5</v>
      </c>
      <c r="F1512" s="105"/>
      <c r="H1512" s="2"/>
      <c r="I1512" s="2">
        <v>21</v>
      </c>
      <c r="J1512" s="2">
        <v>0</v>
      </c>
      <c r="K1512" s="2" t="s">
        <v>861</v>
      </c>
      <c r="L1512" s="2">
        <v>143.125</v>
      </c>
      <c r="M1512" s="2">
        <v>157.49999999999997</v>
      </c>
      <c r="N1512" s="244">
        <v>0.52406249999999988</v>
      </c>
      <c r="O1512" s="2" t="s">
        <v>934</v>
      </c>
      <c r="P1512" s="2">
        <v>100</v>
      </c>
      <c r="Q1512" s="2" t="s">
        <v>55</v>
      </c>
      <c r="R1512" s="2" t="s">
        <v>101</v>
      </c>
      <c r="S1512" s="2"/>
      <c r="T1512" s="2">
        <v>5</v>
      </c>
      <c r="U1512" s="398">
        <v>2500</v>
      </c>
      <c r="V1512" s="7">
        <v>2250</v>
      </c>
      <c r="W1512" s="7" t="s">
        <v>660</v>
      </c>
    </row>
    <row r="1513" spans="1:23" x14ac:dyDescent="0.35">
      <c r="D1513" s="2"/>
      <c r="E1513" s="51"/>
      <c r="F1513" s="105"/>
      <c r="H1513" s="2"/>
      <c r="L1513" s="2"/>
      <c r="M1513" s="2"/>
      <c r="N1513" s="244"/>
      <c r="O1513" s="2"/>
      <c r="P1513" s="2"/>
      <c r="Q1513" s="2"/>
      <c r="R1513" s="2"/>
      <c r="S1513" s="2"/>
      <c r="T1513" s="2"/>
      <c r="U1513" s="398"/>
      <c r="V1513" s="7"/>
      <c r="W1513" s="7"/>
    </row>
    <row r="1514" spans="1:23" x14ac:dyDescent="0.35">
      <c r="D1514" s="2"/>
      <c r="E1514" s="51"/>
      <c r="F1514" s="105"/>
      <c r="H1514" s="2"/>
      <c r="L1514" s="2"/>
      <c r="M1514" s="2"/>
      <c r="N1514" s="244"/>
      <c r="O1514" s="2"/>
      <c r="P1514" s="2"/>
      <c r="Q1514" s="2"/>
      <c r="R1514" s="2"/>
      <c r="S1514" s="2"/>
      <c r="T1514" s="2"/>
      <c r="U1514" s="398"/>
      <c r="V1514" s="7"/>
      <c r="W1514" s="7"/>
    </row>
    <row r="1515" spans="1:23" x14ac:dyDescent="0.35">
      <c r="D1515" s="2"/>
      <c r="E1515" s="51"/>
      <c r="F1515" s="105"/>
      <c r="H1515" s="2"/>
      <c r="L1515" s="2"/>
      <c r="M1515" s="2"/>
      <c r="N1515" s="244"/>
      <c r="O1515" s="2"/>
      <c r="P1515" s="2"/>
      <c r="Q1515" s="2"/>
      <c r="R1515" s="2"/>
      <c r="S1515" s="2"/>
      <c r="T1515" s="2"/>
      <c r="U1515" s="398"/>
      <c r="V1515" s="7"/>
      <c r="W1515" s="7"/>
    </row>
    <row r="1516" spans="1:23" x14ac:dyDescent="0.35">
      <c r="D1516" s="2"/>
      <c r="E1516" s="51"/>
      <c r="F1516" s="105"/>
      <c r="H1516" s="2"/>
      <c r="L1516" s="2"/>
      <c r="M1516" s="2"/>
      <c r="N1516" s="244"/>
      <c r="O1516" s="2"/>
      <c r="P1516" s="2"/>
      <c r="Q1516" s="2"/>
      <c r="R1516" s="2"/>
      <c r="S1516" s="2"/>
      <c r="T1516" s="2"/>
      <c r="U1516" s="398"/>
      <c r="V1516" s="7"/>
      <c r="W1516" s="7"/>
    </row>
    <row r="1517" spans="1:23" x14ac:dyDescent="0.35">
      <c r="D1517" s="2"/>
      <c r="E1517" s="51"/>
      <c r="F1517" s="105"/>
      <c r="H1517" s="2"/>
      <c r="L1517" s="2"/>
      <c r="M1517" s="2"/>
      <c r="N1517" s="244"/>
      <c r="O1517" s="2"/>
      <c r="P1517" s="2"/>
      <c r="Q1517" s="2"/>
      <c r="R1517" s="2"/>
      <c r="S1517" s="2"/>
      <c r="T1517" s="2"/>
      <c r="U1517" s="398"/>
      <c r="V1517" s="7"/>
      <c r="W1517" s="7"/>
    </row>
    <row r="1518" spans="1:23" x14ac:dyDescent="0.35">
      <c r="D1518" s="2"/>
      <c r="E1518" s="51"/>
      <c r="F1518" s="105"/>
      <c r="H1518" s="2"/>
      <c r="L1518" s="2"/>
      <c r="M1518" s="2"/>
      <c r="N1518" s="244"/>
      <c r="O1518" s="2"/>
      <c r="P1518" s="2"/>
      <c r="Q1518" s="2"/>
      <c r="R1518" s="2"/>
      <c r="S1518" s="2"/>
      <c r="T1518" s="2"/>
      <c r="U1518" s="398"/>
      <c r="V1518" s="7"/>
      <c r="W1518" s="7"/>
    </row>
    <row r="1519" spans="1:23" x14ac:dyDescent="0.35">
      <c r="D1519" s="2"/>
      <c r="E1519" s="51"/>
      <c r="F1519" s="105"/>
      <c r="H1519" s="2"/>
      <c r="L1519" s="2"/>
      <c r="M1519" s="2"/>
      <c r="N1519" s="244"/>
      <c r="O1519" s="2"/>
      <c r="P1519" s="2"/>
      <c r="Q1519" s="2"/>
      <c r="R1519" s="2"/>
      <c r="S1519" s="2"/>
      <c r="T1519" s="2"/>
      <c r="U1519" s="398"/>
      <c r="V1519" s="7"/>
      <c r="W1519" s="7"/>
    </row>
    <row r="1520" spans="1:23" x14ac:dyDescent="0.35">
      <c r="D1520" s="2"/>
      <c r="E1520" s="51"/>
      <c r="F1520" s="105"/>
      <c r="H1520" s="2"/>
      <c r="L1520" s="2"/>
      <c r="M1520" s="2"/>
      <c r="N1520" s="244"/>
      <c r="O1520" s="2"/>
      <c r="P1520" s="2"/>
      <c r="Q1520" s="2"/>
      <c r="R1520" s="2"/>
      <c r="S1520" s="2"/>
      <c r="T1520" s="2"/>
      <c r="U1520" s="398"/>
      <c r="V1520" s="7"/>
      <c r="W1520" s="7"/>
    </row>
  </sheetData>
  <sortState xmlns:xlrd2="http://schemas.microsoft.com/office/spreadsheetml/2017/richdata2" ref="A2:W1520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4"/>
  <dimension ref="A1:Z311"/>
  <sheetViews>
    <sheetView showGridLines="0" topLeftCell="A7" zoomScaleNormal="100" zoomScaleSheetLayoutView="100" workbookViewId="0">
      <selection activeCell="E9" sqref="E9:F9"/>
    </sheetView>
  </sheetViews>
  <sheetFormatPr defaultColWidth="8.7265625" defaultRowHeight="12.5" x14ac:dyDescent="0.35"/>
  <cols>
    <col min="1" max="1" width="8.453125" style="119" customWidth="1"/>
    <col min="2" max="2" width="17.81640625" style="119" customWidth="1"/>
    <col min="3" max="3" width="12.7265625" style="119" customWidth="1"/>
    <col min="4" max="4" width="6.26953125" style="120" customWidth="1"/>
    <col min="5" max="5" width="15.453125" style="119" customWidth="1"/>
    <col min="6" max="6" width="3.453125" style="121" customWidth="1"/>
    <col min="7" max="7" width="7.81640625" style="119" customWidth="1"/>
    <col min="8" max="8" width="9" style="119" customWidth="1"/>
    <col min="9" max="9" width="7.81640625" style="121" customWidth="1"/>
    <col min="10" max="10" width="14.1796875" style="121" bestFit="1" customWidth="1"/>
    <col min="11" max="11" width="12" style="119" customWidth="1"/>
    <col min="12" max="12" width="4.1796875" style="119" customWidth="1"/>
    <col min="13" max="16384" width="8.7265625" style="119"/>
  </cols>
  <sheetData>
    <row r="1" spans="1:26" ht="14.15" customHeight="1" x14ac:dyDescent="0.35">
      <c r="A1" s="213"/>
      <c r="B1" s="213"/>
      <c r="G1" s="122"/>
      <c r="H1" s="233"/>
      <c r="I1" s="234"/>
      <c r="J1" s="234"/>
      <c r="K1" s="234"/>
      <c r="L1" s="118"/>
    </row>
    <row r="2" spans="1:26" ht="14.15" customHeight="1" x14ac:dyDescent="0.35">
      <c r="G2" s="122"/>
      <c r="H2" s="123" t="s">
        <v>639</v>
      </c>
      <c r="I2" s="124"/>
      <c r="J2" s="124"/>
      <c r="K2" s="124"/>
      <c r="L2" s="122"/>
      <c r="Q2" s="124"/>
    </row>
    <row r="3" spans="1:26" ht="14.15" customHeight="1" x14ac:dyDescent="0.35">
      <c r="G3" s="122"/>
      <c r="H3" s="125" t="s">
        <v>1330</v>
      </c>
      <c r="I3" s="119"/>
      <c r="J3" s="119"/>
      <c r="K3" s="124"/>
      <c r="L3" s="122"/>
      <c r="Q3" s="124"/>
    </row>
    <row r="4" spans="1:26" ht="14.15" customHeight="1" x14ac:dyDescent="0.35">
      <c r="G4" s="122"/>
      <c r="H4" s="125" t="s">
        <v>1325</v>
      </c>
      <c r="I4" s="119"/>
      <c r="J4" s="119"/>
      <c r="K4" s="124"/>
      <c r="L4" s="122"/>
      <c r="Q4" s="124"/>
    </row>
    <row r="5" spans="1:26" ht="14.15" customHeight="1" x14ac:dyDescent="0.35">
      <c r="G5" s="122"/>
      <c r="H5" s="125" t="s">
        <v>1326</v>
      </c>
      <c r="I5" s="119"/>
      <c r="J5" s="119"/>
      <c r="K5" s="124"/>
      <c r="L5" s="122"/>
      <c r="O5" s="124"/>
    </row>
    <row r="6" spans="1:26" ht="14.15" customHeight="1" x14ac:dyDescent="0.35">
      <c r="C6" s="120"/>
      <c r="D6" s="250"/>
      <c r="G6" s="122"/>
      <c r="H6" s="125" t="s">
        <v>1645</v>
      </c>
      <c r="K6" s="124"/>
      <c r="L6" s="122"/>
    </row>
    <row r="7" spans="1:26" ht="14.15" customHeight="1" x14ac:dyDescent="0.35">
      <c r="A7" s="126"/>
      <c r="B7" s="126"/>
      <c r="C7" s="127"/>
      <c r="D7" s="251"/>
      <c r="E7" s="126"/>
      <c r="F7" s="128"/>
      <c r="G7" s="129"/>
      <c r="H7" s="130"/>
      <c r="I7" s="128"/>
      <c r="J7" s="128"/>
      <c r="K7" s="126"/>
      <c r="L7" s="129"/>
    </row>
    <row r="8" spans="1:26" x14ac:dyDescent="0.35">
      <c r="A8" s="644" t="s">
        <v>435</v>
      </c>
      <c r="B8" s="645"/>
      <c r="C8" s="646" t="s">
        <v>436</v>
      </c>
      <c r="D8" s="647"/>
      <c r="E8" s="644" t="s">
        <v>437</v>
      </c>
      <c r="F8" s="645"/>
      <c r="G8" s="644" t="s">
        <v>438</v>
      </c>
      <c r="H8" s="648"/>
      <c r="I8" s="648"/>
      <c r="J8" s="139"/>
      <c r="K8" s="646" t="s">
        <v>439</v>
      </c>
      <c r="L8" s="649"/>
    </row>
    <row r="9" spans="1:26" ht="14.5" customHeight="1" x14ac:dyDescent="0.35">
      <c r="A9" s="637" t="s">
        <v>440</v>
      </c>
      <c r="B9" s="638"/>
      <c r="C9" s="639">
        <v>45595</v>
      </c>
      <c r="D9" s="640"/>
      <c r="E9" s="637"/>
      <c r="F9" s="638"/>
      <c r="G9" s="641" t="s">
        <v>919</v>
      </c>
      <c r="H9" s="642"/>
      <c r="I9" s="642"/>
      <c r="J9" s="643"/>
      <c r="K9" s="637" t="s">
        <v>607</v>
      </c>
      <c r="L9" s="638"/>
    </row>
    <row r="10" spans="1:26" x14ac:dyDescent="0.35">
      <c r="A10" s="646" t="s">
        <v>441</v>
      </c>
      <c r="B10" s="650"/>
      <c r="C10" s="650"/>
      <c r="D10" s="651"/>
      <c r="E10" s="651"/>
      <c r="F10" s="650"/>
      <c r="G10" s="650"/>
      <c r="H10" s="650"/>
      <c r="I10" s="650"/>
      <c r="J10" s="650"/>
      <c r="K10" s="650"/>
      <c r="L10" s="649"/>
    </row>
    <row r="11" spans="1:26" ht="14" x14ac:dyDescent="0.35">
      <c r="A11" s="155" t="s">
        <v>258</v>
      </c>
      <c r="B11" s="126"/>
      <c r="C11" s="127"/>
      <c r="D11" s="126"/>
      <c r="E11" s="251"/>
      <c r="F11" s="126"/>
      <c r="G11" s="126"/>
      <c r="H11" s="126"/>
      <c r="I11" s="126"/>
      <c r="J11" s="126"/>
      <c r="K11" s="126"/>
      <c r="L11" s="129"/>
    </row>
    <row r="12" spans="1:26" ht="31.5" customHeight="1" x14ac:dyDescent="0.35">
      <c r="A12" s="134" t="s">
        <v>442</v>
      </c>
      <c r="B12" s="652" t="s">
        <v>443</v>
      </c>
      <c r="C12" s="653"/>
      <c r="D12" s="653"/>
      <c r="E12" s="654"/>
      <c r="F12" s="135" t="s">
        <v>444</v>
      </c>
      <c r="G12" s="134" t="s">
        <v>445</v>
      </c>
      <c r="H12" s="134" t="s">
        <v>446</v>
      </c>
      <c r="I12" s="134" t="s">
        <v>447</v>
      </c>
      <c r="J12" s="134" t="s">
        <v>982</v>
      </c>
      <c r="K12" s="134" t="s">
        <v>448</v>
      </c>
      <c r="L12" s="134" t="s">
        <v>449</v>
      </c>
    </row>
    <row r="13" spans="1:26" ht="13" customHeight="1" x14ac:dyDescent="0.35">
      <c r="A13" s="227"/>
      <c r="B13" s="201" t="s">
        <v>1723</v>
      </c>
      <c r="C13" s="228"/>
      <c r="D13" s="228"/>
      <c r="E13" s="229"/>
      <c r="F13" s="230"/>
      <c r="G13" s="471"/>
      <c r="H13" s="634"/>
      <c r="I13" s="471"/>
      <c r="J13" s="253"/>
      <c r="K13" s="634"/>
      <c r="L13" s="260"/>
      <c r="O13" s="124"/>
    </row>
    <row r="14" spans="1:26" ht="14.5" x14ac:dyDescent="0.35">
      <c r="A14" s="224" t="str">
        <f t="array" ref="A14:A18">INDEX(salesHistory[sku_geko], SMALL(IF((salesHistory[qty]&lt;&gt;0)*(salesHistory[order_no]=140), ROW(salesHistory[qty])-MIN(ROW(salesHistory[qty]))+1), ROW(A1:A5)))</f>
        <v>P05004</v>
      </c>
      <c r="B14" s="622" t="str">
        <f t="array" ref="B14:B18">INDEX(salesHistory[description], SMALL(IF((salesHistory[qty]&lt;&gt;0)*(salesHistory[order_no]=140), ROW(salesHistory[qty])-MIN(ROW(salesHistory[qty]))+1), ROW(A1:A5)))</f>
        <v>BHPC SPORT MEN 1 EDT 100ML</v>
      </c>
      <c r="C14" s="237"/>
      <c r="D14" s="116"/>
      <c r="E14" s="225"/>
      <c r="F14" s="226" t="s">
        <v>871</v>
      </c>
      <c r="G14" s="472">
        <f t="array" ref="G14:G18">INDEX(salesHistory[qty], SMALL(IF((salesHistory[qty]&lt;&gt;0)*(salesHistory[order_no]=140), ROW(salesHistory[qty])-MIN(ROW(salesHistory[qty]))+1), ROW(A1:A5)))</f>
        <v>1500</v>
      </c>
      <c r="H14" s="635">
        <f t="array" ref="H14:H18">INDEX(salesHistory[price], SMALL(IF((salesHistory[qty]&lt;&gt;0)*(salesHistory[order_no]=140), ROW(salesHistory[qty])-MIN(ROW(salesHistory[qty]))+1), ROW(A1:A5)))</f>
        <v>4.5</v>
      </c>
      <c r="I14" s="472">
        <f>CEILING(G14/24,1)</f>
        <v>63</v>
      </c>
      <c r="J14" s="254">
        <f>INDEX(bhpc_data[ean],MATCH(Z14,bhpc_data[sku],0))</f>
        <v>8718719850046</v>
      </c>
      <c r="K14" s="635">
        <f t="shared" ref="K14:K18" si="0">G14*H14</f>
        <v>6750</v>
      </c>
      <c r="L14" s="249" t="s">
        <v>254</v>
      </c>
      <c r="O14" s="121"/>
      <c r="T14" s="57"/>
      <c r="U14" s="57"/>
      <c r="V14" s="138"/>
      <c r="W14" s="57"/>
      <c r="X14" s="138"/>
      <c r="Y14" s="57"/>
      <c r="Z14" s="119" t="str">
        <f t="array" ref="Z14:Z18">INDEX(salesHistory[sku], SMALL(IF((salesHistory[qty]&lt;&gt;0)*(salesHistory[order_no]=140), ROW(salesHistory[qty])-MIN(ROW(salesHistory[qty]))+1), ROW(A1:A5)))</f>
        <v>P05004</v>
      </c>
    </row>
    <row r="15" spans="1:26" ht="14.5" x14ac:dyDescent="0.35">
      <c r="A15" s="224" t="str">
        <v>P05005</v>
      </c>
      <c r="B15" s="622" t="str">
        <v>BHPC SPORT MEN 9 EDT 100ML</v>
      </c>
      <c r="C15" s="237"/>
      <c r="D15" s="116"/>
      <c r="E15" s="225"/>
      <c r="F15" s="226" t="s">
        <v>871</v>
      </c>
      <c r="G15" s="472">
        <v>200</v>
      </c>
      <c r="H15" s="635">
        <v>4.5</v>
      </c>
      <c r="I15" s="472">
        <f>CEILING(G15/24,1)</f>
        <v>9</v>
      </c>
      <c r="J15" s="254">
        <f>INDEX(bhpc_data[ean],MATCH(Z15,bhpc_data[sku],0))</f>
        <v>8718719850053</v>
      </c>
      <c r="K15" s="635">
        <f t="shared" si="0"/>
        <v>900</v>
      </c>
      <c r="L15" s="249" t="s">
        <v>254</v>
      </c>
      <c r="O15" s="121"/>
      <c r="T15" s="57"/>
      <c r="U15" s="57"/>
      <c r="V15" s="138"/>
      <c r="W15" s="57"/>
      <c r="X15" s="138"/>
      <c r="Y15" s="57"/>
      <c r="Z15" s="119" t="str">
        <v>P05005</v>
      </c>
    </row>
    <row r="16" spans="1:26" ht="14.5" x14ac:dyDescent="0.35">
      <c r="A16" s="224" t="str">
        <v>P05007</v>
      </c>
      <c r="B16" s="622" t="str">
        <v>BHPC SPORT MEN 2 EDT 100ML</v>
      </c>
      <c r="C16" s="237"/>
      <c r="D16" s="116"/>
      <c r="E16" s="225"/>
      <c r="F16" s="226" t="s">
        <v>871</v>
      </c>
      <c r="G16" s="472">
        <v>1500</v>
      </c>
      <c r="H16" s="635">
        <v>4.5</v>
      </c>
      <c r="I16" s="472">
        <f>CEILING(G16/24,1)</f>
        <v>63</v>
      </c>
      <c r="J16" s="254">
        <f>INDEX(bhpc_data[ean],MATCH(Z16,bhpc_data[sku],0))</f>
        <v>8718719850077</v>
      </c>
      <c r="K16" s="635">
        <f t="shared" si="0"/>
        <v>6750</v>
      </c>
      <c r="L16" s="249" t="s">
        <v>254</v>
      </c>
      <c r="O16" s="121"/>
      <c r="T16" s="57"/>
      <c r="U16" s="57"/>
      <c r="V16" s="138"/>
      <c r="W16" s="57"/>
      <c r="X16" s="138"/>
      <c r="Y16" s="57"/>
      <c r="Z16" s="119" t="str">
        <v>P05007</v>
      </c>
    </row>
    <row r="17" spans="1:26" ht="14.5" x14ac:dyDescent="0.35">
      <c r="A17" s="224" t="str">
        <v>P05050</v>
      </c>
      <c r="B17" s="622" t="str">
        <v>BHPC WOMEN 1 EDP 100ML</v>
      </c>
      <c r="C17" s="237"/>
      <c r="D17" s="116"/>
      <c r="E17" s="225"/>
      <c r="F17" s="226" t="s">
        <v>871</v>
      </c>
      <c r="G17" s="472">
        <v>300</v>
      </c>
      <c r="H17" s="635">
        <v>4.5</v>
      </c>
      <c r="I17" s="472">
        <f>CEILING(G17/24,1)</f>
        <v>13</v>
      </c>
      <c r="J17" s="254">
        <f>INDEX(bhpc_data[ean],MATCH(Z17,bhpc_data[sku],0))</f>
        <v>6291107162713</v>
      </c>
      <c r="K17" s="635">
        <f t="shared" si="0"/>
        <v>1350</v>
      </c>
      <c r="L17" s="249" t="s">
        <v>254</v>
      </c>
      <c r="O17" s="121"/>
      <c r="T17" s="57"/>
      <c r="U17" s="57"/>
      <c r="V17" s="138"/>
      <c r="W17" s="57"/>
      <c r="X17" s="138"/>
      <c r="Y17" s="57"/>
      <c r="Z17" s="119" t="str">
        <v>P05050</v>
      </c>
    </row>
    <row r="18" spans="1:26" ht="14.5" x14ac:dyDescent="0.35">
      <c r="A18" s="224" t="str">
        <v>P05051</v>
      </c>
      <c r="B18" s="622" t="str">
        <v>BHPC WOMEN 9 EDP 100ML</v>
      </c>
      <c r="C18" s="237"/>
      <c r="D18" s="116"/>
      <c r="E18" s="225"/>
      <c r="F18" s="226" t="s">
        <v>871</v>
      </c>
      <c r="G18" s="472">
        <v>500</v>
      </c>
      <c r="H18" s="635">
        <v>4.5</v>
      </c>
      <c r="I18" s="472">
        <f>CEILING(G18/24,1)</f>
        <v>21</v>
      </c>
      <c r="J18" s="254">
        <f>INDEX(bhpc_data[ean],MATCH(Z18,bhpc_data[sku],0))</f>
        <v>6291107162720</v>
      </c>
      <c r="K18" s="635">
        <f t="shared" si="0"/>
        <v>2250</v>
      </c>
      <c r="L18" s="249" t="s">
        <v>254</v>
      </c>
      <c r="O18" s="121"/>
      <c r="T18" s="57"/>
      <c r="U18" s="57"/>
      <c r="V18" s="138"/>
      <c r="W18" s="57"/>
      <c r="X18" s="138"/>
      <c r="Y18" s="57"/>
      <c r="Z18" s="119" t="str">
        <v>P05051</v>
      </c>
    </row>
    <row r="19" spans="1:26" ht="14.5" x14ac:dyDescent="0.35">
      <c r="A19" s="224"/>
      <c r="B19" s="622"/>
      <c r="C19" s="237"/>
      <c r="D19" s="116"/>
      <c r="E19" s="225"/>
      <c r="F19" s="226"/>
      <c r="G19" s="472"/>
      <c r="H19" s="635"/>
      <c r="I19" s="472"/>
      <c r="J19" s="254"/>
      <c r="K19" s="635"/>
      <c r="L19" s="249"/>
      <c r="O19" s="121"/>
      <c r="T19" s="57"/>
      <c r="U19" s="57"/>
      <c r="V19" s="138"/>
      <c r="W19" s="57"/>
      <c r="X19" s="138"/>
      <c r="Y19" s="57"/>
    </row>
    <row r="20" spans="1:26" ht="14.5" x14ac:dyDescent="0.35">
      <c r="A20" s="224"/>
      <c r="B20" s="622"/>
      <c r="C20" s="237"/>
      <c r="D20" s="252"/>
      <c r="E20" s="225"/>
      <c r="F20" s="226"/>
      <c r="G20" s="472"/>
      <c r="H20" s="635"/>
      <c r="I20" s="472"/>
      <c r="J20" s="254"/>
      <c r="K20" s="635"/>
      <c r="L20" s="249"/>
      <c r="O20" s="121"/>
      <c r="T20" s="57"/>
      <c r="U20" s="57"/>
      <c r="V20" s="138"/>
      <c r="W20" s="57"/>
      <c r="X20" s="138"/>
      <c r="Y20" s="57"/>
    </row>
    <row r="21" spans="1:26" ht="14.5" x14ac:dyDescent="0.35">
      <c r="A21" s="224"/>
      <c r="B21" s="622"/>
      <c r="C21" s="237"/>
      <c r="D21" s="116"/>
      <c r="E21" s="225"/>
      <c r="F21" s="226"/>
      <c r="G21" s="472"/>
      <c r="H21" s="635"/>
      <c r="I21" s="472"/>
      <c r="J21" s="254"/>
      <c r="K21" s="635"/>
      <c r="L21" s="249"/>
      <c r="O21" s="121"/>
      <c r="T21" s="57"/>
      <c r="U21" s="57"/>
      <c r="V21" s="138"/>
      <c r="W21" s="57"/>
      <c r="X21" s="138"/>
      <c r="Y21" s="57"/>
    </row>
    <row r="22" spans="1:26" ht="14.5" x14ac:dyDescent="0.35">
      <c r="A22" s="224"/>
      <c r="B22" s="622"/>
      <c r="C22" s="237" t="s">
        <v>937</v>
      </c>
      <c r="D22" s="116" t="str">
        <f>CONCATENATE(plModelFinal!$A$156," Kg.")</f>
        <v>1231,7 Kg.</v>
      </c>
      <c r="E22" s="225"/>
      <c r="F22" s="226"/>
      <c r="G22" s="472"/>
      <c r="H22" s="635"/>
      <c r="I22" s="472"/>
      <c r="J22" s="254"/>
      <c r="K22" s="635"/>
      <c r="L22" s="249"/>
      <c r="O22" s="121"/>
      <c r="T22" s="57"/>
      <c r="U22" s="57"/>
      <c r="V22" s="138"/>
      <c r="W22" s="57"/>
      <c r="X22" s="138"/>
      <c r="Y22" s="57"/>
    </row>
    <row r="23" spans="1:26" ht="14.5" x14ac:dyDescent="0.35">
      <c r="A23" s="224"/>
      <c r="B23" s="622"/>
      <c r="C23" s="237" t="s">
        <v>938</v>
      </c>
      <c r="D23" s="252" t="str">
        <f>CONCATENATE(plModelFinal!$E$156," Kg.")</f>
        <v>1349,4 Kg.</v>
      </c>
      <c r="E23" s="225"/>
      <c r="F23" s="226"/>
      <c r="G23" s="472"/>
      <c r="H23" s="635"/>
      <c r="I23" s="472"/>
      <c r="J23" s="254"/>
      <c r="K23" s="635"/>
      <c r="L23" s="249"/>
      <c r="O23" s="121"/>
      <c r="T23" s="57"/>
      <c r="U23" s="57"/>
      <c r="V23" s="138"/>
      <c r="W23" s="57"/>
      <c r="X23" s="138"/>
      <c r="Y23" s="57"/>
    </row>
    <row r="24" spans="1:26" ht="14.5" x14ac:dyDescent="0.35">
      <c r="A24" s="224"/>
      <c r="B24" s="622"/>
      <c r="C24" s="237" t="s">
        <v>939</v>
      </c>
      <c r="D24" s="252">
        <f>plModelFinal!$C$154</f>
        <v>169</v>
      </c>
      <c r="E24" s="225"/>
      <c r="F24" s="226"/>
      <c r="G24" s="472"/>
      <c r="H24" s="635"/>
      <c r="I24" s="472"/>
      <c r="J24" s="254"/>
      <c r="K24" s="635"/>
      <c r="L24" s="249"/>
      <c r="O24" s="121"/>
      <c r="T24" s="57"/>
      <c r="U24" s="57"/>
      <c r="V24" s="138"/>
      <c r="W24" s="57"/>
      <c r="X24" s="138"/>
      <c r="Y24" s="57"/>
    </row>
    <row r="25" spans="1:26" ht="14.5" x14ac:dyDescent="0.35">
      <c r="A25" s="224"/>
      <c r="B25" s="622"/>
      <c r="C25" s="237" t="s">
        <v>940</v>
      </c>
      <c r="D25" s="116">
        <f>plModelFinal!$E$154</f>
        <v>0</v>
      </c>
      <c r="E25" s="225"/>
      <c r="F25" s="226"/>
      <c r="G25" s="472"/>
      <c r="H25" s="635"/>
      <c r="I25" s="472"/>
      <c r="J25" s="254"/>
      <c r="K25" s="635"/>
      <c r="L25" s="249"/>
      <c r="O25" s="121"/>
      <c r="T25" s="57"/>
      <c r="U25" s="57"/>
      <c r="V25" s="138"/>
      <c r="W25" s="57"/>
      <c r="X25" s="138"/>
      <c r="Y25" s="57"/>
    </row>
    <row r="26" spans="1:26" ht="14.5" x14ac:dyDescent="0.35">
      <c r="A26" s="224"/>
      <c r="B26" s="622"/>
      <c r="C26" s="237" t="s">
        <v>936</v>
      </c>
      <c r="D26" s="116" t="str">
        <f>plModelFinal!$G$154</f>
        <v>100x120x___(h)</v>
      </c>
      <c r="E26" s="225"/>
      <c r="F26" s="226"/>
      <c r="G26" s="472"/>
      <c r="H26" s="635"/>
      <c r="I26" s="472"/>
      <c r="J26" s="254"/>
      <c r="K26" s="635"/>
      <c r="L26" s="249"/>
      <c r="O26" s="121"/>
      <c r="T26" s="57"/>
      <c r="U26" s="57"/>
      <c r="V26" s="138"/>
      <c r="W26" s="57"/>
      <c r="X26" s="138"/>
      <c r="Y26" s="57"/>
    </row>
    <row r="27" spans="1:26" ht="14.5" x14ac:dyDescent="0.35">
      <c r="A27" s="224"/>
      <c r="B27" s="622"/>
      <c r="C27" s="237"/>
      <c r="D27" s="252"/>
      <c r="E27" s="225"/>
      <c r="F27" s="226"/>
      <c r="G27" s="472"/>
      <c r="H27" s="635"/>
      <c r="I27" s="472"/>
      <c r="J27" s="254"/>
      <c r="K27" s="635"/>
      <c r="L27" s="249"/>
      <c r="O27" s="121"/>
      <c r="T27" s="57"/>
      <c r="U27" s="57"/>
      <c r="V27" s="138"/>
      <c r="W27" s="57"/>
      <c r="X27" s="138"/>
      <c r="Y27" s="57"/>
    </row>
    <row r="28" spans="1:26" ht="14.5" x14ac:dyDescent="0.35">
      <c r="A28" s="224"/>
      <c r="B28" s="622"/>
      <c r="C28" s="237"/>
      <c r="D28" s="116"/>
      <c r="E28" s="225"/>
      <c r="F28" s="226"/>
      <c r="G28" s="472"/>
      <c r="H28" s="635"/>
      <c r="I28" s="472"/>
      <c r="J28" s="254"/>
      <c r="K28" s="635"/>
      <c r="L28" s="249"/>
      <c r="O28" s="121"/>
      <c r="T28" s="57"/>
      <c r="U28" s="57"/>
      <c r="V28" s="138"/>
      <c r="W28" s="57"/>
      <c r="X28" s="138"/>
      <c r="Y28" s="57"/>
    </row>
    <row r="29" spans="1:26" ht="14.5" x14ac:dyDescent="0.35">
      <c r="A29" s="224"/>
      <c r="B29" s="622"/>
      <c r="C29" s="237"/>
      <c r="D29" s="116"/>
      <c r="E29" s="225"/>
      <c r="F29" s="226"/>
      <c r="G29" s="472"/>
      <c r="H29" s="635"/>
      <c r="I29" s="472"/>
      <c r="J29" s="254"/>
      <c r="K29" s="635"/>
      <c r="L29" s="249"/>
      <c r="O29" s="121"/>
      <c r="T29" s="57"/>
      <c r="U29" s="57"/>
      <c r="V29" s="138"/>
      <c r="W29" s="57"/>
      <c r="X29" s="138"/>
      <c r="Y29" s="57"/>
    </row>
    <row r="30" spans="1:26" ht="14.5" x14ac:dyDescent="0.35">
      <c r="A30" s="224"/>
      <c r="B30" s="622"/>
      <c r="C30" s="237"/>
      <c r="D30" s="116"/>
      <c r="E30" s="225"/>
      <c r="F30" s="226"/>
      <c r="G30" s="472"/>
      <c r="H30" s="635"/>
      <c r="I30" s="472"/>
      <c r="J30" s="254"/>
      <c r="K30" s="635"/>
      <c r="L30" s="249"/>
      <c r="O30" s="121"/>
      <c r="T30" s="57"/>
      <c r="U30" s="57"/>
      <c r="V30" s="138"/>
      <c r="W30" s="57"/>
      <c r="X30" s="138"/>
      <c r="Y30" s="57"/>
    </row>
    <row r="31" spans="1:26" ht="14.5" x14ac:dyDescent="0.35">
      <c r="A31" s="224"/>
      <c r="B31" s="622"/>
      <c r="C31" s="237"/>
      <c r="D31" s="116"/>
      <c r="E31" s="225"/>
      <c r="F31" s="226"/>
      <c r="G31" s="472"/>
      <c r="H31" s="635"/>
      <c r="I31" s="472"/>
      <c r="J31" s="254"/>
      <c r="K31" s="635"/>
      <c r="L31" s="249"/>
      <c r="O31" s="121"/>
      <c r="T31" s="57"/>
      <c r="U31" s="57"/>
      <c r="V31" s="138"/>
      <c r="W31" s="57"/>
      <c r="X31" s="138"/>
      <c r="Y31" s="57"/>
    </row>
    <row r="32" spans="1:26" ht="14.5" x14ac:dyDescent="0.35">
      <c r="A32" s="224"/>
      <c r="B32" s="622"/>
      <c r="C32" s="237"/>
      <c r="D32" s="116"/>
      <c r="E32" s="225"/>
      <c r="F32" s="226"/>
      <c r="G32" s="472"/>
      <c r="H32" s="635"/>
      <c r="I32" s="472"/>
      <c r="J32" s="254"/>
      <c r="K32" s="635"/>
      <c r="L32" s="249"/>
      <c r="O32" s="121"/>
      <c r="T32" s="57"/>
      <c r="U32" s="57"/>
      <c r="V32" s="138"/>
      <c r="W32" s="57"/>
      <c r="X32" s="138"/>
      <c r="Y32" s="57"/>
    </row>
    <row r="33" spans="1:25" ht="14.5" x14ac:dyDescent="0.35">
      <c r="A33" s="224"/>
      <c r="B33" s="622"/>
      <c r="C33" s="237"/>
      <c r="D33" s="116"/>
      <c r="E33" s="225"/>
      <c r="F33" s="226"/>
      <c r="G33" s="472"/>
      <c r="H33" s="635"/>
      <c r="I33" s="472"/>
      <c r="J33" s="254"/>
      <c r="K33" s="635"/>
      <c r="L33" s="249"/>
      <c r="O33" s="121"/>
      <c r="T33" s="57"/>
      <c r="U33" s="57"/>
      <c r="V33" s="138"/>
      <c r="W33" s="57"/>
      <c r="X33" s="138"/>
      <c r="Y33" s="57"/>
    </row>
    <row r="34" spans="1:25" ht="14.5" x14ac:dyDescent="0.35">
      <c r="A34" s="224"/>
      <c r="B34" s="622"/>
      <c r="C34" s="237"/>
      <c r="D34" s="252"/>
      <c r="E34" s="225"/>
      <c r="F34" s="226"/>
      <c r="G34" s="472"/>
      <c r="H34" s="635"/>
      <c r="I34" s="472"/>
      <c r="J34" s="254"/>
      <c r="K34" s="635"/>
      <c r="L34" s="249"/>
      <c r="O34" s="121"/>
      <c r="T34" s="57"/>
      <c r="U34" s="57"/>
      <c r="V34" s="138"/>
      <c r="W34" s="57"/>
      <c r="X34" s="138"/>
      <c r="Y34" s="57"/>
    </row>
    <row r="35" spans="1:25" ht="14.5" x14ac:dyDescent="0.35">
      <c r="A35" s="224"/>
      <c r="B35" s="622"/>
      <c r="C35" s="237"/>
      <c r="D35" s="252"/>
      <c r="E35" s="225"/>
      <c r="F35" s="226"/>
      <c r="G35" s="472"/>
      <c r="H35" s="635"/>
      <c r="I35" s="472"/>
      <c r="J35" s="254"/>
      <c r="K35" s="635"/>
      <c r="L35" s="249"/>
      <c r="O35" s="121"/>
      <c r="T35" s="57"/>
      <c r="U35" s="57"/>
      <c r="V35" s="138"/>
      <c r="W35" s="57"/>
      <c r="X35" s="138"/>
      <c r="Y35" s="57"/>
    </row>
    <row r="36" spans="1:25" ht="14.5" x14ac:dyDescent="0.35">
      <c r="A36" s="224"/>
      <c r="B36" s="622"/>
      <c r="C36" s="237"/>
      <c r="D36" s="252"/>
      <c r="E36" s="225"/>
      <c r="F36" s="226"/>
      <c r="G36" s="472"/>
      <c r="H36" s="635"/>
      <c r="I36" s="472"/>
      <c r="J36" s="254"/>
      <c r="K36" s="635"/>
      <c r="L36" s="249"/>
      <c r="O36" s="121"/>
      <c r="T36" s="57"/>
      <c r="U36" s="57"/>
      <c r="V36" s="138"/>
      <c r="W36" s="57"/>
      <c r="X36" s="138"/>
      <c r="Y36" s="57"/>
    </row>
    <row r="37" spans="1:25" ht="14.5" x14ac:dyDescent="0.35">
      <c r="A37" s="224"/>
      <c r="B37" s="622"/>
      <c r="C37" s="237"/>
      <c r="D37" s="252"/>
      <c r="E37" s="225"/>
      <c r="F37" s="226"/>
      <c r="G37" s="472"/>
      <c r="H37" s="635"/>
      <c r="I37" s="472"/>
      <c r="J37" s="254"/>
      <c r="K37" s="635"/>
      <c r="L37" s="249"/>
      <c r="O37" s="121"/>
      <c r="T37" s="57"/>
      <c r="U37" s="57"/>
      <c r="V37" s="138"/>
      <c r="W37" s="57"/>
      <c r="X37" s="138"/>
      <c r="Y37" s="57"/>
    </row>
    <row r="38" spans="1:25" ht="14.5" x14ac:dyDescent="0.35">
      <c r="A38" s="224"/>
      <c r="B38" s="622"/>
      <c r="C38" s="237"/>
      <c r="D38" s="116"/>
      <c r="E38" s="225"/>
      <c r="F38" s="226"/>
      <c r="G38" s="472"/>
      <c r="H38" s="635"/>
      <c r="I38" s="472"/>
      <c r="J38" s="254"/>
      <c r="K38" s="635"/>
      <c r="L38" s="249"/>
      <c r="O38" s="121"/>
      <c r="T38" s="57"/>
      <c r="U38" s="57"/>
      <c r="V38" s="138"/>
      <c r="W38" s="57"/>
      <c r="X38" s="138"/>
      <c r="Y38" s="57"/>
    </row>
    <row r="39" spans="1:25" ht="14.5" x14ac:dyDescent="0.35">
      <c r="A39" s="224"/>
      <c r="B39" s="622"/>
      <c r="C39" s="237"/>
      <c r="D39" s="116"/>
      <c r="E39" s="225"/>
      <c r="F39" s="226"/>
      <c r="G39" s="472"/>
      <c r="H39" s="635"/>
      <c r="I39" s="472"/>
      <c r="J39" s="254"/>
      <c r="K39" s="635"/>
      <c r="L39" s="249"/>
      <c r="O39" s="121"/>
      <c r="T39" s="57"/>
      <c r="U39" s="57"/>
      <c r="V39" s="138"/>
      <c r="W39" s="57"/>
      <c r="X39" s="138"/>
      <c r="Y39" s="57"/>
    </row>
    <row r="40" spans="1:25" ht="14.5" x14ac:dyDescent="0.35">
      <c r="A40" s="224"/>
      <c r="B40" s="622"/>
      <c r="C40" s="237"/>
      <c r="D40" s="116"/>
      <c r="E40" s="225"/>
      <c r="F40" s="226"/>
      <c r="G40" s="472"/>
      <c r="H40" s="635"/>
      <c r="I40" s="472"/>
      <c r="J40" s="254"/>
      <c r="K40" s="635"/>
      <c r="L40" s="249"/>
      <c r="O40" s="121"/>
      <c r="T40" s="57"/>
      <c r="U40" s="57"/>
      <c r="V40" s="138"/>
      <c r="W40" s="57"/>
      <c r="X40" s="138"/>
      <c r="Y40" s="57"/>
    </row>
    <row r="41" spans="1:25" ht="14.5" x14ac:dyDescent="0.35">
      <c r="A41" s="224"/>
      <c r="B41" s="622"/>
      <c r="C41" s="237"/>
      <c r="D41" s="252"/>
      <c r="E41" s="225"/>
      <c r="F41" s="226"/>
      <c r="G41" s="472"/>
      <c r="H41" s="635"/>
      <c r="I41" s="472"/>
      <c r="J41" s="254"/>
      <c r="K41" s="635"/>
      <c r="L41" s="249"/>
      <c r="O41" s="121"/>
      <c r="T41" s="57"/>
      <c r="U41" s="57"/>
      <c r="V41" s="138"/>
      <c r="W41" s="57"/>
      <c r="X41" s="138"/>
      <c r="Y41" s="57"/>
    </row>
    <row r="42" spans="1:25" ht="14.5" x14ac:dyDescent="0.35">
      <c r="A42" s="224"/>
      <c r="B42" s="622"/>
      <c r="C42" s="237"/>
      <c r="D42" s="116"/>
      <c r="E42" s="225"/>
      <c r="F42" s="226"/>
      <c r="G42" s="472"/>
      <c r="H42" s="635"/>
      <c r="I42" s="472"/>
      <c r="J42" s="254"/>
      <c r="K42" s="635"/>
      <c r="L42" s="249"/>
      <c r="O42" s="121"/>
      <c r="T42" s="57"/>
      <c r="U42" s="57"/>
      <c r="V42" s="138"/>
      <c r="W42" s="57"/>
      <c r="X42" s="138"/>
      <c r="Y42" s="57"/>
    </row>
    <row r="43" spans="1:25" ht="14.5" x14ac:dyDescent="0.35">
      <c r="A43" s="224"/>
      <c r="B43" s="622"/>
      <c r="C43" s="237"/>
      <c r="D43" s="116"/>
      <c r="E43" s="225"/>
      <c r="F43" s="226"/>
      <c r="G43" s="472"/>
      <c r="H43" s="635"/>
      <c r="I43" s="472"/>
      <c r="J43" s="254"/>
      <c r="K43" s="635"/>
      <c r="L43" s="249"/>
      <c r="O43" s="121"/>
      <c r="T43" s="57"/>
      <c r="U43" s="57"/>
      <c r="V43" s="138"/>
      <c r="W43" s="57"/>
      <c r="X43" s="138"/>
      <c r="Y43" s="57"/>
    </row>
    <row r="44" spans="1:25" ht="14.5" x14ac:dyDescent="0.35">
      <c r="A44" s="224"/>
      <c r="B44" s="622"/>
      <c r="C44" s="237"/>
      <c r="D44" s="116"/>
      <c r="E44" s="225"/>
      <c r="F44" s="226"/>
      <c r="G44" s="472"/>
      <c r="H44" s="635"/>
      <c r="I44" s="472"/>
      <c r="J44" s="254"/>
      <c r="K44" s="635"/>
      <c r="L44" s="249"/>
      <c r="O44" s="121"/>
      <c r="T44" s="57"/>
      <c r="U44" s="57"/>
      <c r="V44" s="138"/>
      <c r="W44" s="57"/>
      <c r="X44" s="138"/>
      <c r="Y44" s="57"/>
    </row>
    <row r="45" spans="1:25" ht="14.5" x14ac:dyDescent="0.35">
      <c r="A45" s="224"/>
      <c r="B45" s="622"/>
      <c r="C45" s="237"/>
      <c r="D45" s="252"/>
      <c r="E45" s="225"/>
      <c r="F45" s="226"/>
      <c r="G45" s="472"/>
      <c r="H45" s="635"/>
      <c r="I45" s="472"/>
      <c r="J45" s="254"/>
      <c r="K45" s="635"/>
      <c r="L45" s="249"/>
      <c r="O45" s="121"/>
      <c r="T45" s="57"/>
      <c r="U45" s="57"/>
      <c r="V45" s="138"/>
      <c r="W45" s="57"/>
      <c r="X45" s="138"/>
      <c r="Y45" s="57"/>
    </row>
    <row r="46" spans="1:25" ht="14.5" x14ac:dyDescent="0.35">
      <c r="A46" s="224"/>
      <c r="B46" s="622"/>
      <c r="C46" s="237"/>
      <c r="D46" s="252"/>
      <c r="E46" s="225"/>
      <c r="F46" s="226"/>
      <c r="G46" s="472"/>
      <c r="H46" s="635"/>
      <c r="I46" s="472"/>
      <c r="J46" s="254"/>
      <c r="K46" s="635"/>
      <c r="L46" s="249"/>
      <c r="O46" s="121"/>
      <c r="T46" s="57"/>
      <c r="U46" s="57"/>
      <c r="V46" s="138"/>
      <c r="W46" s="57"/>
      <c r="X46" s="138"/>
      <c r="Y46" s="57"/>
    </row>
    <row r="47" spans="1:25" ht="14.5" x14ac:dyDescent="0.35">
      <c r="A47" s="224"/>
      <c r="B47" s="622"/>
      <c r="C47" s="237"/>
      <c r="D47" s="116"/>
      <c r="E47" s="225"/>
      <c r="F47" s="226"/>
      <c r="G47" s="472"/>
      <c r="H47" s="635"/>
      <c r="I47" s="472"/>
      <c r="J47" s="254"/>
      <c r="K47" s="635"/>
      <c r="L47" s="249"/>
      <c r="O47" s="121"/>
      <c r="T47" s="57"/>
      <c r="U47" s="57"/>
      <c r="V47" s="138"/>
      <c r="W47" s="57"/>
      <c r="X47" s="138"/>
      <c r="Y47" s="57"/>
    </row>
    <row r="48" spans="1:25" ht="14.5" x14ac:dyDescent="0.35">
      <c r="A48" s="224"/>
      <c r="B48" s="622"/>
      <c r="C48" s="237"/>
      <c r="D48" s="116"/>
      <c r="E48" s="225"/>
      <c r="F48" s="226"/>
      <c r="G48" s="472"/>
      <c r="H48" s="635"/>
      <c r="I48" s="472"/>
      <c r="J48" s="254"/>
      <c r="K48" s="635"/>
      <c r="L48" s="249"/>
      <c r="O48" s="121"/>
      <c r="T48" s="57"/>
      <c r="U48" s="57"/>
      <c r="V48" s="138"/>
      <c r="W48" s="57"/>
      <c r="X48" s="138"/>
      <c r="Y48" s="57"/>
    </row>
    <row r="49" spans="1:25" ht="14.5" x14ac:dyDescent="0.35">
      <c r="A49" s="224"/>
      <c r="B49" s="622"/>
      <c r="C49" s="237"/>
      <c r="D49" s="252"/>
      <c r="E49" s="225"/>
      <c r="F49" s="226"/>
      <c r="G49" s="472"/>
      <c r="H49" s="635"/>
      <c r="I49" s="472"/>
      <c r="J49" s="254"/>
      <c r="K49" s="635"/>
      <c r="L49" s="249"/>
      <c r="O49" s="121"/>
      <c r="T49" s="57"/>
      <c r="U49" s="57"/>
      <c r="V49" s="138"/>
      <c r="W49" s="57"/>
      <c r="X49" s="138"/>
      <c r="Y49" s="57"/>
    </row>
    <row r="50" spans="1:25" ht="14.5" x14ac:dyDescent="0.35">
      <c r="A50" s="224"/>
      <c r="B50" s="622"/>
      <c r="C50" s="237"/>
      <c r="D50" s="116"/>
      <c r="E50" s="225"/>
      <c r="F50" s="226"/>
      <c r="G50" s="472"/>
      <c r="H50" s="635"/>
      <c r="I50" s="472"/>
      <c r="J50" s="254"/>
      <c r="K50" s="635"/>
      <c r="L50" s="249"/>
      <c r="O50" s="121"/>
      <c r="T50" s="57"/>
      <c r="U50" s="57"/>
      <c r="V50" s="138"/>
      <c r="W50" s="57"/>
      <c r="X50" s="138"/>
      <c r="Y50" s="57"/>
    </row>
    <row r="51" spans="1:25" ht="14.5" x14ac:dyDescent="0.35">
      <c r="A51" s="224"/>
      <c r="B51" s="622"/>
      <c r="C51" s="237"/>
      <c r="D51" s="252"/>
      <c r="E51" s="225"/>
      <c r="F51" s="226"/>
      <c r="G51" s="472"/>
      <c r="H51" s="549"/>
      <c r="I51" s="472"/>
      <c r="J51" s="254"/>
      <c r="K51" s="549"/>
      <c r="L51" s="249"/>
      <c r="O51" s="121"/>
      <c r="T51" s="57"/>
      <c r="U51" s="57"/>
      <c r="V51" s="138"/>
      <c r="W51" s="57"/>
      <c r="X51" s="138"/>
      <c r="Y51" s="57"/>
    </row>
    <row r="52" spans="1:25" ht="14.5" x14ac:dyDescent="0.35">
      <c r="A52" s="224"/>
      <c r="B52" s="622"/>
      <c r="C52" s="237"/>
      <c r="D52" s="252"/>
      <c r="E52" s="225"/>
      <c r="F52" s="226"/>
      <c r="G52" s="472"/>
      <c r="H52" s="635"/>
      <c r="I52" s="472"/>
      <c r="J52" s="254"/>
      <c r="K52" s="549"/>
      <c r="L52" s="249"/>
      <c r="O52" s="121"/>
      <c r="T52" s="57"/>
      <c r="U52" s="57"/>
      <c r="V52" s="138"/>
      <c r="W52" s="57"/>
      <c r="X52" s="138"/>
      <c r="Y52" s="57"/>
    </row>
    <row r="53" spans="1:25" ht="14.5" x14ac:dyDescent="0.35">
      <c r="A53" s="224"/>
      <c r="B53" s="622"/>
      <c r="C53" s="237"/>
      <c r="D53" s="116"/>
      <c r="E53" s="225"/>
      <c r="F53" s="226"/>
      <c r="G53" s="472"/>
      <c r="H53" s="549"/>
      <c r="I53" s="472"/>
      <c r="J53" s="254"/>
      <c r="K53" s="549"/>
      <c r="L53" s="249"/>
      <c r="O53" s="121"/>
      <c r="T53" s="57"/>
      <c r="U53" s="57"/>
      <c r="V53" s="138"/>
      <c r="W53" s="57"/>
      <c r="X53" s="138"/>
      <c r="Y53" s="57"/>
    </row>
    <row r="54" spans="1:25" ht="14.5" x14ac:dyDescent="0.35">
      <c r="A54" s="224"/>
      <c r="B54" s="622"/>
      <c r="C54" s="237"/>
      <c r="D54" s="636"/>
      <c r="E54" s="225"/>
      <c r="F54" s="226"/>
      <c r="G54" s="472"/>
      <c r="H54" s="635"/>
      <c r="I54" s="472"/>
      <c r="J54" s="254"/>
      <c r="K54" s="549"/>
      <c r="L54" s="249"/>
      <c r="O54" s="121"/>
      <c r="T54" s="57"/>
      <c r="U54" s="57"/>
      <c r="V54" s="138"/>
      <c r="W54" s="57"/>
      <c r="X54" s="138"/>
      <c r="Y54" s="57"/>
    </row>
    <row r="55" spans="1:25" ht="14.5" x14ac:dyDescent="0.35">
      <c r="A55" s="224"/>
      <c r="B55" s="622"/>
      <c r="C55" s="237"/>
      <c r="D55" s="116"/>
      <c r="E55" s="225"/>
      <c r="F55" s="226"/>
      <c r="G55" s="472"/>
      <c r="H55" s="549"/>
      <c r="I55" s="472"/>
      <c r="J55" s="254"/>
      <c r="K55" s="549"/>
      <c r="L55" s="249"/>
      <c r="O55" s="121"/>
      <c r="T55" s="57"/>
      <c r="U55" s="57"/>
      <c r="V55" s="138"/>
      <c r="W55" s="57"/>
      <c r="X55" s="138"/>
      <c r="Y55" s="57"/>
    </row>
    <row r="56" spans="1:25" ht="14.5" x14ac:dyDescent="0.35">
      <c r="A56" s="224"/>
      <c r="B56" s="622"/>
      <c r="C56" s="237"/>
      <c r="D56" s="116"/>
      <c r="E56" s="225"/>
      <c r="F56" s="226"/>
      <c r="G56" s="472"/>
      <c r="H56" s="635"/>
      <c r="I56" s="472"/>
      <c r="J56" s="254"/>
      <c r="K56" s="549"/>
      <c r="L56" s="249"/>
      <c r="O56" s="121"/>
      <c r="T56" s="57"/>
      <c r="U56" s="57"/>
      <c r="V56" s="138"/>
      <c r="W56" s="57"/>
      <c r="X56" s="138"/>
      <c r="Y56" s="57"/>
    </row>
    <row r="57" spans="1:25" ht="14.5" x14ac:dyDescent="0.35">
      <c r="A57" s="224"/>
      <c r="B57" s="622"/>
      <c r="C57" s="237"/>
      <c r="D57" s="116"/>
      <c r="E57" s="225"/>
      <c r="F57" s="226"/>
      <c r="G57" s="472"/>
      <c r="H57" s="549"/>
      <c r="I57" s="472"/>
      <c r="J57" s="254"/>
      <c r="K57" s="549"/>
      <c r="L57" s="249"/>
      <c r="O57" s="121"/>
      <c r="T57" s="57"/>
      <c r="U57" s="57"/>
      <c r="V57" s="138"/>
      <c r="W57" s="57"/>
      <c r="X57" s="138"/>
      <c r="Y57" s="57"/>
    </row>
    <row r="58" spans="1:25" ht="14.5" x14ac:dyDescent="0.35">
      <c r="A58" s="224"/>
      <c r="B58" s="622"/>
      <c r="C58" s="237"/>
      <c r="D58" s="116"/>
      <c r="E58" s="225"/>
      <c r="F58" s="226"/>
      <c r="G58" s="472"/>
      <c r="H58" s="635"/>
      <c r="I58" s="472"/>
      <c r="J58" s="254"/>
      <c r="K58" s="549"/>
      <c r="L58" s="249"/>
      <c r="O58" s="121"/>
      <c r="T58" s="57"/>
      <c r="U58" s="57"/>
      <c r="V58" s="138"/>
      <c r="W58" s="57"/>
      <c r="X58" s="138"/>
      <c r="Y58" s="57"/>
    </row>
    <row r="59" spans="1:25" ht="14.5" x14ac:dyDescent="0.35">
      <c r="A59" s="224"/>
      <c r="B59" s="622"/>
      <c r="C59" s="237"/>
      <c r="D59" s="116"/>
      <c r="E59" s="225"/>
      <c r="F59" s="226"/>
      <c r="G59" s="472"/>
      <c r="H59" s="549"/>
      <c r="I59" s="472"/>
      <c r="J59" s="254"/>
      <c r="K59" s="549"/>
      <c r="L59" s="249"/>
      <c r="O59" s="121"/>
      <c r="T59" s="57"/>
      <c r="U59" s="57"/>
      <c r="V59" s="138"/>
      <c r="W59" s="57"/>
      <c r="X59" s="138"/>
      <c r="Y59" s="57"/>
    </row>
    <row r="60" spans="1:25" ht="14.5" x14ac:dyDescent="0.35">
      <c r="A60" s="224"/>
      <c r="B60" s="622"/>
      <c r="C60" s="237"/>
      <c r="D60" s="116"/>
      <c r="E60" s="225"/>
      <c r="F60" s="226"/>
      <c r="G60" s="472"/>
      <c r="H60" s="549"/>
      <c r="I60" s="472"/>
      <c r="J60" s="254"/>
      <c r="K60" s="549"/>
      <c r="L60" s="249"/>
      <c r="O60" s="121"/>
      <c r="T60" s="57"/>
      <c r="U60" s="57"/>
      <c r="V60" s="138"/>
      <c r="W60" s="57"/>
      <c r="X60" s="138"/>
      <c r="Y60" s="57"/>
    </row>
    <row r="61" spans="1:25" ht="14.5" x14ac:dyDescent="0.35">
      <c r="A61" s="224"/>
      <c r="B61" s="622"/>
      <c r="C61" s="237"/>
      <c r="D61" s="252"/>
      <c r="E61" s="225"/>
      <c r="F61" s="226"/>
      <c r="G61" s="472"/>
      <c r="H61" s="549"/>
      <c r="I61" s="472"/>
      <c r="J61" s="254"/>
      <c r="K61" s="549"/>
      <c r="L61" s="249"/>
      <c r="O61" s="121"/>
      <c r="T61" s="57"/>
      <c r="U61" s="57"/>
      <c r="V61" s="138"/>
      <c r="W61" s="57"/>
      <c r="X61" s="138"/>
      <c r="Y61" s="57"/>
    </row>
    <row r="62" spans="1:25" ht="14.5" x14ac:dyDescent="0.35">
      <c r="A62" s="224"/>
      <c r="B62" s="622"/>
      <c r="C62" s="237"/>
      <c r="D62" s="116"/>
      <c r="E62" s="225"/>
      <c r="F62" s="226"/>
      <c r="G62" s="472"/>
      <c r="H62" s="549"/>
      <c r="I62" s="472"/>
      <c r="J62" s="254"/>
      <c r="K62" s="549"/>
      <c r="L62" s="249"/>
      <c r="O62" s="121"/>
      <c r="T62" s="57"/>
      <c r="U62" s="57"/>
      <c r="V62" s="138"/>
      <c r="W62" s="57"/>
      <c r="X62" s="138"/>
      <c r="Y62" s="57"/>
    </row>
    <row r="63" spans="1:25" ht="14.5" x14ac:dyDescent="0.35">
      <c r="A63" s="224"/>
      <c r="B63" s="622"/>
      <c r="C63" s="237"/>
      <c r="D63" s="116"/>
      <c r="E63" s="225"/>
      <c r="F63" s="226"/>
      <c r="G63" s="472"/>
      <c r="H63" s="549"/>
      <c r="I63" s="472"/>
      <c r="J63" s="254"/>
      <c r="K63" s="549"/>
      <c r="L63" s="249"/>
      <c r="O63" s="121"/>
      <c r="T63" s="57"/>
      <c r="U63" s="57"/>
      <c r="V63" s="138"/>
      <c r="W63" s="57"/>
      <c r="X63" s="138"/>
      <c r="Y63" s="57"/>
    </row>
    <row r="64" spans="1:25" ht="14.5" x14ac:dyDescent="0.35">
      <c r="A64" s="224"/>
      <c r="B64" s="622"/>
      <c r="C64" s="237"/>
      <c r="D64" s="116"/>
      <c r="E64" s="225"/>
      <c r="F64" s="226"/>
      <c r="G64" s="472"/>
      <c r="H64" s="549"/>
      <c r="I64" s="472"/>
      <c r="J64" s="254"/>
      <c r="K64" s="549"/>
      <c r="L64" s="249"/>
      <c r="O64" s="121"/>
      <c r="T64" s="57"/>
      <c r="U64" s="57"/>
      <c r="V64" s="138"/>
      <c r="W64" s="57"/>
      <c r="X64" s="138"/>
      <c r="Y64" s="57"/>
    </row>
    <row r="65" spans="1:25" ht="14.5" x14ac:dyDescent="0.35">
      <c r="A65" s="224"/>
      <c r="B65" s="622"/>
      <c r="C65" s="237"/>
      <c r="D65" s="116"/>
      <c r="E65" s="225"/>
      <c r="F65" s="226"/>
      <c r="G65" s="472"/>
      <c r="H65" s="549"/>
      <c r="I65" s="472"/>
      <c r="J65" s="254"/>
      <c r="K65" s="549"/>
      <c r="L65" s="249"/>
      <c r="O65" s="121"/>
      <c r="T65" s="57"/>
      <c r="U65" s="57"/>
      <c r="V65" s="138"/>
      <c r="W65" s="57"/>
      <c r="X65" s="138"/>
      <c r="Y65" s="57"/>
    </row>
    <row r="66" spans="1:25" ht="14.5" x14ac:dyDescent="0.35">
      <c r="A66" s="224"/>
      <c r="B66" s="622"/>
      <c r="C66" s="237"/>
      <c r="D66" s="116"/>
      <c r="E66" s="225"/>
      <c r="F66" s="226"/>
      <c r="G66" s="472"/>
      <c r="H66" s="549"/>
      <c r="I66" s="472"/>
      <c r="J66" s="254"/>
      <c r="K66" s="549"/>
      <c r="L66" s="249"/>
      <c r="O66" s="121"/>
      <c r="T66" s="57"/>
      <c r="U66" s="57"/>
      <c r="V66" s="138"/>
      <c r="W66" s="57"/>
      <c r="X66" s="138"/>
      <c r="Y66" s="57"/>
    </row>
    <row r="67" spans="1:25" ht="14.5" x14ac:dyDescent="0.35">
      <c r="A67" s="224"/>
      <c r="B67" s="622"/>
      <c r="C67" s="237"/>
      <c r="D67" s="116"/>
      <c r="E67" s="225"/>
      <c r="F67" s="226"/>
      <c r="G67" s="472"/>
      <c r="H67" s="549"/>
      <c r="I67" s="472"/>
      <c r="J67" s="254"/>
      <c r="K67" s="549"/>
      <c r="L67" s="249"/>
      <c r="O67" s="121"/>
      <c r="T67" s="57"/>
      <c r="U67" s="57"/>
      <c r="V67" s="138"/>
      <c r="W67" s="57"/>
      <c r="X67" s="138"/>
      <c r="Y67" s="57"/>
    </row>
    <row r="68" spans="1:25" ht="14.5" x14ac:dyDescent="0.35">
      <c r="A68" s="224"/>
      <c r="B68" s="622"/>
      <c r="C68" s="237"/>
      <c r="D68" s="116"/>
      <c r="E68" s="225"/>
      <c r="F68" s="226"/>
      <c r="G68" s="472"/>
      <c r="H68" s="549"/>
      <c r="I68" s="472"/>
      <c r="J68" s="254"/>
      <c r="K68" s="549"/>
      <c r="L68" s="249"/>
      <c r="O68" s="121"/>
      <c r="T68" s="57"/>
      <c r="U68" s="57"/>
      <c r="V68" s="138"/>
      <c r="W68" s="57"/>
      <c r="X68" s="138"/>
      <c r="Y68" s="57"/>
    </row>
    <row r="69" spans="1:25" ht="14.5" x14ac:dyDescent="0.35">
      <c r="A69" s="224"/>
      <c r="B69" s="622"/>
      <c r="C69" s="237"/>
      <c r="D69" s="116"/>
      <c r="E69" s="225"/>
      <c r="F69" s="226"/>
      <c r="G69" s="472"/>
      <c r="H69" s="549"/>
      <c r="I69" s="472"/>
      <c r="J69" s="254"/>
      <c r="K69" s="549"/>
      <c r="L69" s="249"/>
      <c r="O69" s="121"/>
      <c r="T69" s="57"/>
      <c r="U69" s="57"/>
      <c r="V69" s="138"/>
      <c r="W69" s="57"/>
      <c r="X69" s="138"/>
      <c r="Y69" s="57"/>
    </row>
    <row r="70" spans="1:25" ht="14.5" x14ac:dyDescent="0.35">
      <c r="A70" s="224"/>
      <c r="B70" s="622"/>
      <c r="C70" s="237"/>
      <c r="D70" s="116"/>
      <c r="E70" s="225"/>
      <c r="F70" s="226"/>
      <c r="G70" s="472"/>
      <c r="H70" s="549"/>
      <c r="I70" s="472"/>
      <c r="J70" s="254"/>
      <c r="K70" s="549"/>
      <c r="L70" s="249"/>
      <c r="O70" s="121"/>
      <c r="T70" s="57"/>
      <c r="U70" s="57"/>
      <c r="V70" s="138"/>
      <c r="W70" s="57"/>
      <c r="X70" s="138"/>
      <c r="Y70" s="57"/>
    </row>
    <row r="71" spans="1:25" ht="14.5" x14ac:dyDescent="0.35">
      <c r="A71" s="224"/>
      <c r="B71" s="622"/>
      <c r="C71" s="237"/>
      <c r="D71" s="116"/>
      <c r="E71" s="225"/>
      <c r="F71" s="226"/>
      <c r="G71" s="472"/>
      <c r="H71" s="549"/>
      <c r="I71" s="472"/>
      <c r="J71" s="254"/>
      <c r="K71" s="549"/>
      <c r="L71" s="249"/>
      <c r="O71" s="121"/>
      <c r="T71" s="57"/>
      <c r="U71" s="57"/>
      <c r="V71" s="138"/>
      <c r="W71" s="57"/>
      <c r="X71" s="138"/>
      <c r="Y71" s="57"/>
    </row>
    <row r="72" spans="1:25" ht="14.5" x14ac:dyDescent="0.35">
      <c r="A72" s="224"/>
      <c r="B72" s="622"/>
      <c r="C72" s="237"/>
      <c r="D72" s="116"/>
      <c r="E72" s="225"/>
      <c r="F72" s="226"/>
      <c r="G72" s="472"/>
      <c r="H72" s="549"/>
      <c r="I72" s="472"/>
      <c r="J72" s="254"/>
      <c r="K72" s="549"/>
      <c r="L72" s="249"/>
      <c r="O72" s="121"/>
      <c r="T72" s="57"/>
      <c r="U72" s="57"/>
      <c r="V72" s="138"/>
      <c r="W72" s="57"/>
      <c r="X72" s="138"/>
      <c r="Y72" s="57"/>
    </row>
    <row r="73" spans="1:25" ht="14.5" x14ac:dyDescent="0.35">
      <c r="A73" s="224"/>
      <c r="B73" s="622"/>
      <c r="C73" s="237"/>
      <c r="D73" s="116"/>
      <c r="E73" s="225"/>
      <c r="F73" s="226"/>
      <c r="G73" s="472"/>
      <c r="H73" s="549"/>
      <c r="I73" s="472"/>
      <c r="J73" s="254"/>
      <c r="K73" s="549"/>
      <c r="L73" s="249"/>
      <c r="O73" s="121"/>
      <c r="T73" s="57"/>
      <c r="U73" s="57"/>
      <c r="V73" s="138"/>
      <c r="W73" s="57"/>
      <c r="X73" s="138"/>
      <c r="Y73" s="57"/>
    </row>
    <row r="74" spans="1:25" ht="14.5" x14ac:dyDescent="0.35">
      <c r="A74" s="224"/>
      <c r="B74" s="622"/>
      <c r="C74" s="237"/>
      <c r="D74" s="116"/>
      <c r="E74" s="225"/>
      <c r="F74" s="226"/>
      <c r="G74" s="472"/>
      <c r="H74" s="549"/>
      <c r="I74" s="472"/>
      <c r="J74" s="254"/>
      <c r="K74" s="549"/>
      <c r="L74" s="249"/>
      <c r="O74" s="121"/>
      <c r="T74" s="57"/>
      <c r="U74" s="57"/>
      <c r="V74" s="138"/>
      <c r="W74" s="57"/>
      <c r="X74" s="138"/>
      <c r="Y74" s="57"/>
    </row>
    <row r="75" spans="1:25" ht="14.5" x14ac:dyDescent="0.35">
      <c r="A75" s="224"/>
      <c r="B75" s="622"/>
      <c r="C75" s="237"/>
      <c r="D75" s="116"/>
      <c r="E75" s="225"/>
      <c r="F75" s="226"/>
      <c r="G75" s="472"/>
      <c r="H75" s="549"/>
      <c r="I75" s="472"/>
      <c r="J75" s="254"/>
      <c r="K75" s="549"/>
      <c r="L75" s="249"/>
      <c r="O75" s="121"/>
      <c r="T75" s="57"/>
      <c r="U75" s="57"/>
      <c r="V75" s="138"/>
      <c r="W75" s="57"/>
      <c r="X75" s="138"/>
      <c r="Y75" s="57"/>
    </row>
    <row r="76" spans="1:25" ht="14.5" x14ac:dyDescent="0.35">
      <c r="A76" s="224"/>
      <c r="B76" s="622"/>
      <c r="C76" s="237"/>
      <c r="D76" s="116"/>
      <c r="E76" s="225"/>
      <c r="F76" s="226"/>
      <c r="G76" s="472"/>
      <c r="H76" s="549"/>
      <c r="I76" s="472"/>
      <c r="J76" s="254"/>
      <c r="K76" s="549"/>
      <c r="L76" s="249"/>
      <c r="O76" s="121"/>
      <c r="T76" s="57"/>
      <c r="U76" s="57"/>
      <c r="V76" s="138"/>
      <c r="W76" s="57"/>
      <c r="X76" s="138"/>
      <c r="Y76" s="57"/>
    </row>
    <row r="77" spans="1:25" ht="14.5" x14ac:dyDescent="0.35">
      <c r="A77" s="224"/>
      <c r="B77" s="622"/>
      <c r="C77" s="237"/>
      <c r="D77" s="116"/>
      <c r="E77" s="225"/>
      <c r="F77" s="226"/>
      <c r="G77" s="472"/>
      <c r="H77" s="549"/>
      <c r="I77" s="472"/>
      <c r="J77" s="254"/>
      <c r="K77" s="549"/>
      <c r="L77" s="249"/>
      <c r="O77" s="121"/>
      <c r="T77" s="57"/>
      <c r="U77" s="57"/>
      <c r="V77" s="138"/>
      <c r="W77" s="57"/>
      <c r="X77" s="138"/>
      <c r="Y77" s="57"/>
    </row>
    <row r="78" spans="1:25" ht="14.5" x14ac:dyDescent="0.35">
      <c r="A78" s="224"/>
      <c r="B78" s="622"/>
      <c r="C78" s="237"/>
      <c r="D78" s="116"/>
      <c r="E78" s="225"/>
      <c r="F78" s="226"/>
      <c r="G78" s="472"/>
      <c r="H78" s="549"/>
      <c r="I78" s="472"/>
      <c r="J78" s="254"/>
      <c r="K78" s="549"/>
      <c r="L78" s="249"/>
      <c r="O78" s="121"/>
      <c r="T78" s="57"/>
      <c r="U78" s="57"/>
      <c r="V78" s="138"/>
      <c r="W78" s="57"/>
      <c r="X78" s="138"/>
      <c r="Y78" s="57"/>
    </row>
    <row r="79" spans="1:25" ht="14.5" x14ac:dyDescent="0.35">
      <c r="A79" s="224"/>
      <c r="B79" s="622"/>
      <c r="C79" s="237"/>
      <c r="D79" s="116"/>
      <c r="E79" s="225"/>
      <c r="F79" s="226"/>
      <c r="G79" s="472"/>
      <c r="H79" s="549"/>
      <c r="I79" s="472"/>
      <c r="J79" s="254"/>
      <c r="K79" s="549"/>
      <c r="L79" s="249"/>
      <c r="O79" s="121"/>
      <c r="T79" s="57"/>
      <c r="U79" s="57"/>
      <c r="V79" s="138"/>
      <c r="W79" s="57"/>
      <c r="X79" s="138"/>
      <c r="Y79" s="57"/>
    </row>
    <row r="80" spans="1:25" ht="14.5" x14ac:dyDescent="0.35">
      <c r="A80" s="224"/>
      <c r="B80" s="622"/>
      <c r="C80" s="237"/>
      <c r="D80" s="116"/>
      <c r="E80" s="225"/>
      <c r="F80" s="226"/>
      <c r="G80" s="472"/>
      <c r="H80" s="549"/>
      <c r="I80" s="472"/>
      <c r="J80" s="254"/>
      <c r="K80" s="549"/>
      <c r="L80" s="249"/>
      <c r="O80" s="121"/>
      <c r="T80" s="57"/>
      <c r="U80" s="57"/>
      <c r="V80" s="138"/>
      <c r="W80" s="57"/>
      <c r="X80" s="138"/>
      <c r="Y80" s="57"/>
    </row>
    <row r="81" spans="1:25" ht="14.5" x14ac:dyDescent="0.35">
      <c r="A81" s="224"/>
      <c r="B81" s="622"/>
      <c r="C81" s="237"/>
      <c r="D81" s="116"/>
      <c r="E81" s="225"/>
      <c r="F81" s="226"/>
      <c r="G81" s="472"/>
      <c r="H81" s="549"/>
      <c r="I81" s="472"/>
      <c r="J81" s="254"/>
      <c r="K81" s="549"/>
      <c r="L81" s="249"/>
      <c r="O81" s="121"/>
      <c r="T81" s="57"/>
      <c r="U81" s="57"/>
      <c r="V81" s="138"/>
      <c r="W81" s="57"/>
      <c r="X81" s="138"/>
      <c r="Y81" s="57"/>
    </row>
    <row r="82" spans="1:25" ht="14.5" x14ac:dyDescent="0.35">
      <c r="A82" s="224"/>
      <c r="B82" s="622"/>
      <c r="C82" s="237"/>
      <c r="D82" s="116"/>
      <c r="E82" s="225"/>
      <c r="F82" s="226"/>
      <c r="G82" s="472"/>
      <c r="H82" s="549"/>
      <c r="I82" s="472"/>
      <c r="J82" s="254"/>
      <c r="K82" s="549"/>
      <c r="L82" s="249"/>
      <c r="O82" s="121"/>
      <c r="T82" s="57"/>
      <c r="U82" s="57"/>
      <c r="V82" s="138"/>
      <c r="W82" s="57"/>
      <c r="X82" s="138"/>
      <c r="Y82" s="57"/>
    </row>
    <row r="83" spans="1:25" ht="14.5" x14ac:dyDescent="0.35">
      <c r="A83" s="224"/>
      <c r="B83" s="622"/>
      <c r="C83" s="237"/>
      <c r="D83" s="116"/>
      <c r="E83" s="225"/>
      <c r="F83" s="226"/>
      <c r="G83" s="472"/>
      <c r="H83" s="549"/>
      <c r="I83" s="472"/>
      <c r="J83" s="254"/>
      <c r="K83" s="549"/>
      <c r="L83" s="249"/>
      <c r="O83" s="121"/>
      <c r="T83" s="57"/>
      <c r="U83" s="57"/>
      <c r="V83" s="138"/>
      <c r="W83" s="57"/>
      <c r="X83" s="138"/>
      <c r="Y83" s="57"/>
    </row>
    <row r="84" spans="1:25" ht="14.5" x14ac:dyDescent="0.35">
      <c r="A84" s="224"/>
      <c r="B84" s="622"/>
      <c r="C84" s="237"/>
      <c r="D84" s="116"/>
      <c r="E84" s="225"/>
      <c r="F84" s="226"/>
      <c r="G84" s="472"/>
      <c r="H84" s="549"/>
      <c r="I84" s="472"/>
      <c r="J84" s="254"/>
      <c r="K84" s="549"/>
      <c r="L84" s="249"/>
      <c r="O84" s="121"/>
      <c r="T84" s="57"/>
      <c r="U84" s="57"/>
      <c r="V84" s="138"/>
      <c r="W84" s="57"/>
      <c r="X84" s="138"/>
      <c r="Y84" s="57"/>
    </row>
    <row r="85" spans="1:25" ht="14.5" x14ac:dyDescent="0.35">
      <c r="A85" s="224"/>
      <c r="B85" s="622"/>
      <c r="C85" s="237"/>
      <c r="D85" s="116"/>
      <c r="E85" s="225"/>
      <c r="F85" s="226"/>
      <c r="G85" s="472"/>
      <c r="H85" s="549"/>
      <c r="I85" s="472"/>
      <c r="J85" s="254"/>
      <c r="K85" s="549"/>
      <c r="L85" s="249"/>
      <c r="O85" s="121"/>
      <c r="T85" s="57"/>
      <c r="U85" s="57"/>
      <c r="V85" s="138"/>
      <c r="W85" s="57"/>
      <c r="X85" s="138"/>
      <c r="Y85" s="57"/>
    </row>
    <row r="86" spans="1:25" ht="14.5" x14ac:dyDescent="0.35">
      <c r="A86" s="224"/>
      <c r="B86" s="622"/>
      <c r="C86" s="237"/>
      <c r="D86" s="116"/>
      <c r="E86" s="225"/>
      <c r="F86" s="226"/>
      <c r="G86" s="472"/>
      <c r="H86" s="549"/>
      <c r="I86" s="472"/>
      <c r="J86" s="254"/>
      <c r="K86" s="549"/>
      <c r="L86" s="249"/>
      <c r="O86" s="121"/>
      <c r="T86" s="57"/>
      <c r="U86" s="57"/>
      <c r="V86" s="138"/>
      <c r="W86" s="57"/>
      <c r="X86" s="138"/>
      <c r="Y86" s="57"/>
    </row>
    <row r="87" spans="1:25" ht="14.5" x14ac:dyDescent="0.35">
      <c r="A87" s="224"/>
      <c r="B87" s="622"/>
      <c r="C87" s="237"/>
      <c r="D87" s="116"/>
      <c r="E87" s="225"/>
      <c r="F87" s="226"/>
      <c r="G87" s="472"/>
      <c r="H87" s="549"/>
      <c r="I87" s="472"/>
      <c r="J87" s="254"/>
      <c r="K87" s="549"/>
      <c r="L87" s="249"/>
      <c r="O87" s="121"/>
      <c r="T87" s="57"/>
      <c r="U87" s="57"/>
      <c r="V87" s="138"/>
      <c r="W87" s="57"/>
      <c r="X87" s="138"/>
      <c r="Y87" s="57"/>
    </row>
    <row r="88" spans="1:25" ht="14.5" x14ac:dyDescent="0.35">
      <c r="A88" s="224"/>
      <c r="B88" s="622"/>
      <c r="C88" s="237"/>
      <c r="D88" s="116"/>
      <c r="E88" s="225"/>
      <c r="F88" s="226"/>
      <c r="G88" s="472"/>
      <c r="H88" s="549"/>
      <c r="I88" s="472"/>
      <c r="J88" s="254"/>
      <c r="K88" s="549"/>
      <c r="L88" s="249"/>
      <c r="O88" s="121"/>
      <c r="T88" s="57"/>
      <c r="U88" s="57"/>
      <c r="V88" s="138"/>
      <c r="W88" s="57"/>
      <c r="X88" s="138"/>
      <c r="Y88" s="57"/>
    </row>
    <row r="89" spans="1:25" ht="14.5" x14ac:dyDescent="0.35">
      <c r="A89" s="224"/>
      <c r="B89" s="622"/>
      <c r="C89" s="237"/>
      <c r="D89" s="116"/>
      <c r="E89" s="225"/>
      <c r="F89" s="226"/>
      <c r="G89" s="472"/>
      <c r="H89" s="549"/>
      <c r="I89" s="472"/>
      <c r="J89" s="254"/>
      <c r="K89" s="549"/>
      <c r="L89" s="249"/>
      <c r="O89" s="121"/>
      <c r="T89" s="57"/>
      <c r="U89" s="57"/>
      <c r="V89" s="138"/>
      <c r="W89" s="57"/>
      <c r="X89" s="138"/>
      <c r="Y89" s="57"/>
    </row>
    <row r="90" spans="1:25" ht="14.5" x14ac:dyDescent="0.35">
      <c r="A90" s="224"/>
      <c r="B90" s="622"/>
      <c r="C90" s="237"/>
      <c r="D90" s="116"/>
      <c r="E90" s="225"/>
      <c r="F90" s="226"/>
      <c r="G90" s="472"/>
      <c r="H90" s="549"/>
      <c r="I90" s="472"/>
      <c r="J90" s="254"/>
      <c r="K90" s="549"/>
      <c r="L90" s="249"/>
      <c r="O90" s="121"/>
      <c r="T90" s="57"/>
      <c r="U90" s="57"/>
      <c r="V90" s="138"/>
      <c r="W90" s="57"/>
      <c r="X90" s="138"/>
      <c r="Y90" s="57"/>
    </row>
    <row r="91" spans="1:25" ht="14.5" x14ac:dyDescent="0.35">
      <c r="A91" s="224"/>
      <c r="B91" s="622"/>
      <c r="C91" s="237"/>
      <c r="D91" s="116"/>
      <c r="E91" s="225"/>
      <c r="F91" s="226"/>
      <c r="G91" s="472"/>
      <c r="H91" s="549"/>
      <c r="I91" s="472"/>
      <c r="J91" s="254"/>
      <c r="K91" s="549"/>
      <c r="L91" s="249"/>
      <c r="O91" s="121"/>
      <c r="T91" s="57"/>
      <c r="U91" s="57"/>
      <c r="V91" s="138"/>
      <c r="W91" s="57"/>
      <c r="X91" s="138"/>
      <c r="Y91" s="57"/>
    </row>
    <row r="92" spans="1:25" ht="14.5" x14ac:dyDescent="0.35">
      <c r="A92" s="224"/>
      <c r="B92" s="622"/>
      <c r="C92" s="237"/>
      <c r="D92" s="116"/>
      <c r="E92" s="225"/>
      <c r="F92" s="226"/>
      <c r="G92" s="472"/>
      <c r="H92" s="549"/>
      <c r="I92" s="472"/>
      <c r="J92" s="254"/>
      <c r="K92" s="549"/>
      <c r="L92" s="249"/>
      <c r="O92" s="121"/>
      <c r="T92" s="57"/>
      <c r="U92" s="57"/>
      <c r="V92" s="138"/>
      <c r="W92" s="57"/>
      <c r="X92" s="138"/>
      <c r="Y92" s="57"/>
    </row>
    <row r="93" spans="1:25" ht="14.5" x14ac:dyDescent="0.35">
      <c r="A93" s="224"/>
      <c r="B93" s="622"/>
      <c r="C93" s="237"/>
      <c r="D93" s="116"/>
      <c r="E93" s="225"/>
      <c r="F93" s="226"/>
      <c r="G93" s="472"/>
      <c r="H93" s="549"/>
      <c r="I93" s="472"/>
      <c r="J93" s="254"/>
      <c r="K93" s="549"/>
      <c r="L93" s="249"/>
      <c r="O93" s="121"/>
      <c r="T93" s="57"/>
      <c r="U93" s="57"/>
      <c r="V93" s="138"/>
      <c r="W93" s="57"/>
      <c r="X93" s="138"/>
      <c r="Y93" s="57"/>
    </row>
    <row r="94" spans="1:25" ht="14.5" x14ac:dyDescent="0.35">
      <c r="A94" s="224"/>
      <c r="B94" s="622"/>
      <c r="C94" s="237"/>
      <c r="D94" s="116"/>
      <c r="E94" s="225"/>
      <c r="F94" s="226"/>
      <c r="G94" s="472"/>
      <c r="H94" s="549"/>
      <c r="I94" s="472"/>
      <c r="J94" s="254"/>
      <c r="K94" s="549"/>
      <c r="L94" s="249"/>
      <c r="O94" s="121"/>
      <c r="T94" s="57"/>
      <c r="U94" s="57"/>
      <c r="V94" s="138"/>
      <c r="W94" s="57"/>
      <c r="X94" s="138"/>
      <c r="Y94" s="57"/>
    </row>
    <row r="95" spans="1:25" ht="14.5" x14ac:dyDescent="0.35">
      <c r="A95" s="224"/>
      <c r="B95" s="622"/>
      <c r="C95" s="237"/>
      <c r="D95" s="116"/>
      <c r="E95" s="225"/>
      <c r="F95" s="226"/>
      <c r="G95" s="472"/>
      <c r="H95" s="549"/>
      <c r="I95" s="472"/>
      <c r="J95" s="254"/>
      <c r="K95" s="549"/>
      <c r="L95" s="249"/>
      <c r="O95" s="121"/>
      <c r="T95" s="57"/>
      <c r="U95" s="57"/>
      <c r="V95" s="138"/>
      <c r="W95" s="57"/>
      <c r="X95" s="138"/>
      <c r="Y95" s="57"/>
    </row>
    <row r="96" spans="1:25" ht="14.5" x14ac:dyDescent="0.35">
      <c r="A96" s="224"/>
      <c r="B96" s="622"/>
      <c r="C96" s="237"/>
      <c r="D96" s="116"/>
      <c r="E96" s="225"/>
      <c r="F96" s="226"/>
      <c r="G96" s="472"/>
      <c r="H96" s="549"/>
      <c r="I96" s="472"/>
      <c r="J96" s="254"/>
      <c r="K96" s="549"/>
      <c r="L96" s="249"/>
      <c r="O96" s="121"/>
      <c r="T96" s="57"/>
      <c r="U96" s="57"/>
      <c r="V96" s="138"/>
      <c r="W96" s="57"/>
      <c r="X96" s="138"/>
      <c r="Y96" s="57"/>
    </row>
    <row r="97" spans="1:25" ht="14.5" x14ac:dyDescent="0.35">
      <c r="A97" s="224"/>
      <c r="B97" s="622"/>
      <c r="C97" s="237"/>
      <c r="D97" s="116"/>
      <c r="E97" s="225"/>
      <c r="F97" s="226"/>
      <c r="G97" s="472"/>
      <c r="H97" s="549"/>
      <c r="I97" s="472"/>
      <c r="J97" s="254"/>
      <c r="K97" s="549"/>
      <c r="L97" s="249"/>
      <c r="O97" s="121"/>
      <c r="T97" s="57"/>
      <c r="U97" s="57"/>
      <c r="V97" s="138"/>
      <c r="W97" s="57"/>
      <c r="X97" s="138"/>
      <c r="Y97" s="57"/>
    </row>
    <row r="98" spans="1:25" ht="14.5" x14ac:dyDescent="0.35">
      <c r="A98" s="224"/>
      <c r="B98" s="622"/>
      <c r="C98" s="237"/>
      <c r="D98" s="116"/>
      <c r="E98" s="225"/>
      <c r="F98" s="226"/>
      <c r="G98" s="472"/>
      <c r="H98" s="549"/>
      <c r="I98" s="472"/>
      <c r="J98" s="254"/>
      <c r="K98" s="549"/>
      <c r="L98" s="249"/>
      <c r="O98" s="121"/>
      <c r="T98" s="57"/>
      <c r="U98" s="57"/>
      <c r="V98" s="138"/>
      <c r="W98" s="57"/>
      <c r="X98" s="138"/>
      <c r="Y98" s="57"/>
    </row>
    <row r="99" spans="1:25" ht="14.5" x14ac:dyDescent="0.35">
      <c r="A99" s="224"/>
      <c r="B99" s="622"/>
      <c r="C99" s="237"/>
      <c r="D99" s="252"/>
      <c r="E99" s="225"/>
      <c r="F99" s="226"/>
      <c r="G99" s="472"/>
      <c r="H99" s="549"/>
      <c r="I99" s="472"/>
      <c r="J99" s="254"/>
      <c r="K99" s="549"/>
      <c r="L99" s="249"/>
      <c r="O99" s="121"/>
      <c r="T99" s="57"/>
      <c r="U99" s="57"/>
      <c r="V99" s="138"/>
      <c r="W99" s="57"/>
      <c r="X99" s="138"/>
      <c r="Y99" s="57"/>
    </row>
    <row r="100" spans="1:25" ht="14.5" x14ac:dyDescent="0.35">
      <c r="A100" s="224"/>
      <c r="B100" s="622"/>
      <c r="C100" s="237"/>
      <c r="D100" s="116"/>
      <c r="E100" s="225"/>
      <c r="F100" s="226"/>
      <c r="G100" s="472"/>
      <c r="H100" s="549"/>
      <c r="I100" s="472"/>
      <c r="J100" s="254"/>
      <c r="K100" s="549"/>
      <c r="L100" s="249"/>
      <c r="O100" s="121"/>
      <c r="T100" s="57"/>
      <c r="U100" s="57"/>
      <c r="V100" s="138"/>
      <c r="W100" s="57"/>
      <c r="X100" s="138"/>
      <c r="Y100" s="57"/>
    </row>
    <row r="101" spans="1:25" ht="14.5" x14ac:dyDescent="0.35">
      <c r="A101" s="224"/>
      <c r="B101" s="622"/>
      <c r="C101" s="237"/>
      <c r="D101" s="116"/>
      <c r="E101" s="225"/>
      <c r="F101" s="226"/>
      <c r="G101" s="472"/>
      <c r="H101" s="549"/>
      <c r="I101" s="472"/>
      <c r="J101" s="254"/>
      <c r="K101" s="549"/>
      <c r="L101" s="249"/>
      <c r="O101" s="124"/>
    </row>
    <row r="102" spans="1:25" ht="14.5" x14ac:dyDescent="0.35">
      <c r="A102" s="224"/>
      <c r="B102" s="622"/>
      <c r="C102" s="237"/>
      <c r="D102" s="252"/>
      <c r="E102" s="225"/>
      <c r="F102" s="226"/>
      <c r="G102" s="472"/>
      <c r="H102" s="549"/>
      <c r="I102" s="472"/>
      <c r="J102" s="254"/>
      <c r="K102" s="549"/>
      <c r="L102" s="249"/>
      <c r="O102" s="121"/>
      <c r="U102" s="57"/>
      <c r="V102" s="138"/>
      <c r="W102" s="57"/>
      <c r="X102" s="138"/>
      <c r="Y102" s="57"/>
    </row>
    <row r="103" spans="1:25" ht="14.5" x14ac:dyDescent="0.35">
      <c r="A103" s="224"/>
      <c r="B103" s="622"/>
      <c r="C103" s="237"/>
      <c r="D103" s="252"/>
      <c r="E103" s="225"/>
      <c r="F103" s="226"/>
      <c r="G103" s="472"/>
      <c r="H103" s="549"/>
      <c r="I103" s="472"/>
      <c r="J103" s="254"/>
      <c r="K103" s="549"/>
      <c r="L103" s="249"/>
      <c r="O103" s="124"/>
    </row>
    <row r="104" spans="1:25" ht="14.5" x14ac:dyDescent="0.35">
      <c r="A104" s="224"/>
      <c r="B104" s="622"/>
      <c r="C104" s="237"/>
      <c r="D104" s="116"/>
      <c r="E104" s="225"/>
      <c r="F104" s="226"/>
      <c r="G104" s="472"/>
      <c r="H104" s="549"/>
      <c r="I104" s="472"/>
      <c r="J104" s="254"/>
      <c r="K104" s="549"/>
      <c r="L104" s="249"/>
      <c r="O104" s="121"/>
      <c r="U104" s="57"/>
      <c r="V104" s="138"/>
      <c r="W104" s="57"/>
      <c r="X104" s="138"/>
      <c r="Y104" s="57"/>
    </row>
    <row r="105" spans="1:25" ht="14.5" x14ac:dyDescent="0.35">
      <c r="A105" s="224"/>
      <c r="B105" s="622"/>
      <c r="C105" s="237"/>
      <c r="D105" s="238"/>
      <c r="E105" s="225"/>
      <c r="F105" s="226"/>
      <c r="G105" s="472"/>
      <c r="H105" s="549"/>
      <c r="I105" s="472"/>
      <c r="J105" s="254"/>
      <c r="K105" s="549"/>
      <c r="L105" s="249"/>
    </row>
    <row r="106" spans="1:25" ht="14.5" x14ac:dyDescent="0.35">
      <c r="A106" s="224"/>
      <c r="B106" s="622"/>
      <c r="C106" s="237"/>
      <c r="D106" s="238"/>
      <c r="E106" s="225"/>
      <c r="F106" s="226"/>
      <c r="G106" s="472"/>
      <c r="H106" s="549"/>
      <c r="I106" s="472"/>
      <c r="J106" s="254"/>
      <c r="K106" s="549"/>
      <c r="L106" s="249"/>
    </row>
    <row r="107" spans="1:25" ht="14.5" x14ac:dyDescent="0.35">
      <c r="A107" s="224"/>
      <c r="B107" s="622"/>
      <c r="C107" s="237"/>
      <c r="D107" s="252"/>
      <c r="E107" s="225"/>
      <c r="F107" s="226"/>
      <c r="G107" s="472"/>
      <c r="H107" s="549"/>
      <c r="I107" s="472"/>
      <c r="J107" s="254"/>
      <c r="K107" s="549"/>
      <c r="L107" s="249"/>
    </row>
    <row r="108" spans="1:25" ht="14.5" x14ac:dyDescent="0.35">
      <c r="A108" s="224"/>
      <c r="B108" s="622"/>
      <c r="C108" s="237"/>
      <c r="D108" s="238"/>
      <c r="E108" s="225"/>
      <c r="F108" s="226"/>
      <c r="G108" s="472"/>
      <c r="H108" s="549"/>
      <c r="I108" s="472"/>
      <c r="J108" s="254"/>
      <c r="K108" s="549"/>
      <c r="L108" s="249"/>
    </row>
    <row r="109" spans="1:25" ht="14.5" x14ac:dyDescent="0.35">
      <c r="A109" s="224"/>
      <c r="B109" s="622"/>
      <c r="C109" s="237"/>
      <c r="D109" s="252"/>
      <c r="E109" s="225"/>
      <c r="F109" s="226"/>
      <c r="G109" s="472"/>
      <c r="H109" s="549"/>
      <c r="I109" s="472"/>
      <c r="J109" s="254"/>
      <c r="K109" s="549"/>
      <c r="L109" s="249"/>
    </row>
    <row r="110" spans="1:25" ht="14.5" x14ac:dyDescent="0.35">
      <c r="A110" s="224"/>
      <c r="B110" s="622"/>
      <c r="C110" s="237"/>
      <c r="D110" s="238"/>
      <c r="E110" s="225"/>
      <c r="F110" s="226"/>
      <c r="G110" s="472"/>
      <c r="H110" s="549"/>
      <c r="I110" s="472"/>
      <c r="J110" s="254"/>
      <c r="K110" s="549"/>
      <c r="L110" s="249"/>
    </row>
    <row r="111" spans="1:25" ht="14.5" x14ac:dyDescent="0.35">
      <c r="A111" s="224"/>
      <c r="B111" s="622"/>
      <c r="C111" s="237"/>
      <c r="D111" s="116"/>
      <c r="E111" s="225"/>
      <c r="F111" s="226"/>
      <c r="G111" s="472"/>
      <c r="H111" s="549"/>
      <c r="I111" s="472"/>
      <c r="J111" s="254"/>
      <c r="K111" s="549"/>
      <c r="L111" s="249"/>
    </row>
    <row r="112" spans="1:25" ht="14.5" x14ac:dyDescent="0.35">
      <c r="A112" s="224"/>
      <c r="B112" s="622"/>
      <c r="C112" s="237"/>
      <c r="D112" s="238"/>
      <c r="E112" s="225"/>
      <c r="F112" s="226"/>
      <c r="G112" s="472"/>
      <c r="H112" s="549"/>
      <c r="I112" s="472"/>
      <c r="J112" s="254"/>
      <c r="K112" s="549"/>
      <c r="L112" s="249"/>
    </row>
    <row r="113" spans="1:12" ht="14.5" x14ac:dyDescent="0.35">
      <c r="A113" s="224"/>
      <c r="B113" s="622"/>
      <c r="C113" s="237"/>
      <c r="D113" s="116"/>
      <c r="E113" s="225"/>
      <c r="F113" s="226"/>
      <c r="G113" s="472"/>
      <c r="H113" s="549"/>
      <c r="I113" s="472"/>
      <c r="J113" s="254"/>
      <c r="K113" s="549"/>
      <c r="L113" s="249"/>
    </row>
    <row r="114" spans="1:12" ht="14.5" x14ac:dyDescent="0.35">
      <c r="A114" s="224"/>
      <c r="B114" s="622"/>
      <c r="C114" s="237"/>
      <c r="D114" s="252"/>
      <c r="E114" s="225"/>
      <c r="F114" s="226"/>
      <c r="G114" s="472"/>
      <c r="H114" s="549"/>
      <c r="I114" s="472"/>
      <c r="J114" s="254"/>
      <c r="K114" s="549"/>
      <c r="L114" s="249"/>
    </row>
    <row r="115" spans="1:12" ht="14.5" x14ac:dyDescent="0.35">
      <c r="A115" s="224"/>
      <c r="B115" s="622"/>
      <c r="C115" s="237"/>
      <c r="D115" s="116"/>
      <c r="E115" s="225"/>
      <c r="F115" s="226"/>
      <c r="G115" s="472"/>
      <c r="H115" s="549"/>
      <c r="I115" s="472"/>
      <c r="J115" s="254"/>
      <c r="K115" s="549"/>
      <c r="L115" s="249"/>
    </row>
    <row r="116" spans="1:12" ht="14.5" x14ac:dyDescent="0.35">
      <c r="A116" s="224"/>
      <c r="B116" s="622"/>
      <c r="C116" s="237"/>
      <c r="D116" s="116"/>
      <c r="E116" s="225"/>
      <c r="F116" s="226"/>
      <c r="G116" s="472"/>
      <c r="H116" s="549"/>
      <c r="I116" s="472"/>
      <c r="J116" s="254"/>
      <c r="K116" s="549"/>
      <c r="L116" s="249"/>
    </row>
    <row r="117" spans="1:12" ht="14.5" x14ac:dyDescent="0.35">
      <c r="A117" s="224"/>
      <c r="B117" s="622"/>
      <c r="C117" s="237"/>
      <c r="D117" s="116"/>
      <c r="E117" s="225"/>
      <c r="F117" s="226"/>
      <c r="G117" s="472"/>
      <c r="H117" s="549"/>
      <c r="I117" s="472"/>
      <c r="J117" s="254"/>
      <c r="K117" s="549"/>
      <c r="L117" s="249"/>
    </row>
    <row r="118" spans="1:12" ht="14.5" x14ac:dyDescent="0.35">
      <c r="A118" s="224"/>
      <c r="B118" s="622"/>
      <c r="C118" s="237"/>
      <c r="D118" s="116"/>
      <c r="E118" s="225"/>
      <c r="F118" s="226"/>
      <c r="G118" s="472"/>
      <c r="H118" s="549"/>
      <c r="I118" s="472"/>
      <c r="J118" s="254"/>
      <c r="K118" s="549"/>
      <c r="L118" s="249"/>
    </row>
    <row r="119" spans="1:12" ht="14.5" x14ac:dyDescent="0.35">
      <c r="A119" s="224"/>
      <c r="B119" s="622"/>
      <c r="C119" s="237"/>
      <c r="D119" s="116"/>
      <c r="E119" s="225"/>
      <c r="F119" s="226"/>
      <c r="G119" s="472"/>
      <c r="H119" s="549"/>
      <c r="I119" s="472"/>
      <c r="J119" s="254"/>
      <c r="K119" s="549"/>
      <c r="L119" s="249"/>
    </row>
    <row r="120" spans="1:12" ht="14.5" x14ac:dyDescent="0.35">
      <c r="A120" s="224"/>
      <c r="B120" s="622"/>
      <c r="C120" s="237"/>
      <c r="D120" s="116"/>
      <c r="E120" s="225"/>
      <c r="F120" s="226"/>
      <c r="G120" s="472"/>
      <c r="H120" s="549"/>
      <c r="I120" s="472"/>
      <c r="J120" s="254"/>
      <c r="K120" s="549"/>
      <c r="L120" s="249"/>
    </row>
    <row r="121" spans="1:12" ht="14.5" x14ac:dyDescent="0.35">
      <c r="A121" s="224"/>
      <c r="B121" s="622"/>
      <c r="C121" s="237"/>
      <c r="D121" s="116"/>
      <c r="E121" s="225"/>
      <c r="F121" s="226"/>
      <c r="G121" s="472"/>
      <c r="H121" s="549"/>
      <c r="I121" s="472"/>
      <c r="J121" s="254"/>
      <c r="K121" s="549"/>
      <c r="L121" s="249"/>
    </row>
    <row r="122" spans="1:12" ht="14.5" x14ac:dyDescent="0.35">
      <c r="A122" s="224"/>
      <c r="B122" s="622"/>
      <c r="C122" s="237"/>
      <c r="D122" s="116"/>
      <c r="E122" s="225"/>
      <c r="F122" s="226"/>
      <c r="G122" s="472"/>
      <c r="H122" s="549"/>
      <c r="I122" s="472"/>
      <c r="J122" s="254"/>
      <c r="K122" s="549"/>
      <c r="L122" s="249"/>
    </row>
    <row r="123" spans="1:12" ht="14.5" x14ac:dyDescent="0.35">
      <c r="A123" s="224"/>
      <c r="B123" s="622"/>
      <c r="C123" s="237"/>
      <c r="D123" s="116"/>
      <c r="E123" s="225"/>
      <c r="F123" s="226"/>
      <c r="G123" s="472"/>
      <c r="H123" s="549"/>
      <c r="I123" s="472"/>
      <c r="J123" s="254"/>
      <c r="K123" s="549"/>
      <c r="L123" s="249"/>
    </row>
    <row r="124" spans="1:12" ht="14.5" x14ac:dyDescent="0.35">
      <c r="A124" s="224"/>
      <c r="B124" s="622"/>
      <c r="C124" s="237"/>
      <c r="D124" s="116"/>
      <c r="E124" s="225"/>
      <c r="F124" s="226"/>
      <c r="G124" s="472"/>
      <c r="H124" s="549"/>
      <c r="I124" s="472"/>
      <c r="J124" s="254"/>
      <c r="K124" s="549"/>
      <c r="L124" s="249"/>
    </row>
    <row r="125" spans="1:12" ht="14.5" x14ac:dyDescent="0.35">
      <c r="A125" s="224"/>
      <c r="B125" s="622"/>
      <c r="C125" s="237"/>
      <c r="D125" s="116"/>
      <c r="E125" s="225"/>
      <c r="F125" s="226"/>
      <c r="G125" s="472"/>
      <c r="H125" s="549"/>
      <c r="I125" s="472"/>
      <c r="J125" s="254"/>
      <c r="K125" s="549"/>
      <c r="L125" s="249"/>
    </row>
    <row r="126" spans="1:12" ht="14.5" x14ac:dyDescent="0.35">
      <c r="A126" s="224"/>
      <c r="B126" s="622"/>
      <c r="C126" s="237"/>
      <c r="D126" s="116"/>
      <c r="E126" s="225"/>
      <c r="F126" s="226"/>
      <c r="G126" s="472"/>
      <c r="H126" s="549"/>
      <c r="I126" s="472"/>
      <c r="J126" s="254"/>
      <c r="K126" s="549"/>
      <c r="L126" s="249"/>
    </row>
    <row r="127" spans="1:12" ht="14.5" x14ac:dyDescent="0.35">
      <c r="A127" s="224"/>
      <c r="B127" s="622"/>
      <c r="C127" s="237"/>
      <c r="D127" s="116"/>
      <c r="E127" s="225"/>
      <c r="F127" s="226"/>
      <c r="G127" s="472"/>
      <c r="H127" s="549"/>
      <c r="I127" s="472"/>
      <c r="J127" s="254"/>
      <c r="K127" s="549"/>
      <c r="L127" s="249"/>
    </row>
    <row r="128" spans="1:12" ht="14.5" x14ac:dyDescent="0.35">
      <c r="A128" s="224"/>
      <c r="B128" s="622"/>
      <c r="C128" s="237"/>
      <c r="D128" s="116"/>
      <c r="E128" s="225"/>
      <c r="F128" s="226"/>
      <c r="G128" s="472"/>
      <c r="H128" s="549"/>
      <c r="I128" s="472"/>
      <c r="J128" s="254"/>
      <c r="K128" s="549"/>
      <c r="L128" s="249"/>
    </row>
    <row r="129" spans="1:12" ht="14.5" x14ac:dyDescent="0.35">
      <c r="A129" s="224"/>
      <c r="B129" s="622"/>
      <c r="C129" s="237"/>
      <c r="D129" s="116"/>
      <c r="E129" s="225"/>
      <c r="F129" s="226"/>
      <c r="G129" s="472"/>
      <c r="H129" s="549"/>
      <c r="I129" s="472"/>
      <c r="J129" s="254"/>
      <c r="K129" s="549"/>
      <c r="L129" s="249"/>
    </row>
    <row r="130" spans="1:12" ht="14.5" x14ac:dyDescent="0.35">
      <c r="A130" s="224"/>
      <c r="B130" s="622"/>
      <c r="C130" s="237"/>
      <c r="D130" s="116"/>
      <c r="E130" s="225"/>
      <c r="F130" s="226"/>
      <c r="G130" s="472"/>
      <c r="H130" s="549"/>
      <c r="I130" s="472"/>
      <c r="J130" s="254"/>
      <c r="K130" s="549"/>
      <c r="L130" s="249"/>
    </row>
    <row r="131" spans="1:12" ht="14.5" x14ac:dyDescent="0.35">
      <c r="A131" s="224"/>
      <c r="B131" s="622"/>
      <c r="C131" s="237"/>
      <c r="D131" s="116"/>
      <c r="E131" s="225"/>
      <c r="F131" s="226"/>
      <c r="G131" s="472"/>
      <c r="H131" s="549"/>
      <c r="I131" s="472"/>
      <c r="J131" s="254"/>
      <c r="K131" s="549"/>
      <c r="L131" s="249"/>
    </row>
    <row r="132" spans="1:12" ht="14.5" x14ac:dyDescent="0.35">
      <c r="A132" s="224"/>
      <c r="B132" s="622"/>
      <c r="C132" s="237"/>
      <c r="D132" s="238"/>
      <c r="E132" s="225"/>
      <c r="F132" s="226"/>
      <c r="G132" s="472"/>
      <c r="H132" s="549"/>
      <c r="I132" s="472"/>
      <c r="J132" s="254"/>
      <c r="K132" s="549"/>
      <c r="L132" s="249"/>
    </row>
    <row r="133" spans="1:12" ht="14.5" x14ac:dyDescent="0.35">
      <c r="A133" s="224"/>
      <c r="B133" s="622"/>
      <c r="C133" s="237"/>
      <c r="D133" s="238"/>
      <c r="E133" s="225"/>
      <c r="F133" s="226"/>
      <c r="G133" s="472"/>
      <c r="H133" s="549"/>
      <c r="I133" s="472"/>
      <c r="J133" s="254"/>
      <c r="K133" s="549"/>
      <c r="L133" s="249"/>
    </row>
    <row r="134" spans="1:12" ht="14.5" x14ac:dyDescent="0.35">
      <c r="A134" s="224"/>
      <c r="B134" s="622"/>
      <c r="C134" s="237"/>
      <c r="D134" s="252"/>
      <c r="E134" s="225"/>
      <c r="F134" s="226"/>
      <c r="G134" s="472"/>
      <c r="H134" s="549"/>
      <c r="I134" s="472"/>
      <c r="J134" s="254"/>
      <c r="K134" s="549"/>
      <c r="L134" s="249"/>
    </row>
    <row r="135" spans="1:12" ht="14.5" x14ac:dyDescent="0.35">
      <c r="A135" s="224"/>
      <c r="B135" s="623"/>
      <c r="C135" s="237"/>
      <c r="D135" s="238"/>
      <c r="E135" s="225"/>
      <c r="F135" s="226"/>
      <c r="G135" s="472"/>
      <c r="H135" s="549"/>
      <c r="I135" s="472"/>
      <c r="J135" s="254"/>
      <c r="K135" s="549"/>
      <c r="L135" s="249"/>
    </row>
    <row r="136" spans="1:12" ht="14.5" x14ac:dyDescent="0.35">
      <c r="A136" s="224"/>
      <c r="B136" s="623"/>
      <c r="C136" s="237"/>
      <c r="D136" s="238"/>
      <c r="E136" s="225"/>
      <c r="F136" s="226"/>
      <c r="G136" s="472"/>
      <c r="H136" s="549"/>
      <c r="I136" s="472"/>
      <c r="J136" s="254"/>
      <c r="K136" s="549"/>
      <c r="L136" s="249"/>
    </row>
    <row r="137" spans="1:12" ht="14.5" x14ac:dyDescent="0.35">
      <c r="A137" s="224"/>
      <c r="B137" s="623"/>
      <c r="C137" s="237"/>
      <c r="D137" s="252"/>
      <c r="E137" s="225"/>
      <c r="F137" s="226"/>
      <c r="G137" s="472"/>
      <c r="H137" s="549"/>
      <c r="I137" s="472"/>
      <c r="J137" s="254"/>
      <c r="K137" s="549"/>
      <c r="L137" s="249"/>
    </row>
    <row r="138" spans="1:12" ht="14.5" x14ac:dyDescent="0.35">
      <c r="A138" s="224"/>
      <c r="B138" s="623"/>
      <c r="C138" s="237"/>
      <c r="D138" s="252"/>
      <c r="E138" s="225"/>
      <c r="F138" s="226"/>
      <c r="G138" s="472"/>
      <c r="H138" s="549"/>
      <c r="I138" s="472"/>
      <c r="J138" s="254"/>
      <c r="K138" s="549"/>
      <c r="L138" s="249"/>
    </row>
    <row r="139" spans="1:12" ht="14.5" x14ac:dyDescent="0.35">
      <c r="A139" s="224"/>
      <c r="B139" s="623"/>
      <c r="C139" s="237"/>
      <c r="D139" s="252"/>
      <c r="E139" s="225"/>
      <c r="F139" s="226"/>
      <c r="G139" s="472"/>
      <c r="H139" s="549"/>
      <c r="I139" s="472"/>
      <c r="J139" s="254"/>
      <c r="K139" s="549"/>
      <c r="L139" s="249"/>
    </row>
    <row r="140" spans="1:12" ht="14.5" x14ac:dyDescent="0.35">
      <c r="A140" s="224"/>
      <c r="B140" s="622"/>
      <c r="C140" s="237"/>
      <c r="D140" s="252"/>
      <c r="E140" s="225"/>
      <c r="F140" s="226"/>
      <c r="G140" s="472"/>
      <c r="H140" s="549"/>
      <c r="I140" s="472"/>
      <c r="J140" s="254"/>
      <c r="K140" s="549"/>
      <c r="L140" s="249"/>
    </row>
    <row r="141" spans="1:12" ht="14.5" x14ac:dyDescent="0.35">
      <c r="A141" s="224"/>
      <c r="B141" s="622"/>
      <c r="C141" s="237"/>
      <c r="D141" s="252"/>
      <c r="E141" s="225"/>
      <c r="F141" s="226"/>
      <c r="G141" s="472"/>
      <c r="H141" s="549"/>
      <c r="I141" s="472"/>
      <c r="J141" s="254"/>
      <c r="K141" s="549"/>
      <c r="L141" s="249"/>
    </row>
    <row r="142" spans="1:12" ht="14.5" x14ac:dyDescent="0.35">
      <c r="A142" s="224"/>
      <c r="B142" s="622"/>
      <c r="C142" s="237"/>
      <c r="D142" s="252"/>
      <c r="E142" s="225"/>
      <c r="F142" s="226"/>
      <c r="G142" s="472"/>
      <c r="H142" s="549"/>
      <c r="I142" s="472"/>
      <c r="J142" s="254"/>
      <c r="K142" s="549"/>
      <c r="L142" s="249"/>
    </row>
    <row r="143" spans="1:12" ht="14.5" x14ac:dyDescent="0.35">
      <c r="A143" s="224"/>
      <c r="B143" s="622"/>
      <c r="C143" s="237"/>
      <c r="D143" s="252"/>
      <c r="E143" s="225"/>
      <c r="F143" s="226"/>
      <c r="G143" s="472"/>
      <c r="H143" s="549"/>
      <c r="I143" s="472"/>
      <c r="J143" s="254"/>
      <c r="K143" s="549"/>
      <c r="L143" s="249"/>
    </row>
    <row r="144" spans="1:12" ht="14.5" x14ac:dyDescent="0.35">
      <c r="A144" s="224"/>
      <c r="B144" s="622"/>
      <c r="C144" s="237"/>
      <c r="D144" s="116"/>
      <c r="E144" s="225"/>
      <c r="F144" s="226"/>
      <c r="G144" s="472"/>
      <c r="H144" s="549"/>
      <c r="I144" s="472"/>
      <c r="J144" s="254"/>
      <c r="K144" s="549"/>
      <c r="L144" s="249"/>
    </row>
    <row r="145" spans="1:15" ht="14.5" x14ac:dyDescent="0.35">
      <c r="A145" s="224"/>
      <c r="B145" s="622"/>
      <c r="C145" s="237"/>
      <c r="D145" s="252"/>
      <c r="E145" s="225"/>
      <c r="F145" s="226"/>
      <c r="G145" s="472"/>
      <c r="H145" s="549"/>
      <c r="I145" s="472"/>
      <c r="J145" s="254"/>
      <c r="K145" s="549"/>
      <c r="L145" s="249"/>
    </row>
    <row r="146" spans="1:15" ht="14.5" x14ac:dyDescent="0.35">
      <c r="A146" s="224"/>
      <c r="B146" s="622"/>
      <c r="C146" s="237"/>
      <c r="D146" s="238"/>
      <c r="E146" s="225"/>
      <c r="F146" s="226"/>
      <c r="G146" s="472"/>
      <c r="H146" s="549"/>
      <c r="I146" s="472"/>
      <c r="J146" s="254"/>
      <c r="K146" s="549"/>
      <c r="L146" s="249"/>
    </row>
    <row r="147" spans="1:15" ht="14.5" x14ac:dyDescent="0.35">
      <c r="A147" s="224"/>
      <c r="B147" s="622"/>
      <c r="C147" s="237"/>
      <c r="D147" s="238"/>
      <c r="E147" s="225"/>
      <c r="F147" s="226"/>
      <c r="G147" s="472"/>
      <c r="H147" s="549"/>
      <c r="I147" s="472"/>
      <c r="J147" s="254"/>
      <c r="K147" s="549"/>
      <c r="L147" s="249"/>
    </row>
    <row r="148" spans="1:15" ht="14.5" x14ac:dyDescent="0.35">
      <c r="A148" s="224"/>
      <c r="B148" s="622"/>
      <c r="C148" s="237"/>
      <c r="D148" s="116"/>
      <c r="E148" s="225"/>
      <c r="F148" s="226"/>
      <c r="G148" s="472"/>
      <c r="H148" s="549"/>
      <c r="I148" s="472"/>
      <c r="J148" s="254"/>
      <c r="K148" s="549"/>
      <c r="L148" s="249"/>
    </row>
    <row r="149" spans="1:15" ht="14.5" x14ac:dyDescent="0.35">
      <c r="A149" s="224"/>
      <c r="B149" s="622"/>
      <c r="C149" s="237"/>
      <c r="D149" s="252"/>
      <c r="E149" s="225"/>
      <c r="F149" s="226"/>
      <c r="G149" s="472"/>
      <c r="H149" s="549"/>
      <c r="I149" s="472"/>
      <c r="J149" s="254"/>
      <c r="K149" s="549"/>
      <c r="L149" s="249"/>
    </row>
    <row r="150" spans="1:15" ht="14.5" x14ac:dyDescent="0.35">
      <c r="A150" s="224"/>
      <c r="B150" s="622"/>
      <c r="C150" s="237"/>
      <c r="D150" s="252"/>
      <c r="E150" s="225"/>
      <c r="F150" s="226"/>
      <c r="G150" s="472"/>
      <c r="H150" s="549"/>
      <c r="I150" s="472"/>
      <c r="J150" s="254"/>
      <c r="K150" s="549"/>
      <c r="L150" s="249"/>
    </row>
    <row r="151" spans="1:15" x14ac:dyDescent="0.35">
      <c r="A151" s="646" t="s">
        <v>935</v>
      </c>
      <c r="B151" s="650"/>
      <c r="C151" s="650"/>
      <c r="D151" s="651"/>
      <c r="E151" s="650"/>
      <c r="F151" s="650"/>
      <c r="G151" s="649"/>
      <c r="H151" s="655" t="s">
        <v>450</v>
      </c>
      <c r="I151" s="650"/>
      <c r="J151" s="650"/>
      <c r="K151" s="655"/>
      <c r="L151" s="649"/>
    </row>
    <row r="152" spans="1:15" s="131" customFormat="1" ht="14.5" customHeight="1" x14ac:dyDescent="0.35">
      <c r="A152" s="235" t="s">
        <v>327</v>
      </c>
      <c r="B152" s="236"/>
      <c r="C152" s="257"/>
      <c r="D152" s="258"/>
      <c r="E152" s="231"/>
      <c r="F152" s="231"/>
      <c r="G152" s="232"/>
      <c r="H152" s="658">
        <f>SUM(K14:K150)</f>
        <v>18000</v>
      </c>
      <c r="I152" s="659"/>
      <c r="J152" s="659"/>
      <c r="K152" s="659"/>
      <c r="L152" s="660"/>
    </row>
    <row r="153" spans="1:15" x14ac:dyDescent="0.35">
      <c r="A153" s="661" t="s">
        <v>451</v>
      </c>
      <c r="B153" s="662"/>
      <c r="C153" s="259" t="s">
        <v>452</v>
      </c>
      <c r="D153" s="646" t="s">
        <v>453</v>
      </c>
      <c r="E153" s="649"/>
      <c r="F153" s="661" t="s">
        <v>454</v>
      </c>
      <c r="G153" s="662"/>
      <c r="H153" s="663" t="s">
        <v>455</v>
      </c>
      <c r="I153" s="648"/>
      <c r="J153" s="648"/>
      <c r="K153" s="664"/>
      <c r="L153" s="645"/>
    </row>
    <row r="154" spans="1:15" ht="14.5" customHeight="1" x14ac:dyDescent="0.35">
      <c r="A154" s="676" t="s">
        <v>255</v>
      </c>
      <c r="B154" s="677"/>
      <c r="C154" s="680" t="s">
        <v>254</v>
      </c>
      <c r="D154" s="682">
        <f>H152</f>
        <v>18000</v>
      </c>
      <c r="E154" s="683"/>
      <c r="F154" s="687">
        <f>IF(C154="022",22%,0)</f>
        <v>0</v>
      </c>
      <c r="G154" s="688"/>
      <c r="H154" s="667">
        <f>H152</f>
        <v>18000</v>
      </c>
      <c r="I154" s="659"/>
      <c r="J154" s="659"/>
      <c r="K154" s="659"/>
      <c r="L154" s="660"/>
    </row>
    <row r="155" spans="1:15" x14ac:dyDescent="0.35">
      <c r="A155" s="676"/>
      <c r="B155" s="677"/>
      <c r="C155" s="680"/>
      <c r="D155" s="684"/>
      <c r="E155" s="683"/>
      <c r="F155" s="687"/>
      <c r="G155" s="688"/>
      <c r="H155" s="663" t="s">
        <v>456</v>
      </c>
      <c r="I155" s="648"/>
      <c r="J155" s="648"/>
      <c r="K155" s="664"/>
      <c r="L155" s="645"/>
    </row>
    <row r="156" spans="1:15" ht="14.5" customHeight="1" x14ac:dyDescent="0.35">
      <c r="A156" s="676"/>
      <c r="B156" s="677"/>
      <c r="C156" s="680"/>
      <c r="D156" s="684"/>
      <c r="E156" s="683"/>
      <c r="F156" s="687"/>
      <c r="G156" s="688"/>
      <c r="H156" s="667">
        <f>SEK154*F154</f>
        <v>0</v>
      </c>
      <c r="I156" s="659"/>
      <c r="J156" s="659"/>
      <c r="K156" s="659"/>
      <c r="L156" s="660"/>
    </row>
    <row r="157" spans="1:15" x14ac:dyDescent="0.35">
      <c r="A157" s="676"/>
      <c r="B157" s="677"/>
      <c r="C157" s="680"/>
      <c r="D157" s="684"/>
      <c r="E157" s="683"/>
      <c r="F157" s="687"/>
      <c r="G157" s="688"/>
      <c r="H157" s="663" t="s">
        <v>457</v>
      </c>
      <c r="I157" s="648"/>
      <c r="J157" s="648"/>
      <c r="K157" s="664"/>
      <c r="L157" s="645"/>
    </row>
    <row r="158" spans="1:15" ht="14.5" customHeight="1" x14ac:dyDescent="0.35">
      <c r="A158" s="678"/>
      <c r="B158" s="679"/>
      <c r="C158" s="681"/>
      <c r="D158" s="685"/>
      <c r="E158" s="686"/>
      <c r="F158" s="689"/>
      <c r="G158" s="690"/>
      <c r="H158" s="667">
        <f>H152+H156</f>
        <v>18000</v>
      </c>
      <c r="I158" s="659"/>
      <c r="J158" s="659"/>
      <c r="K158" s="659"/>
      <c r="L158" s="660"/>
    </row>
    <row r="159" spans="1:15" x14ac:dyDescent="0.35">
      <c r="A159" s="668" t="s">
        <v>458</v>
      </c>
      <c r="B159" s="669"/>
      <c r="C159" s="669"/>
      <c r="D159" s="669"/>
      <c r="E159" s="669"/>
      <c r="F159" s="669"/>
      <c r="G159" s="669"/>
      <c r="H159" s="670"/>
      <c r="I159" s="669"/>
      <c r="J159" s="669"/>
      <c r="K159" s="670"/>
      <c r="L159" s="671"/>
    </row>
    <row r="160" spans="1:15" s="132" customFormat="1" ht="10.5" customHeight="1" x14ac:dyDescent="0.35">
      <c r="A160" s="672" t="s">
        <v>459</v>
      </c>
      <c r="B160" s="673"/>
      <c r="C160" s="673"/>
      <c r="D160" s="673"/>
      <c r="E160" s="673"/>
      <c r="F160" s="673"/>
      <c r="G160" s="673"/>
      <c r="H160" s="674"/>
      <c r="I160" s="673"/>
      <c r="J160" s="673"/>
      <c r="K160" s="674"/>
      <c r="L160" s="675"/>
      <c r="N160" s="119"/>
      <c r="O160" s="119"/>
    </row>
    <row r="161" spans="1:15" s="133" customFormat="1" ht="7.5" customHeight="1" x14ac:dyDescent="0.35">
      <c r="A161" s="668" t="s">
        <v>460</v>
      </c>
      <c r="B161" s="691" t="s">
        <v>461</v>
      </c>
      <c r="C161" s="691"/>
      <c r="D161" s="691"/>
      <c r="E161" s="691"/>
      <c r="F161" s="669"/>
      <c r="G161" s="669"/>
      <c r="H161" s="669"/>
      <c r="I161" s="669"/>
      <c r="J161" s="669"/>
      <c r="K161" s="669"/>
      <c r="L161" s="671"/>
      <c r="N161" s="119"/>
      <c r="O161" s="119"/>
    </row>
    <row r="162" spans="1:15" ht="14.5" customHeight="1" x14ac:dyDescent="0.35">
      <c r="A162" s="672"/>
      <c r="B162" s="692"/>
      <c r="C162" s="692"/>
      <c r="D162" s="692"/>
      <c r="E162" s="692"/>
      <c r="F162" s="673"/>
      <c r="G162" s="673"/>
      <c r="H162" s="673"/>
      <c r="I162" s="673"/>
      <c r="J162" s="673"/>
      <c r="K162" s="673"/>
      <c r="L162" s="675"/>
    </row>
    <row r="163" spans="1:15" s="133" customFormat="1" ht="10" x14ac:dyDescent="0.35">
      <c r="A163" s="656" t="s">
        <v>462</v>
      </c>
      <c r="B163" s="656"/>
      <c r="C163" s="656"/>
      <c r="D163" s="656"/>
      <c r="E163" s="656"/>
      <c r="F163" s="656"/>
      <c r="G163" s="656"/>
      <c r="H163" s="657"/>
      <c r="I163" s="656"/>
      <c r="J163" s="656"/>
      <c r="K163" s="657"/>
      <c r="L163" s="656"/>
    </row>
    <row r="164" spans="1:15" x14ac:dyDescent="0.35">
      <c r="A164" s="656" t="s">
        <v>463</v>
      </c>
      <c r="B164" s="656"/>
      <c r="C164" s="656"/>
      <c r="D164" s="656"/>
      <c r="E164" s="656"/>
      <c r="F164" s="656"/>
      <c r="G164" s="656"/>
      <c r="H164" s="657"/>
      <c r="I164" s="656"/>
      <c r="J164" s="656"/>
      <c r="K164" s="657"/>
      <c r="L164" s="656"/>
    </row>
    <row r="165" spans="1:15" x14ac:dyDescent="0.35">
      <c r="A165" s="656" t="s">
        <v>464</v>
      </c>
      <c r="B165" s="665"/>
      <c r="C165" s="665"/>
      <c r="D165" s="665"/>
      <c r="E165" s="665"/>
      <c r="F165" s="665"/>
      <c r="G165" s="665"/>
      <c r="H165" s="666"/>
      <c r="I165" s="665"/>
      <c r="J165" s="665"/>
      <c r="K165" s="666"/>
      <c r="L165" s="665"/>
    </row>
    <row r="166" spans="1:15" x14ac:dyDescent="0.35">
      <c r="H166" s="136"/>
      <c r="K166" s="136"/>
    </row>
    <row r="167" spans="1:15" x14ac:dyDescent="0.35">
      <c r="H167" s="136"/>
      <c r="K167" s="136"/>
    </row>
    <row r="168" spans="1:15" x14ac:dyDescent="0.35">
      <c r="H168" s="136"/>
      <c r="K168" s="136"/>
    </row>
    <row r="169" spans="1:15" x14ac:dyDescent="0.35">
      <c r="H169" s="136"/>
      <c r="K169" s="136"/>
    </row>
    <row r="170" spans="1:15" x14ac:dyDescent="0.35">
      <c r="H170" s="136"/>
      <c r="K170" s="136"/>
    </row>
    <row r="171" spans="1:15" x14ac:dyDescent="0.35">
      <c r="H171" s="136"/>
      <c r="K171" s="136"/>
    </row>
    <row r="172" spans="1:15" x14ac:dyDescent="0.35">
      <c r="H172" s="136"/>
      <c r="K172" s="136"/>
    </row>
    <row r="173" spans="1:15" x14ac:dyDescent="0.35">
      <c r="H173" s="136"/>
      <c r="K173" s="136"/>
    </row>
    <row r="174" spans="1:15" x14ac:dyDescent="0.35">
      <c r="H174" s="136"/>
      <c r="K174" s="136"/>
    </row>
    <row r="175" spans="1:15" x14ac:dyDescent="0.35">
      <c r="H175" s="136"/>
      <c r="K175" s="136"/>
    </row>
    <row r="176" spans="1:15" x14ac:dyDescent="0.35">
      <c r="H176" s="136"/>
      <c r="K176" s="136"/>
    </row>
    <row r="177" spans="8:11" x14ac:dyDescent="0.35">
      <c r="H177" s="136"/>
      <c r="K177" s="136"/>
    </row>
    <row r="178" spans="8:11" x14ac:dyDescent="0.35">
      <c r="H178" s="136"/>
      <c r="K178" s="136"/>
    </row>
    <row r="179" spans="8:11" x14ac:dyDescent="0.35">
      <c r="H179" s="136"/>
      <c r="K179" s="136"/>
    </row>
    <row r="180" spans="8:11" x14ac:dyDescent="0.35">
      <c r="H180" s="136"/>
      <c r="K180" s="136"/>
    </row>
    <row r="181" spans="8:11" x14ac:dyDescent="0.35">
      <c r="H181" s="136"/>
      <c r="K181" s="136"/>
    </row>
    <row r="182" spans="8:11" x14ac:dyDescent="0.35">
      <c r="H182" s="136"/>
      <c r="K182" s="136"/>
    </row>
    <row r="183" spans="8:11" x14ac:dyDescent="0.35">
      <c r="H183" s="136"/>
      <c r="K183" s="136"/>
    </row>
    <row r="184" spans="8:11" x14ac:dyDescent="0.35">
      <c r="H184" s="136"/>
      <c r="K184" s="136"/>
    </row>
    <row r="185" spans="8:11" x14ac:dyDescent="0.35">
      <c r="H185" s="136"/>
      <c r="K185" s="136"/>
    </row>
    <row r="186" spans="8:11" x14ac:dyDescent="0.35">
      <c r="H186" s="136"/>
      <c r="K186" s="136"/>
    </row>
    <row r="187" spans="8:11" x14ac:dyDescent="0.35">
      <c r="H187" s="136"/>
      <c r="K187" s="136"/>
    </row>
    <row r="188" spans="8:11" x14ac:dyDescent="0.35">
      <c r="H188" s="136"/>
      <c r="K188" s="136"/>
    </row>
    <row r="189" spans="8:11" x14ac:dyDescent="0.35">
      <c r="H189" s="136"/>
      <c r="K189" s="136"/>
    </row>
    <row r="190" spans="8:11" x14ac:dyDescent="0.35">
      <c r="H190" s="136"/>
      <c r="K190" s="136"/>
    </row>
    <row r="191" spans="8:11" x14ac:dyDescent="0.35">
      <c r="H191" s="136"/>
      <c r="K191" s="136"/>
    </row>
    <row r="192" spans="8:11" x14ac:dyDescent="0.35">
      <c r="H192" s="136"/>
      <c r="K192" s="136"/>
    </row>
    <row r="193" spans="8:11" x14ac:dyDescent="0.35">
      <c r="H193" s="136"/>
      <c r="K193" s="136"/>
    </row>
    <row r="194" spans="8:11" x14ac:dyDescent="0.35">
      <c r="H194" s="136"/>
      <c r="K194" s="136"/>
    </row>
    <row r="195" spans="8:11" x14ac:dyDescent="0.35">
      <c r="H195" s="136"/>
      <c r="K195" s="136"/>
    </row>
    <row r="196" spans="8:11" x14ac:dyDescent="0.35">
      <c r="H196" s="136"/>
      <c r="K196" s="136"/>
    </row>
    <row r="197" spans="8:11" x14ac:dyDescent="0.35">
      <c r="H197" s="136"/>
      <c r="K197" s="136"/>
    </row>
    <row r="198" spans="8:11" x14ac:dyDescent="0.35">
      <c r="H198" s="136"/>
      <c r="K198" s="136"/>
    </row>
    <row r="199" spans="8:11" x14ac:dyDescent="0.35">
      <c r="H199" s="136"/>
      <c r="K199" s="136"/>
    </row>
    <row r="200" spans="8:11" x14ac:dyDescent="0.35">
      <c r="H200" s="136"/>
      <c r="K200" s="136"/>
    </row>
    <row r="201" spans="8:11" x14ac:dyDescent="0.35">
      <c r="H201" s="136"/>
      <c r="K201" s="136"/>
    </row>
    <row r="202" spans="8:11" x14ac:dyDescent="0.35">
      <c r="H202" s="136"/>
      <c r="K202" s="136"/>
    </row>
    <row r="203" spans="8:11" x14ac:dyDescent="0.35">
      <c r="H203" s="136"/>
      <c r="K203" s="136"/>
    </row>
    <row r="204" spans="8:11" x14ac:dyDescent="0.35">
      <c r="H204" s="136"/>
      <c r="K204" s="136"/>
    </row>
    <row r="205" spans="8:11" x14ac:dyDescent="0.35">
      <c r="H205" s="136"/>
      <c r="K205" s="136"/>
    </row>
    <row r="206" spans="8:11" x14ac:dyDescent="0.35">
      <c r="H206" s="136"/>
      <c r="K206" s="136"/>
    </row>
    <row r="207" spans="8:11" x14ac:dyDescent="0.35">
      <c r="H207" s="136"/>
      <c r="K207" s="136"/>
    </row>
    <row r="208" spans="8:11" x14ac:dyDescent="0.35">
      <c r="H208" s="136"/>
      <c r="K208" s="136"/>
    </row>
    <row r="209" spans="8:11" x14ac:dyDescent="0.35">
      <c r="H209" s="136"/>
      <c r="K209" s="136"/>
    </row>
    <row r="210" spans="8:11" x14ac:dyDescent="0.35">
      <c r="H210" s="136"/>
      <c r="K210" s="136"/>
    </row>
    <row r="211" spans="8:11" x14ac:dyDescent="0.35">
      <c r="H211" s="136"/>
      <c r="K211" s="136"/>
    </row>
    <row r="212" spans="8:11" x14ac:dyDescent="0.35">
      <c r="H212" s="136"/>
      <c r="K212" s="136"/>
    </row>
    <row r="213" spans="8:11" x14ac:dyDescent="0.35">
      <c r="H213" s="136"/>
      <c r="K213" s="136"/>
    </row>
    <row r="214" spans="8:11" x14ac:dyDescent="0.35">
      <c r="H214" s="136"/>
      <c r="K214" s="136"/>
    </row>
    <row r="215" spans="8:11" x14ac:dyDescent="0.35">
      <c r="H215" s="136"/>
      <c r="K215" s="136"/>
    </row>
    <row r="216" spans="8:11" x14ac:dyDescent="0.35">
      <c r="H216" s="136"/>
      <c r="K216" s="136"/>
    </row>
    <row r="217" spans="8:11" x14ac:dyDescent="0.35">
      <c r="H217" s="136"/>
      <c r="K217" s="136"/>
    </row>
    <row r="218" spans="8:11" x14ac:dyDescent="0.35">
      <c r="H218" s="136"/>
      <c r="K218" s="136"/>
    </row>
    <row r="219" spans="8:11" x14ac:dyDescent="0.35">
      <c r="H219" s="136"/>
      <c r="K219" s="136"/>
    </row>
    <row r="220" spans="8:11" x14ac:dyDescent="0.35">
      <c r="H220" s="136"/>
      <c r="K220" s="136"/>
    </row>
    <row r="221" spans="8:11" x14ac:dyDescent="0.35">
      <c r="H221" s="136"/>
      <c r="K221" s="136"/>
    </row>
    <row r="222" spans="8:11" x14ac:dyDescent="0.35">
      <c r="H222" s="136"/>
      <c r="K222" s="136"/>
    </row>
    <row r="223" spans="8:11" x14ac:dyDescent="0.35">
      <c r="H223" s="136"/>
      <c r="K223" s="136"/>
    </row>
    <row r="224" spans="8:11" x14ac:dyDescent="0.35">
      <c r="H224" s="136"/>
      <c r="K224" s="136"/>
    </row>
    <row r="225" spans="8:11" x14ac:dyDescent="0.35">
      <c r="H225" s="136"/>
      <c r="K225" s="136"/>
    </row>
    <row r="226" spans="8:11" x14ac:dyDescent="0.35">
      <c r="H226" s="136"/>
      <c r="K226" s="136"/>
    </row>
    <row r="227" spans="8:11" x14ac:dyDescent="0.35">
      <c r="H227" s="136"/>
      <c r="K227" s="136"/>
    </row>
    <row r="228" spans="8:11" x14ac:dyDescent="0.35">
      <c r="H228" s="136"/>
      <c r="K228" s="136"/>
    </row>
    <row r="229" spans="8:11" x14ac:dyDescent="0.35">
      <c r="H229" s="136"/>
      <c r="K229" s="136"/>
    </row>
    <row r="230" spans="8:11" x14ac:dyDescent="0.35">
      <c r="H230" s="136"/>
      <c r="K230" s="136"/>
    </row>
    <row r="231" spans="8:11" x14ac:dyDescent="0.35">
      <c r="H231" s="136"/>
      <c r="K231" s="136"/>
    </row>
    <row r="232" spans="8:11" x14ac:dyDescent="0.35">
      <c r="H232" s="136"/>
      <c r="K232" s="136"/>
    </row>
    <row r="233" spans="8:11" x14ac:dyDescent="0.35">
      <c r="H233" s="136"/>
      <c r="K233" s="136"/>
    </row>
    <row r="234" spans="8:11" x14ac:dyDescent="0.35">
      <c r="H234" s="136"/>
      <c r="K234" s="136"/>
    </row>
    <row r="235" spans="8:11" x14ac:dyDescent="0.35">
      <c r="H235" s="136"/>
      <c r="K235" s="136"/>
    </row>
    <row r="236" spans="8:11" x14ac:dyDescent="0.35">
      <c r="H236" s="136"/>
      <c r="K236" s="136"/>
    </row>
    <row r="237" spans="8:11" x14ac:dyDescent="0.35">
      <c r="H237" s="136"/>
      <c r="K237" s="136"/>
    </row>
    <row r="238" spans="8:11" x14ac:dyDescent="0.35">
      <c r="H238" s="136"/>
      <c r="K238" s="136"/>
    </row>
    <row r="239" spans="8:11" x14ac:dyDescent="0.35">
      <c r="H239" s="136"/>
      <c r="K239" s="136"/>
    </row>
    <row r="240" spans="8:11" x14ac:dyDescent="0.35">
      <c r="H240" s="136"/>
      <c r="K240" s="136"/>
    </row>
    <row r="241" spans="8:11" x14ac:dyDescent="0.35">
      <c r="H241" s="136"/>
      <c r="K241" s="136"/>
    </row>
    <row r="242" spans="8:11" x14ac:dyDescent="0.35">
      <c r="H242" s="136"/>
      <c r="K242" s="136"/>
    </row>
    <row r="243" spans="8:11" x14ac:dyDescent="0.35">
      <c r="H243" s="136"/>
      <c r="K243" s="136"/>
    </row>
    <row r="244" spans="8:11" x14ac:dyDescent="0.35">
      <c r="H244" s="136"/>
      <c r="K244" s="136"/>
    </row>
    <row r="245" spans="8:11" x14ac:dyDescent="0.35">
      <c r="H245" s="136"/>
      <c r="K245" s="136"/>
    </row>
    <row r="246" spans="8:11" x14ac:dyDescent="0.35">
      <c r="H246" s="136"/>
      <c r="K246" s="136"/>
    </row>
    <row r="247" spans="8:11" x14ac:dyDescent="0.35">
      <c r="H247" s="136"/>
      <c r="K247" s="136"/>
    </row>
    <row r="248" spans="8:11" x14ac:dyDescent="0.35">
      <c r="H248" s="136"/>
      <c r="K248" s="136"/>
    </row>
    <row r="249" spans="8:11" x14ac:dyDescent="0.35">
      <c r="H249" s="136"/>
      <c r="K249" s="136"/>
    </row>
    <row r="250" spans="8:11" x14ac:dyDescent="0.35">
      <c r="H250" s="136"/>
      <c r="K250" s="136"/>
    </row>
    <row r="251" spans="8:11" x14ac:dyDescent="0.35">
      <c r="H251" s="136"/>
      <c r="K251" s="136"/>
    </row>
    <row r="252" spans="8:11" x14ac:dyDescent="0.35">
      <c r="H252" s="136"/>
      <c r="K252" s="136"/>
    </row>
    <row r="253" spans="8:11" x14ac:dyDescent="0.35">
      <c r="H253" s="136"/>
      <c r="K253" s="136"/>
    </row>
    <row r="254" spans="8:11" x14ac:dyDescent="0.35">
      <c r="H254" s="136"/>
      <c r="K254" s="136"/>
    </row>
    <row r="255" spans="8:11" x14ac:dyDescent="0.35">
      <c r="H255" s="136"/>
      <c r="K255" s="136"/>
    </row>
    <row r="256" spans="8:11" x14ac:dyDescent="0.35">
      <c r="H256" s="136"/>
      <c r="K256" s="136"/>
    </row>
    <row r="257" spans="8:11" x14ac:dyDescent="0.35">
      <c r="H257" s="136"/>
      <c r="K257" s="136"/>
    </row>
    <row r="258" spans="8:11" x14ac:dyDescent="0.35">
      <c r="H258" s="136"/>
      <c r="K258" s="136"/>
    </row>
    <row r="259" spans="8:11" x14ac:dyDescent="0.35">
      <c r="H259" s="136"/>
      <c r="K259" s="136"/>
    </row>
    <row r="260" spans="8:11" x14ac:dyDescent="0.35">
      <c r="H260" s="136"/>
      <c r="K260" s="136"/>
    </row>
    <row r="261" spans="8:11" x14ac:dyDescent="0.35">
      <c r="H261" s="136"/>
      <c r="K261" s="136"/>
    </row>
    <row r="262" spans="8:11" x14ac:dyDescent="0.35">
      <c r="H262" s="136"/>
      <c r="K262" s="136"/>
    </row>
    <row r="263" spans="8:11" x14ac:dyDescent="0.35">
      <c r="H263" s="136"/>
      <c r="K263" s="136"/>
    </row>
    <row r="264" spans="8:11" x14ac:dyDescent="0.35">
      <c r="H264" s="136"/>
      <c r="K264" s="136"/>
    </row>
    <row r="265" spans="8:11" x14ac:dyDescent="0.35">
      <c r="H265" s="136"/>
      <c r="K265" s="136"/>
    </row>
    <row r="266" spans="8:11" x14ac:dyDescent="0.35">
      <c r="H266" s="136"/>
      <c r="K266" s="136"/>
    </row>
    <row r="267" spans="8:11" x14ac:dyDescent="0.35">
      <c r="H267" s="136"/>
      <c r="K267" s="136"/>
    </row>
    <row r="268" spans="8:11" x14ac:dyDescent="0.35">
      <c r="H268" s="136"/>
      <c r="K268" s="136"/>
    </row>
    <row r="269" spans="8:11" x14ac:dyDescent="0.35">
      <c r="H269" s="136"/>
      <c r="K269" s="136"/>
    </row>
    <row r="270" spans="8:11" x14ac:dyDescent="0.35">
      <c r="H270" s="136"/>
      <c r="K270" s="136"/>
    </row>
    <row r="271" spans="8:11" x14ac:dyDescent="0.35">
      <c r="H271" s="136"/>
      <c r="K271" s="136"/>
    </row>
    <row r="272" spans="8:11" x14ac:dyDescent="0.35">
      <c r="H272" s="136"/>
      <c r="K272" s="136"/>
    </row>
    <row r="273" spans="8:11" x14ac:dyDescent="0.35">
      <c r="H273" s="136"/>
      <c r="K273" s="136"/>
    </row>
    <row r="274" spans="8:11" x14ac:dyDescent="0.35">
      <c r="H274" s="136"/>
      <c r="K274" s="136"/>
    </row>
    <row r="275" spans="8:11" x14ac:dyDescent="0.35">
      <c r="H275" s="136"/>
      <c r="K275" s="136"/>
    </row>
    <row r="276" spans="8:11" x14ac:dyDescent="0.35">
      <c r="H276" s="136"/>
      <c r="K276" s="136"/>
    </row>
    <row r="277" spans="8:11" x14ac:dyDescent="0.35">
      <c r="H277" s="136"/>
      <c r="K277" s="136"/>
    </row>
    <row r="278" spans="8:11" x14ac:dyDescent="0.35">
      <c r="H278" s="136"/>
      <c r="K278" s="136"/>
    </row>
    <row r="279" spans="8:11" x14ac:dyDescent="0.35">
      <c r="H279" s="136"/>
      <c r="K279" s="136"/>
    </row>
    <row r="280" spans="8:11" x14ac:dyDescent="0.35">
      <c r="H280" s="136"/>
      <c r="K280" s="136"/>
    </row>
    <row r="281" spans="8:11" x14ac:dyDescent="0.35">
      <c r="H281" s="136"/>
      <c r="K281" s="136"/>
    </row>
    <row r="282" spans="8:11" x14ac:dyDescent="0.35">
      <c r="H282" s="136"/>
      <c r="K282" s="136"/>
    </row>
    <row r="283" spans="8:11" x14ac:dyDescent="0.35">
      <c r="H283" s="136"/>
      <c r="K283" s="136"/>
    </row>
    <row r="284" spans="8:11" x14ac:dyDescent="0.35">
      <c r="H284" s="136"/>
      <c r="K284" s="136"/>
    </row>
    <row r="285" spans="8:11" x14ac:dyDescent="0.35">
      <c r="H285" s="136"/>
      <c r="K285" s="136"/>
    </row>
    <row r="286" spans="8:11" x14ac:dyDescent="0.35">
      <c r="H286" s="136"/>
      <c r="K286" s="136"/>
    </row>
    <row r="287" spans="8:11" x14ac:dyDescent="0.35">
      <c r="H287" s="136"/>
      <c r="K287" s="136"/>
    </row>
    <row r="288" spans="8:11" x14ac:dyDescent="0.35">
      <c r="H288" s="136"/>
      <c r="K288" s="136"/>
    </row>
    <row r="289" spans="8:11" x14ac:dyDescent="0.35">
      <c r="H289" s="136"/>
      <c r="K289" s="136"/>
    </row>
    <row r="290" spans="8:11" x14ac:dyDescent="0.35">
      <c r="H290" s="136"/>
      <c r="K290" s="136"/>
    </row>
    <row r="291" spans="8:11" x14ac:dyDescent="0.35">
      <c r="H291" s="136"/>
      <c r="K291" s="136"/>
    </row>
    <row r="292" spans="8:11" x14ac:dyDescent="0.35">
      <c r="H292" s="136"/>
      <c r="K292" s="136"/>
    </row>
    <row r="293" spans="8:11" x14ac:dyDescent="0.35">
      <c r="H293" s="136"/>
      <c r="K293" s="136"/>
    </row>
    <row r="294" spans="8:11" x14ac:dyDescent="0.35">
      <c r="H294" s="136"/>
      <c r="K294" s="136"/>
    </row>
    <row r="295" spans="8:11" x14ac:dyDescent="0.35">
      <c r="H295" s="136"/>
      <c r="K295" s="136"/>
    </row>
    <row r="296" spans="8:11" x14ac:dyDescent="0.35">
      <c r="H296" s="136"/>
      <c r="K296" s="136"/>
    </row>
    <row r="297" spans="8:11" x14ac:dyDescent="0.35">
      <c r="H297" s="136"/>
      <c r="K297" s="136"/>
    </row>
    <row r="298" spans="8:11" x14ac:dyDescent="0.35">
      <c r="H298" s="136"/>
      <c r="K298" s="136"/>
    </row>
    <row r="299" spans="8:11" x14ac:dyDescent="0.35">
      <c r="H299" s="136"/>
      <c r="K299" s="136"/>
    </row>
    <row r="300" spans="8:11" x14ac:dyDescent="0.35">
      <c r="H300" s="136"/>
      <c r="K300" s="136"/>
    </row>
    <row r="301" spans="8:11" x14ac:dyDescent="0.35">
      <c r="H301" s="136"/>
      <c r="K301" s="136"/>
    </row>
    <row r="302" spans="8:11" x14ac:dyDescent="0.35">
      <c r="H302" s="136"/>
      <c r="K302" s="136"/>
    </row>
    <row r="303" spans="8:11" x14ac:dyDescent="0.35">
      <c r="H303" s="136"/>
      <c r="K303" s="136"/>
    </row>
    <row r="304" spans="8:11" x14ac:dyDescent="0.35">
      <c r="K304" s="136"/>
    </row>
    <row r="305" spans="4:11" x14ac:dyDescent="0.35">
      <c r="D305" s="137"/>
      <c r="E305" s="136"/>
      <c r="K305" s="136"/>
    </row>
    <row r="306" spans="4:11" x14ac:dyDescent="0.35">
      <c r="D306" s="137"/>
      <c r="E306" s="136"/>
      <c r="K306" s="136"/>
    </row>
    <row r="307" spans="4:11" x14ac:dyDescent="0.35">
      <c r="D307" s="137"/>
      <c r="E307" s="136"/>
      <c r="K307" s="136"/>
    </row>
    <row r="308" spans="4:11" x14ac:dyDescent="0.35">
      <c r="D308" s="137"/>
      <c r="E308" s="136"/>
      <c r="K308" s="136"/>
    </row>
    <row r="309" spans="4:11" x14ac:dyDescent="0.35">
      <c r="D309" s="137"/>
      <c r="E309" s="136"/>
      <c r="K309" s="136"/>
    </row>
    <row r="310" spans="4:11" x14ac:dyDescent="0.35">
      <c r="D310" s="137"/>
      <c r="E310" s="136"/>
      <c r="K310" s="136"/>
    </row>
    <row r="311" spans="4:11" x14ac:dyDescent="0.35">
      <c r="D311" s="137"/>
      <c r="E311" s="136"/>
      <c r="K311" s="136"/>
    </row>
  </sheetData>
  <sheetProtection sort="0" autoFilter="0"/>
  <mergeCells count="38">
    <mergeCell ref="A164:L164"/>
    <mergeCell ref="A165:L165"/>
    <mergeCell ref="H155:L155"/>
    <mergeCell ref="H156:L156"/>
    <mergeCell ref="H157:L157"/>
    <mergeCell ref="H158:L158"/>
    <mergeCell ref="A159:L159"/>
    <mergeCell ref="A160:L160"/>
    <mergeCell ref="A154:B158"/>
    <mergeCell ref="C154:C158"/>
    <mergeCell ref="D154:E158"/>
    <mergeCell ref="F154:G158"/>
    <mergeCell ref="H154:L154"/>
    <mergeCell ref="A161:A162"/>
    <mergeCell ref="B161:E162"/>
    <mergeCell ref="F161:L162"/>
    <mergeCell ref="A163:L163"/>
    <mergeCell ref="H152:L152"/>
    <mergeCell ref="A153:B153"/>
    <mergeCell ref="D153:E153"/>
    <mergeCell ref="F153:G153"/>
    <mergeCell ref="H153:L153"/>
    <mergeCell ref="A10:L10"/>
    <mergeCell ref="B12:E12"/>
    <mergeCell ref="A151:B151"/>
    <mergeCell ref="C151:D151"/>
    <mergeCell ref="E151:G151"/>
    <mergeCell ref="H151:L151"/>
    <mergeCell ref="A8:B8"/>
    <mergeCell ref="C8:D8"/>
    <mergeCell ref="E8:F8"/>
    <mergeCell ref="G8:I8"/>
    <mergeCell ref="K8:L8"/>
    <mergeCell ref="A9:B9"/>
    <mergeCell ref="C9:D9"/>
    <mergeCell ref="E9:F9"/>
    <mergeCell ref="G9:J9"/>
    <mergeCell ref="K9:L9"/>
  </mergeCells>
  <dataValidations disablePrompts="1" count="1">
    <dataValidation type="list" allowBlank="1" showInputMessage="1" showErrorMessage="1" sqref="K9:L9" xr:uid="{00000000-0002-0000-08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2"/>
  <dimension ref="A1:Z160"/>
  <sheetViews>
    <sheetView showGridLines="0" zoomScaleSheetLayoutView="100" workbookViewId="0">
      <selection activeCell="G16" sqref="G16"/>
    </sheetView>
  </sheetViews>
  <sheetFormatPr defaultColWidth="10.7265625" defaultRowHeight="12.5" x14ac:dyDescent="0.35"/>
  <cols>
    <col min="1" max="1" width="8" style="119" customWidth="1"/>
    <col min="2" max="2" width="15.453125" style="119" customWidth="1"/>
    <col min="3" max="3" width="12.7265625" style="119" customWidth="1"/>
    <col min="4" max="4" width="9.54296875" style="120" customWidth="1"/>
    <col min="5" max="5" width="15.81640625" style="119" customWidth="1"/>
    <col min="6" max="6" width="3.453125" style="121" customWidth="1"/>
    <col min="7" max="7" width="7.54296875" style="119" customWidth="1"/>
    <col min="8" max="8" width="7.26953125" style="119" customWidth="1"/>
    <col min="9" max="10" width="7.26953125" style="121" customWidth="1"/>
    <col min="11" max="11" width="7.26953125" style="119" customWidth="1"/>
    <col min="12" max="12" width="13.1796875" style="119" bestFit="1" customWidth="1"/>
    <col min="13" max="13" width="9.54296875" style="119" customWidth="1"/>
    <col min="14" max="16384" width="10.7265625" style="119"/>
  </cols>
  <sheetData>
    <row r="1" spans="1:26" ht="13" x14ac:dyDescent="0.35">
      <c r="A1" s="703"/>
      <c r="B1" s="703"/>
      <c r="G1" s="122"/>
      <c r="H1" s="580"/>
      <c r="I1" s="581"/>
      <c r="J1" s="581"/>
      <c r="K1" s="581"/>
      <c r="L1" s="139"/>
      <c r="M1" s="118"/>
    </row>
    <row r="2" spans="1:26" ht="13" x14ac:dyDescent="0.35">
      <c r="G2" s="122"/>
      <c r="H2" s="123" t="s">
        <v>639</v>
      </c>
      <c r="I2" s="124"/>
      <c r="J2" s="124"/>
      <c r="K2" s="124"/>
      <c r="L2" s="124"/>
      <c r="M2" s="122"/>
    </row>
    <row r="3" spans="1:26" ht="13" x14ac:dyDescent="0.35">
      <c r="G3" s="122"/>
      <c r="H3" s="125" t="s">
        <v>1322</v>
      </c>
      <c r="I3" s="119"/>
      <c r="J3" s="119"/>
      <c r="K3" s="124"/>
      <c r="L3" s="124"/>
      <c r="M3" s="122"/>
    </row>
    <row r="4" spans="1:26" ht="13" x14ac:dyDescent="0.35">
      <c r="G4" s="122"/>
      <c r="H4" s="125" t="s">
        <v>1321</v>
      </c>
      <c r="I4" s="119"/>
      <c r="J4" s="119"/>
      <c r="K4" s="124"/>
      <c r="L4" s="124"/>
      <c r="M4" s="122"/>
    </row>
    <row r="5" spans="1:26" ht="13" x14ac:dyDescent="0.35">
      <c r="G5" s="122"/>
      <c r="H5" s="125" t="s">
        <v>1323</v>
      </c>
      <c r="I5" s="119"/>
      <c r="J5" s="119"/>
      <c r="K5" s="124"/>
      <c r="L5" s="124"/>
      <c r="M5" s="122"/>
    </row>
    <row r="6" spans="1:26" ht="13" x14ac:dyDescent="0.35">
      <c r="G6" s="122"/>
      <c r="H6" s="125" t="s">
        <v>1324</v>
      </c>
      <c r="K6" s="124"/>
      <c r="L6" s="124"/>
      <c r="M6" s="122"/>
    </row>
    <row r="7" spans="1:26" x14ac:dyDescent="0.35">
      <c r="A7" s="126"/>
      <c r="B7" s="126"/>
      <c r="C7" s="126"/>
      <c r="D7" s="127"/>
      <c r="E7" s="126"/>
      <c r="F7" s="128"/>
      <c r="G7" s="129"/>
      <c r="H7" s="130" t="s">
        <v>1645</v>
      </c>
      <c r="I7" s="128"/>
      <c r="J7" s="128"/>
      <c r="K7" s="126"/>
      <c r="L7" s="126"/>
      <c r="M7" s="129"/>
    </row>
    <row r="8" spans="1:26" ht="14.5" customHeight="1" x14ac:dyDescent="0.35">
      <c r="A8" s="644" t="s">
        <v>435</v>
      </c>
      <c r="B8" s="645"/>
      <c r="C8" s="646" t="s">
        <v>436</v>
      </c>
      <c r="D8" s="649"/>
      <c r="E8" s="698" t="s">
        <v>661</v>
      </c>
      <c r="F8" s="699"/>
      <c r="G8" s="646" t="s">
        <v>465</v>
      </c>
      <c r="H8" s="650"/>
      <c r="I8" s="650"/>
      <c r="J8" s="599"/>
      <c r="K8" s="646"/>
      <c r="L8" s="650"/>
      <c r="M8" s="649"/>
    </row>
    <row r="9" spans="1:26" s="121" customFormat="1" x14ac:dyDescent="0.25">
      <c r="A9" s="693" t="s">
        <v>466</v>
      </c>
      <c r="B9" s="694"/>
      <c r="C9" s="695">
        <v>45595</v>
      </c>
      <c r="D9" s="696"/>
      <c r="E9" s="693" t="s">
        <v>671</v>
      </c>
      <c r="F9" s="694"/>
      <c r="G9" s="693" t="s">
        <v>868</v>
      </c>
      <c r="H9" s="697"/>
      <c r="I9" s="697"/>
      <c r="J9" s="600"/>
      <c r="K9" s="693"/>
      <c r="L9" s="697"/>
      <c r="M9" s="694"/>
    </row>
    <row r="10" spans="1:26" ht="27" customHeight="1" x14ac:dyDescent="0.35">
      <c r="A10" s="157" t="s">
        <v>442</v>
      </c>
      <c r="B10" s="700" t="s">
        <v>443</v>
      </c>
      <c r="C10" s="701"/>
      <c r="D10" s="701"/>
      <c r="E10" s="702"/>
      <c r="F10" s="135" t="s">
        <v>444</v>
      </c>
      <c r="G10" s="134" t="s">
        <v>445</v>
      </c>
      <c r="H10" s="134" t="s">
        <v>983</v>
      </c>
      <c r="I10" s="157" t="s">
        <v>984</v>
      </c>
      <c r="J10" s="157" t="s">
        <v>1673</v>
      </c>
      <c r="K10" s="134" t="s">
        <v>447</v>
      </c>
      <c r="L10" s="134" t="s">
        <v>981</v>
      </c>
      <c r="M10" s="134" t="s">
        <v>467</v>
      </c>
    </row>
    <row r="11" spans="1:26" ht="14.5" x14ac:dyDescent="0.35">
      <c r="A11" s="158"/>
      <c r="B11" s="159" t="s">
        <v>1723</v>
      </c>
      <c r="C11" s="160"/>
      <c r="D11" s="160"/>
      <c r="E11" s="575"/>
      <c r="F11" s="161"/>
      <c r="G11" s="161"/>
      <c r="H11" s="205"/>
      <c r="I11" s="206"/>
      <c r="J11" s="206"/>
      <c r="K11" s="162"/>
      <c r="L11" s="255"/>
      <c r="M11" s="163"/>
    </row>
    <row r="12" spans="1:26" ht="14.5" x14ac:dyDescent="0.35">
      <c r="A12" s="164" t="str">
        <f t="array" ref="A12:A16">INDEX(salesHistory[sku_geko], SMALL(IF((salesHistory[qty]&lt;&gt;0)*(salesHistory[order_no]=140), ROW(salesHistory[qty])-MIN(ROW(salesHistory[qty]))+1), ROW(A1:A5)))</f>
        <v>P05004</v>
      </c>
      <c r="B12" s="158" t="str">
        <f t="array" ref="B12:B16">INDEX(salesHistory[description], SMALL(IF((salesHistory[qty]&lt;&gt;0)*(salesHistory[order_no]=140), ROW(salesHistory[qty])-MIN(ROW(salesHistory[qty]))+1), ROW(A1:A5)))</f>
        <v>BHPC SPORT MEN 1 EDT 100ML</v>
      </c>
      <c r="C12" s="593"/>
      <c r="D12" s="166"/>
      <c r="E12" s="594"/>
      <c r="F12" s="168" t="s">
        <v>871</v>
      </c>
      <c r="G12" s="169">
        <f t="array" ref="G12:G16">INDEX(salesHistory[qty], SMALL(IF((salesHistory[qty]&lt;&gt;0)*(salesHistory[order_no]=140), ROW(salesHistory[qty])-MIN(ROW(salesHistory[qty]))+1), ROW(A1:A5)))</f>
        <v>1500</v>
      </c>
      <c r="H12" s="207">
        <f>ROUND(G12/24*7.52,1)</f>
        <v>470</v>
      </c>
      <c r="I12" s="208">
        <f>ROUND(G12/24*8.23,1)</f>
        <v>514.4</v>
      </c>
      <c r="J12" s="601">
        <f xml:space="preserve"> G12/24*430*300*174/ 1000000000</f>
        <v>1.4028750000000001</v>
      </c>
      <c r="K12" s="170">
        <f>CEILING(G12/24,1)</f>
        <v>63</v>
      </c>
      <c r="L12" s="256" t="str">
        <f t="array" ref="L12:L16">INDEX(salesHistory[hs_code], SMALL(IF((salesHistory[qty]&lt;&gt;0)*(salesHistory[order_no]=140), ROW(salesHistory[qty])-MIN(ROW(salesHistory[qty]))+1), ROW(A1:A5)))</f>
        <v>33030010</v>
      </c>
      <c r="M12" s="171" t="str">
        <f>INDEX(bhpc_data[country_of_origin],MATCH(Z12,bhpc_data[sku],0))</f>
        <v>SPAIN</v>
      </c>
      <c r="O12" s="214"/>
      <c r="T12" s="204"/>
      <c r="U12" s="204"/>
      <c r="Z12" s="119" t="str">
        <f t="array" ref="Z12:Z16">INDEX(salesHistory[sku], SMALL(IF((salesHistory[qty]&lt;&gt;0)*(salesHistory[order_no]=140), ROW(salesHistory[qty])-MIN(ROW(salesHistory[qty]))+1), ROW(A1:A5)))</f>
        <v>P05004</v>
      </c>
    </row>
    <row r="13" spans="1:26" ht="14.5" x14ac:dyDescent="0.35">
      <c r="A13" s="164" t="str">
        <v>P05005</v>
      </c>
      <c r="B13" s="158" t="str">
        <v>BHPC SPORT MEN 9 EDT 100ML</v>
      </c>
      <c r="C13" s="165"/>
      <c r="D13" s="166"/>
      <c r="E13" s="167"/>
      <c r="F13" s="168" t="s">
        <v>871</v>
      </c>
      <c r="G13" s="169">
        <v>200</v>
      </c>
      <c r="H13" s="207">
        <f>ROUND(G13/24*7.52,1)</f>
        <v>62.7</v>
      </c>
      <c r="I13" s="208">
        <f>ROUND(G13/24*8.23,1)</f>
        <v>68.599999999999994</v>
      </c>
      <c r="J13" s="601">
        <f xml:space="preserve"> G13/24*430*300*174/ 1000000000</f>
        <v>0.18704999999999999</v>
      </c>
      <c r="K13" s="170">
        <f>CEILING(G13/24,1)</f>
        <v>9</v>
      </c>
      <c r="L13" s="256" t="str">
        <v>33030010</v>
      </c>
      <c r="M13" s="171" t="str">
        <f>INDEX(bhpc_data[country_of_origin],MATCH(Z13,bhpc_data[sku],0))</f>
        <v>SPAIN</v>
      </c>
      <c r="O13" s="214"/>
      <c r="T13" s="204"/>
      <c r="U13" s="204"/>
      <c r="Z13" s="119" t="str">
        <v>P05005</v>
      </c>
    </row>
    <row r="14" spans="1:26" ht="14.5" x14ac:dyDescent="0.35">
      <c r="A14" s="164" t="str">
        <v>P05007</v>
      </c>
      <c r="B14" s="158" t="str">
        <v>BHPC SPORT MEN 2 EDT 100ML</v>
      </c>
      <c r="C14" s="165"/>
      <c r="D14" s="166"/>
      <c r="E14" s="167"/>
      <c r="F14" s="168" t="s">
        <v>871</v>
      </c>
      <c r="G14" s="169">
        <v>1500</v>
      </c>
      <c r="H14" s="207">
        <f>ROUND(G14/24*7.52,1)</f>
        <v>470</v>
      </c>
      <c r="I14" s="208">
        <f>ROUND(G14/24*8.23,1)</f>
        <v>514.4</v>
      </c>
      <c r="J14" s="601">
        <f xml:space="preserve"> G14/24*430*300*174/ 1000000000</f>
        <v>1.4028750000000001</v>
      </c>
      <c r="K14" s="170">
        <f>CEILING(G14/24,1)</f>
        <v>63</v>
      </c>
      <c r="L14" s="256" t="str">
        <v>33030010</v>
      </c>
      <c r="M14" s="171" t="str">
        <f>INDEX(bhpc_data[country_of_origin],MATCH(Z14,bhpc_data[sku],0))</f>
        <v>SPAIN</v>
      </c>
      <c r="O14" s="214"/>
      <c r="T14" s="204"/>
      <c r="U14" s="204"/>
      <c r="Z14" s="119" t="str">
        <v>P05007</v>
      </c>
    </row>
    <row r="15" spans="1:26" ht="14.5" x14ac:dyDescent="0.35">
      <c r="A15" s="164" t="str">
        <v>P05050</v>
      </c>
      <c r="B15" s="158" t="str">
        <v>BHPC WOMEN 1 EDP 100ML</v>
      </c>
      <c r="C15" s="165"/>
      <c r="D15" s="166"/>
      <c r="E15" s="167"/>
      <c r="F15" s="168" t="s">
        <v>871</v>
      </c>
      <c r="G15" s="169">
        <v>300</v>
      </c>
      <c r="H15" s="207">
        <f>ROUND(G15/24*6.87,1)</f>
        <v>85.9</v>
      </c>
      <c r="I15" s="208">
        <f>ROUND(G15/24*7.56,1)</f>
        <v>94.5</v>
      </c>
      <c r="J15" s="601">
        <f xml:space="preserve"> G15/24*430*300*195/ 1000000000</f>
        <v>0.31443749999999998</v>
      </c>
      <c r="K15" s="170">
        <f>CEILING(G15/24,1)</f>
        <v>13</v>
      </c>
      <c r="L15" s="256" t="str">
        <v>33030010</v>
      </c>
      <c r="M15" s="171" t="str">
        <f>INDEX(bhpc_data[country_of_origin],MATCH(Z15,bhpc_data[sku],0))</f>
        <v>SPAIN</v>
      </c>
      <c r="O15" s="214"/>
      <c r="T15" s="204"/>
      <c r="U15" s="204"/>
      <c r="Z15" s="119" t="str">
        <v>P05050</v>
      </c>
    </row>
    <row r="16" spans="1:26" ht="14.5" x14ac:dyDescent="0.35">
      <c r="A16" s="164" t="str">
        <v>P05051</v>
      </c>
      <c r="B16" s="158" t="str">
        <v>BHPC WOMEN 9 EDP 100ML</v>
      </c>
      <c r="C16" s="165"/>
      <c r="D16" s="166"/>
      <c r="E16" s="167"/>
      <c r="F16" s="168" t="s">
        <v>871</v>
      </c>
      <c r="G16" s="169">
        <v>500</v>
      </c>
      <c r="H16" s="207">
        <f>ROUND(G16/24*6.87,1)</f>
        <v>143.1</v>
      </c>
      <c r="I16" s="208">
        <f>ROUND(G16/24*7.56,1)</f>
        <v>157.5</v>
      </c>
      <c r="J16" s="601">
        <f xml:space="preserve"> G16/24*430*300*195/ 1000000000</f>
        <v>0.52406249999999988</v>
      </c>
      <c r="K16" s="170">
        <f>CEILING(G16/24,1)</f>
        <v>21</v>
      </c>
      <c r="L16" s="256" t="str">
        <v>33030010</v>
      </c>
      <c r="M16" s="171" t="str">
        <f>INDEX(bhpc_data[country_of_origin],MATCH(Z16,bhpc_data[sku],0))</f>
        <v>SPAIN</v>
      </c>
      <c r="O16" s="214"/>
      <c r="T16" s="204"/>
      <c r="U16" s="204"/>
      <c r="Z16" s="119" t="str">
        <v>P05051</v>
      </c>
    </row>
    <row r="17" spans="1:21" ht="14.5" x14ac:dyDescent="0.35">
      <c r="A17" s="164"/>
      <c r="B17" s="158"/>
      <c r="C17" s="165"/>
      <c r="D17" s="166"/>
      <c r="E17" s="167"/>
      <c r="F17" s="168"/>
      <c r="G17" s="169"/>
      <c r="H17" s="207"/>
      <c r="I17" s="208"/>
      <c r="J17" s="601"/>
      <c r="K17" s="170"/>
      <c r="L17" s="256"/>
      <c r="M17" s="171"/>
      <c r="O17" s="214"/>
      <c r="T17" s="204"/>
      <c r="U17" s="204"/>
    </row>
    <row r="18" spans="1:21" ht="14.5" x14ac:dyDescent="0.35">
      <c r="A18" s="164"/>
      <c r="B18" s="158"/>
      <c r="C18" s="165"/>
      <c r="D18" s="166"/>
      <c r="E18" s="167"/>
      <c r="F18" s="168"/>
      <c r="G18" s="169"/>
      <c r="H18" s="207"/>
      <c r="I18" s="208"/>
      <c r="J18" s="601"/>
      <c r="K18" s="170"/>
      <c r="L18" s="256"/>
      <c r="M18" s="171"/>
      <c r="O18" s="214"/>
      <c r="T18" s="204"/>
      <c r="U18" s="204"/>
    </row>
    <row r="19" spans="1:21" ht="14.5" x14ac:dyDescent="0.35">
      <c r="A19" s="164"/>
      <c r="B19" s="158"/>
      <c r="C19" s="165"/>
      <c r="D19" s="166"/>
      <c r="E19" s="167"/>
      <c r="F19" s="168"/>
      <c r="G19" s="169"/>
      <c r="H19" s="207"/>
      <c r="I19" s="208"/>
      <c r="J19" s="601"/>
      <c r="K19" s="170"/>
      <c r="L19" s="256"/>
      <c r="M19" s="171"/>
      <c r="O19" s="214"/>
      <c r="T19" s="204"/>
      <c r="U19" s="204"/>
    </row>
    <row r="20" spans="1:21" ht="14.5" x14ac:dyDescent="0.35">
      <c r="A20" s="164"/>
      <c r="B20" s="158"/>
      <c r="C20" s="165"/>
      <c r="D20" s="166"/>
      <c r="E20" s="167"/>
      <c r="F20" s="168"/>
      <c r="G20" s="169"/>
      <c r="H20" s="207"/>
      <c r="I20" s="208"/>
      <c r="J20" s="601"/>
      <c r="K20" s="170"/>
      <c r="L20" s="256"/>
      <c r="M20" s="171"/>
      <c r="O20" s="214"/>
      <c r="T20" s="204"/>
      <c r="U20" s="204"/>
    </row>
    <row r="21" spans="1:21" ht="14.5" x14ac:dyDescent="0.35">
      <c r="A21" s="164"/>
      <c r="B21" s="158"/>
      <c r="C21" s="165"/>
      <c r="D21" s="166"/>
      <c r="E21" s="167"/>
      <c r="F21" s="168"/>
      <c r="G21" s="169"/>
      <c r="H21" s="207"/>
      <c r="I21" s="208"/>
      <c r="J21" s="601"/>
      <c r="K21" s="170"/>
      <c r="L21" s="256"/>
      <c r="M21" s="171"/>
      <c r="O21" s="214"/>
      <c r="T21" s="204"/>
      <c r="U21" s="204"/>
    </row>
    <row r="22" spans="1:21" ht="14.5" x14ac:dyDescent="0.35">
      <c r="A22" s="164"/>
      <c r="B22" s="158"/>
      <c r="C22" s="165"/>
      <c r="D22" s="166"/>
      <c r="E22" s="167"/>
      <c r="F22" s="168"/>
      <c r="G22" s="169"/>
      <c r="H22" s="207"/>
      <c r="I22" s="208"/>
      <c r="J22" s="601"/>
      <c r="K22" s="170"/>
      <c r="L22" s="256"/>
      <c r="M22" s="171"/>
      <c r="O22" s="214"/>
      <c r="T22" s="204"/>
      <c r="U22" s="204"/>
    </row>
    <row r="23" spans="1:21" ht="14.5" x14ac:dyDescent="0.35">
      <c r="A23" s="164"/>
      <c r="B23" s="158"/>
      <c r="C23" s="165"/>
      <c r="D23" s="166"/>
      <c r="E23" s="167"/>
      <c r="F23" s="168"/>
      <c r="G23" s="169"/>
      <c r="H23" s="207"/>
      <c r="I23" s="208"/>
      <c r="J23" s="601"/>
      <c r="K23" s="170"/>
      <c r="L23" s="256"/>
      <c r="M23" s="171"/>
      <c r="O23" s="214"/>
      <c r="T23" s="204"/>
      <c r="U23" s="204"/>
    </row>
    <row r="24" spans="1:21" ht="14.5" x14ac:dyDescent="0.35">
      <c r="A24" s="164"/>
      <c r="B24" s="158"/>
      <c r="C24" s="165"/>
      <c r="D24" s="166"/>
      <c r="E24" s="167"/>
      <c r="F24" s="168"/>
      <c r="G24" s="169"/>
      <c r="H24" s="207"/>
      <c r="I24" s="208"/>
      <c r="J24" s="601"/>
      <c r="K24" s="170"/>
      <c r="L24" s="256"/>
      <c r="M24" s="171"/>
      <c r="T24" s="204"/>
      <c r="U24" s="204"/>
    </row>
    <row r="25" spans="1:21" ht="14.5" x14ac:dyDescent="0.35">
      <c r="A25" s="164"/>
      <c r="B25" s="158"/>
      <c r="C25" s="165"/>
      <c r="D25" s="166"/>
      <c r="E25" s="167"/>
      <c r="F25" s="168"/>
      <c r="G25" s="169"/>
      <c r="H25" s="207"/>
      <c r="I25" s="208"/>
      <c r="J25" s="601"/>
      <c r="K25" s="170"/>
      <c r="L25" s="256"/>
      <c r="M25" s="171"/>
      <c r="T25" s="204"/>
      <c r="U25" s="204"/>
    </row>
    <row r="26" spans="1:21" ht="14.5" x14ac:dyDescent="0.35">
      <c r="A26" s="164"/>
      <c r="B26" s="158"/>
      <c r="C26" s="165"/>
      <c r="D26" s="166"/>
      <c r="E26" s="167"/>
      <c r="F26" s="168"/>
      <c r="G26" s="169"/>
      <c r="H26" s="207"/>
      <c r="I26" s="208"/>
      <c r="J26" s="601"/>
      <c r="K26" s="170"/>
      <c r="L26" s="256"/>
      <c r="M26" s="171"/>
      <c r="T26" s="204"/>
      <c r="U26" s="204"/>
    </row>
    <row r="27" spans="1:21" ht="14.5" x14ac:dyDescent="0.35">
      <c r="A27" s="164"/>
      <c r="B27" s="158"/>
      <c r="C27" s="165"/>
      <c r="D27" s="166"/>
      <c r="E27" s="167"/>
      <c r="F27" s="168"/>
      <c r="G27" s="169"/>
      <c r="H27" s="207"/>
      <c r="I27" s="208"/>
      <c r="J27" s="601"/>
      <c r="K27" s="170"/>
      <c r="L27" s="256"/>
      <c r="M27" s="171"/>
      <c r="T27" s="204"/>
      <c r="U27" s="204"/>
    </row>
    <row r="28" spans="1:21" ht="14.5" x14ac:dyDescent="0.35">
      <c r="A28" s="164"/>
      <c r="B28" s="158"/>
      <c r="C28" s="165"/>
      <c r="D28" s="166"/>
      <c r="E28" s="167"/>
      <c r="F28" s="168"/>
      <c r="G28" s="169"/>
      <c r="H28" s="207"/>
      <c r="I28" s="208"/>
      <c r="J28" s="601"/>
      <c r="K28" s="170"/>
      <c r="L28" s="256"/>
      <c r="M28" s="171"/>
      <c r="T28" s="204"/>
      <c r="U28" s="204"/>
    </row>
    <row r="29" spans="1:21" ht="14.5" x14ac:dyDescent="0.35">
      <c r="A29" s="164"/>
      <c r="B29" s="158"/>
      <c r="C29" s="165"/>
      <c r="D29" s="166"/>
      <c r="E29" s="167"/>
      <c r="F29" s="168"/>
      <c r="G29" s="169"/>
      <c r="H29" s="207"/>
      <c r="I29" s="208"/>
      <c r="J29" s="601"/>
      <c r="K29" s="170"/>
      <c r="L29" s="256"/>
      <c r="M29" s="171"/>
      <c r="T29" s="204"/>
      <c r="U29" s="204"/>
    </row>
    <row r="30" spans="1:21" ht="14.5" x14ac:dyDescent="0.35">
      <c r="A30" s="164"/>
      <c r="B30" s="158"/>
      <c r="C30" s="165"/>
      <c r="D30" s="166"/>
      <c r="E30" s="167"/>
      <c r="F30" s="168"/>
      <c r="G30" s="169"/>
      <c r="H30" s="207"/>
      <c r="I30" s="208"/>
      <c r="J30" s="601"/>
      <c r="K30" s="170"/>
      <c r="L30" s="256"/>
      <c r="M30" s="171"/>
      <c r="T30" s="204"/>
      <c r="U30" s="204"/>
    </row>
    <row r="31" spans="1:21" ht="14.5" x14ac:dyDescent="0.35">
      <c r="A31" s="164"/>
      <c r="B31" s="158"/>
      <c r="C31" s="165"/>
      <c r="D31" s="166"/>
      <c r="E31" s="167"/>
      <c r="F31" s="168"/>
      <c r="G31" s="169"/>
      <c r="H31" s="207"/>
      <c r="I31" s="208"/>
      <c r="J31" s="601"/>
      <c r="K31" s="170"/>
      <c r="L31" s="256"/>
      <c r="M31" s="171"/>
      <c r="T31" s="204"/>
      <c r="U31" s="204"/>
    </row>
    <row r="32" spans="1:21" ht="14.5" x14ac:dyDescent="0.35">
      <c r="A32" s="164"/>
      <c r="B32" s="158"/>
      <c r="C32" s="165"/>
      <c r="D32" s="166"/>
      <c r="E32" s="167"/>
      <c r="F32" s="168"/>
      <c r="G32" s="169"/>
      <c r="H32" s="207"/>
      <c r="I32" s="208"/>
      <c r="J32" s="601"/>
      <c r="K32" s="170"/>
      <c r="L32" s="256"/>
      <c r="M32" s="171"/>
      <c r="T32" s="204"/>
      <c r="U32" s="204"/>
    </row>
    <row r="33" spans="1:21" ht="14.5" x14ac:dyDescent="0.35">
      <c r="A33" s="164"/>
      <c r="B33" s="158"/>
      <c r="C33" s="165"/>
      <c r="D33" s="166"/>
      <c r="E33" s="167"/>
      <c r="F33" s="168"/>
      <c r="G33" s="169"/>
      <c r="H33" s="207"/>
      <c r="I33" s="208"/>
      <c r="J33" s="601"/>
      <c r="K33" s="170"/>
      <c r="L33" s="256"/>
      <c r="M33" s="171"/>
      <c r="T33" s="204"/>
      <c r="U33" s="204"/>
    </row>
    <row r="34" spans="1:21" ht="14.5" x14ac:dyDescent="0.35">
      <c r="A34" s="164"/>
      <c r="B34" s="158"/>
      <c r="C34" s="165"/>
      <c r="D34" s="166"/>
      <c r="E34" s="167"/>
      <c r="F34" s="168"/>
      <c r="G34" s="169"/>
      <c r="H34" s="207"/>
      <c r="I34" s="208"/>
      <c r="J34" s="601"/>
      <c r="K34" s="170"/>
      <c r="L34" s="256"/>
      <c r="M34" s="171"/>
      <c r="T34" s="204"/>
      <c r="U34" s="204"/>
    </row>
    <row r="35" spans="1:21" ht="14.5" x14ac:dyDescent="0.35">
      <c r="A35" s="164"/>
      <c r="B35" s="158"/>
      <c r="C35" s="165"/>
      <c r="D35" s="166"/>
      <c r="E35" s="167"/>
      <c r="F35" s="168"/>
      <c r="G35" s="169"/>
      <c r="H35" s="207"/>
      <c r="I35" s="208"/>
      <c r="J35" s="601"/>
      <c r="K35" s="170"/>
      <c r="L35" s="256"/>
      <c r="M35" s="171"/>
      <c r="T35" s="204"/>
      <c r="U35" s="204"/>
    </row>
    <row r="36" spans="1:21" ht="14.5" x14ac:dyDescent="0.35">
      <c r="A36" s="164"/>
      <c r="B36" s="158"/>
      <c r="C36" s="165"/>
      <c r="D36" s="166"/>
      <c r="E36" s="167"/>
      <c r="F36" s="168"/>
      <c r="G36" s="169"/>
      <c r="H36" s="207"/>
      <c r="I36" s="208"/>
      <c r="J36" s="601"/>
      <c r="K36" s="170"/>
      <c r="L36" s="256"/>
      <c r="M36" s="171"/>
      <c r="T36" s="204"/>
      <c r="U36" s="204"/>
    </row>
    <row r="37" spans="1:21" ht="14.5" x14ac:dyDescent="0.35">
      <c r="A37" s="164"/>
      <c r="B37" s="158"/>
      <c r="C37" s="165"/>
      <c r="D37" s="166"/>
      <c r="E37" s="167"/>
      <c r="F37" s="168"/>
      <c r="G37" s="169"/>
      <c r="H37" s="207"/>
      <c r="I37" s="208"/>
      <c r="J37" s="601"/>
      <c r="K37" s="170"/>
      <c r="L37" s="256"/>
      <c r="M37" s="171"/>
      <c r="T37" s="204"/>
      <c r="U37" s="204"/>
    </row>
    <row r="38" spans="1:21" ht="14.5" x14ac:dyDescent="0.35">
      <c r="A38" s="164"/>
      <c r="B38" s="158"/>
      <c r="C38" s="165"/>
      <c r="D38" s="166"/>
      <c r="E38" s="167"/>
      <c r="F38" s="168"/>
      <c r="G38" s="169"/>
      <c r="H38" s="207"/>
      <c r="I38" s="208"/>
      <c r="J38" s="601"/>
      <c r="K38" s="170"/>
      <c r="L38" s="256"/>
      <c r="M38" s="171"/>
    </row>
    <row r="39" spans="1:21" ht="14.5" x14ac:dyDescent="0.35">
      <c r="A39" s="164"/>
      <c r="B39" s="158"/>
      <c r="C39" s="165"/>
      <c r="D39" s="166"/>
      <c r="E39" s="167"/>
      <c r="F39" s="168"/>
      <c r="G39" s="169"/>
      <c r="H39" s="207"/>
      <c r="I39" s="208"/>
      <c r="J39" s="601"/>
      <c r="K39" s="170"/>
      <c r="L39" s="256"/>
      <c r="M39" s="171"/>
    </row>
    <row r="40" spans="1:21" ht="14.5" x14ac:dyDescent="0.35">
      <c r="A40" s="164"/>
      <c r="B40" s="158"/>
      <c r="C40" s="165"/>
      <c r="D40" s="166"/>
      <c r="E40" s="167"/>
      <c r="F40" s="168"/>
      <c r="G40" s="169"/>
      <c r="H40" s="207"/>
      <c r="I40" s="208"/>
      <c r="J40" s="601"/>
      <c r="K40" s="170"/>
      <c r="L40" s="256"/>
      <c r="M40" s="171"/>
    </row>
    <row r="41" spans="1:21" ht="14.5" x14ac:dyDescent="0.35">
      <c r="A41" s="164"/>
      <c r="B41" s="158"/>
      <c r="C41" s="165"/>
      <c r="D41" s="166"/>
      <c r="E41" s="167"/>
      <c r="F41" s="168"/>
      <c r="G41" s="169"/>
      <c r="H41" s="207"/>
      <c r="I41" s="208"/>
      <c r="J41" s="601"/>
      <c r="K41" s="170"/>
      <c r="L41" s="256"/>
      <c r="M41" s="171"/>
    </row>
    <row r="42" spans="1:21" ht="14.5" x14ac:dyDescent="0.35">
      <c r="A42" s="164"/>
      <c r="B42" s="158"/>
      <c r="C42" s="165"/>
      <c r="D42" s="166"/>
      <c r="E42" s="167"/>
      <c r="F42" s="168"/>
      <c r="G42" s="169"/>
      <c r="H42" s="207"/>
      <c r="I42" s="208"/>
      <c r="J42" s="601"/>
      <c r="K42" s="170"/>
      <c r="L42" s="256"/>
      <c r="M42" s="171"/>
    </row>
    <row r="43" spans="1:21" ht="14.5" x14ac:dyDescent="0.35">
      <c r="A43" s="164"/>
      <c r="B43" s="158"/>
      <c r="C43" s="165"/>
      <c r="D43" s="166"/>
      <c r="E43" s="167"/>
      <c r="F43" s="168"/>
      <c r="G43" s="169"/>
      <c r="H43" s="207"/>
      <c r="I43" s="208"/>
      <c r="J43" s="601"/>
      <c r="K43" s="170"/>
      <c r="L43" s="256"/>
      <c r="M43" s="171"/>
    </row>
    <row r="44" spans="1:21" ht="14.5" x14ac:dyDescent="0.35">
      <c r="A44" s="164"/>
      <c r="B44" s="158"/>
      <c r="C44" s="165"/>
      <c r="D44" s="166"/>
      <c r="E44" s="167"/>
      <c r="F44" s="168"/>
      <c r="G44" s="169"/>
      <c r="H44" s="207"/>
      <c r="I44" s="208"/>
      <c r="J44" s="601"/>
      <c r="K44" s="170"/>
      <c r="L44" s="256"/>
      <c r="M44" s="171"/>
    </row>
    <row r="45" spans="1:21" ht="14.5" x14ac:dyDescent="0.35">
      <c r="A45" s="164"/>
      <c r="B45" s="158"/>
      <c r="C45" s="165"/>
      <c r="D45" s="166"/>
      <c r="E45" s="167"/>
      <c r="F45" s="168"/>
      <c r="G45" s="169"/>
      <c r="H45" s="207"/>
      <c r="I45" s="208"/>
      <c r="J45" s="601"/>
      <c r="K45" s="170"/>
      <c r="L45" s="256"/>
      <c r="M45" s="171"/>
    </row>
    <row r="46" spans="1:21" ht="14.5" x14ac:dyDescent="0.35">
      <c r="A46" s="164"/>
      <c r="B46" s="158"/>
      <c r="C46" s="165"/>
      <c r="D46" s="166"/>
      <c r="E46" s="167"/>
      <c r="F46" s="168"/>
      <c r="G46" s="169"/>
      <c r="H46" s="207"/>
      <c r="I46" s="208"/>
      <c r="J46" s="601"/>
      <c r="K46" s="170"/>
      <c r="L46" s="256"/>
      <c r="M46" s="171"/>
    </row>
    <row r="47" spans="1:21" ht="14.5" x14ac:dyDescent="0.35">
      <c r="A47" s="164"/>
      <c r="B47" s="158"/>
      <c r="C47" s="165"/>
      <c r="D47" s="166"/>
      <c r="E47" s="167"/>
      <c r="F47" s="168"/>
      <c r="G47" s="169"/>
      <c r="H47" s="207"/>
      <c r="I47" s="208"/>
      <c r="J47" s="601"/>
      <c r="K47" s="170"/>
      <c r="L47" s="256"/>
      <c r="M47" s="171"/>
    </row>
    <row r="48" spans="1:21" ht="14.5" x14ac:dyDescent="0.35">
      <c r="A48" s="164"/>
      <c r="B48" s="158"/>
      <c r="C48" s="165"/>
      <c r="D48" s="166"/>
      <c r="E48" s="167"/>
      <c r="F48" s="168"/>
      <c r="G48" s="169"/>
      <c r="H48" s="207"/>
      <c r="I48" s="208"/>
      <c r="J48" s="601"/>
      <c r="K48" s="170"/>
      <c r="L48" s="256"/>
      <c r="M48" s="171"/>
    </row>
    <row r="49" spans="1:13" ht="14.5" x14ac:dyDescent="0.35">
      <c r="A49" s="164"/>
      <c r="B49" s="158"/>
      <c r="C49" s="165"/>
      <c r="D49" s="166"/>
      <c r="E49" s="167"/>
      <c r="F49" s="168"/>
      <c r="G49" s="169"/>
      <c r="H49" s="207"/>
      <c r="I49" s="208"/>
      <c r="J49" s="601"/>
      <c r="K49" s="170"/>
      <c r="L49" s="256"/>
      <c r="M49" s="171"/>
    </row>
    <row r="50" spans="1:13" ht="14.5" x14ac:dyDescent="0.35">
      <c r="A50" s="164"/>
      <c r="B50" s="158"/>
      <c r="C50" s="165"/>
      <c r="D50" s="166"/>
      <c r="E50" s="167"/>
      <c r="F50" s="168"/>
      <c r="G50" s="169"/>
      <c r="H50" s="207"/>
      <c r="I50" s="208"/>
      <c r="J50" s="601"/>
      <c r="K50" s="170"/>
      <c r="L50" s="256"/>
      <c r="M50" s="171"/>
    </row>
    <row r="51" spans="1:13" ht="14.5" x14ac:dyDescent="0.35">
      <c r="A51" s="164"/>
      <c r="B51" s="158"/>
      <c r="C51" s="165"/>
      <c r="D51" s="166"/>
      <c r="E51" s="167"/>
      <c r="F51" s="168"/>
      <c r="G51" s="169"/>
      <c r="H51" s="207"/>
      <c r="I51" s="208"/>
      <c r="J51" s="601"/>
      <c r="K51" s="170"/>
      <c r="L51" s="256"/>
      <c r="M51" s="171"/>
    </row>
    <row r="52" spans="1:13" ht="14.5" x14ac:dyDescent="0.35">
      <c r="A52" s="164"/>
      <c r="B52" s="158"/>
      <c r="C52" s="165"/>
      <c r="D52" s="166"/>
      <c r="E52" s="167"/>
      <c r="F52" s="168"/>
      <c r="G52" s="169"/>
      <c r="H52" s="207"/>
      <c r="I52" s="208"/>
      <c r="J52" s="601"/>
      <c r="K52" s="170"/>
      <c r="L52" s="256"/>
      <c r="M52" s="171"/>
    </row>
    <row r="53" spans="1:13" ht="14.5" x14ac:dyDescent="0.35">
      <c r="A53" s="164"/>
      <c r="B53" s="158"/>
      <c r="C53" s="165"/>
      <c r="D53" s="166"/>
      <c r="E53" s="167"/>
      <c r="F53" s="168"/>
      <c r="G53" s="169"/>
      <c r="H53" s="207"/>
      <c r="I53" s="208"/>
      <c r="J53" s="601"/>
      <c r="K53" s="170"/>
      <c r="L53" s="256"/>
      <c r="M53" s="171"/>
    </row>
    <row r="54" spans="1:13" ht="14.5" x14ac:dyDescent="0.35">
      <c r="A54" s="164"/>
      <c r="B54" s="158"/>
      <c r="C54" s="165"/>
      <c r="D54" s="166"/>
      <c r="E54" s="167"/>
      <c r="F54" s="168"/>
      <c r="G54" s="169"/>
      <c r="H54" s="207"/>
      <c r="I54" s="208"/>
      <c r="J54" s="601"/>
      <c r="K54" s="170"/>
      <c r="L54" s="256"/>
      <c r="M54" s="171"/>
    </row>
    <row r="55" spans="1:13" ht="14.5" x14ac:dyDescent="0.35">
      <c r="A55" s="164"/>
      <c r="B55" s="158"/>
      <c r="C55" s="165"/>
      <c r="D55" s="166"/>
      <c r="E55" s="167"/>
      <c r="F55" s="168"/>
      <c r="G55" s="169"/>
      <c r="H55" s="207"/>
      <c r="I55" s="208"/>
      <c r="J55" s="601"/>
      <c r="K55" s="170"/>
      <c r="L55" s="256"/>
      <c r="M55" s="171"/>
    </row>
    <row r="56" spans="1:13" ht="14.5" x14ac:dyDescent="0.35">
      <c r="A56" s="164"/>
      <c r="B56" s="158"/>
      <c r="C56" s="165"/>
      <c r="D56" s="166"/>
      <c r="E56" s="167"/>
      <c r="F56" s="168"/>
      <c r="G56" s="169"/>
      <c r="H56" s="207"/>
      <c r="I56" s="208"/>
      <c r="J56" s="601"/>
      <c r="K56" s="170"/>
      <c r="L56" s="256"/>
      <c r="M56" s="171"/>
    </row>
    <row r="57" spans="1:13" ht="14.5" x14ac:dyDescent="0.35">
      <c r="A57" s="164"/>
      <c r="B57" s="158"/>
      <c r="C57" s="165"/>
      <c r="D57" s="166"/>
      <c r="E57" s="167"/>
      <c r="F57" s="168"/>
      <c r="G57" s="169"/>
      <c r="H57" s="207"/>
      <c r="I57" s="208"/>
      <c r="J57" s="601"/>
      <c r="K57" s="170"/>
      <c r="L57" s="256"/>
      <c r="M57" s="171"/>
    </row>
    <row r="58" spans="1:13" ht="14.5" x14ac:dyDescent="0.35">
      <c r="A58" s="164"/>
      <c r="B58" s="158"/>
      <c r="C58" s="165"/>
      <c r="D58" s="166"/>
      <c r="E58" s="167"/>
      <c r="F58" s="168"/>
      <c r="G58" s="169"/>
      <c r="H58" s="207"/>
      <c r="I58" s="208"/>
      <c r="J58" s="601"/>
      <c r="K58" s="170"/>
      <c r="L58" s="256"/>
      <c r="M58" s="171"/>
    </row>
    <row r="59" spans="1:13" ht="14.5" x14ac:dyDescent="0.35">
      <c r="A59" s="164"/>
      <c r="B59" s="158"/>
      <c r="C59" s="165"/>
      <c r="D59" s="166"/>
      <c r="E59" s="167"/>
      <c r="F59" s="168"/>
      <c r="G59" s="169"/>
      <c r="H59" s="207"/>
      <c r="I59" s="208"/>
      <c r="J59" s="601"/>
      <c r="K59" s="170"/>
      <c r="L59" s="256"/>
      <c r="M59" s="171"/>
    </row>
    <row r="60" spans="1:13" ht="14.5" x14ac:dyDescent="0.35">
      <c r="A60" s="164"/>
      <c r="B60" s="158"/>
      <c r="C60" s="165"/>
      <c r="D60" s="166"/>
      <c r="E60" s="167"/>
      <c r="F60" s="168"/>
      <c r="G60" s="169"/>
      <c r="H60" s="207"/>
      <c r="I60" s="208"/>
      <c r="J60" s="601"/>
      <c r="K60" s="170"/>
      <c r="L60" s="256"/>
      <c r="M60" s="171"/>
    </row>
    <row r="61" spans="1:13" ht="14.5" x14ac:dyDescent="0.35">
      <c r="A61" s="164"/>
      <c r="B61" s="158"/>
      <c r="C61" s="165"/>
      <c r="D61" s="166"/>
      <c r="E61" s="167"/>
      <c r="F61" s="168"/>
      <c r="G61" s="169"/>
      <c r="H61" s="207"/>
      <c r="I61" s="208"/>
      <c r="J61" s="601"/>
      <c r="K61" s="170"/>
      <c r="L61" s="256"/>
      <c r="M61" s="171"/>
    </row>
    <row r="62" spans="1:13" ht="14.5" x14ac:dyDescent="0.35">
      <c r="A62" s="164"/>
      <c r="B62" s="158"/>
      <c r="C62" s="165"/>
      <c r="D62" s="166"/>
      <c r="E62" s="167"/>
      <c r="F62" s="168"/>
      <c r="G62" s="169"/>
      <c r="H62" s="207"/>
      <c r="I62" s="208"/>
      <c r="J62" s="601"/>
      <c r="K62" s="170"/>
      <c r="L62" s="256"/>
      <c r="M62" s="171"/>
    </row>
    <row r="63" spans="1:13" ht="14.5" x14ac:dyDescent="0.35">
      <c r="A63" s="164"/>
      <c r="B63" s="158"/>
      <c r="C63" s="165"/>
      <c r="D63" s="166"/>
      <c r="E63" s="167"/>
      <c r="F63" s="168"/>
      <c r="G63" s="169"/>
      <c r="H63" s="207"/>
      <c r="I63" s="208"/>
      <c r="J63" s="601"/>
      <c r="K63" s="170"/>
      <c r="L63" s="256"/>
      <c r="M63" s="171"/>
    </row>
    <row r="64" spans="1:13" ht="14.5" x14ac:dyDescent="0.35">
      <c r="A64" s="164"/>
      <c r="B64" s="158"/>
      <c r="C64" s="165"/>
      <c r="D64" s="166"/>
      <c r="E64" s="167"/>
      <c r="F64" s="168"/>
      <c r="G64" s="169"/>
      <c r="H64" s="207"/>
      <c r="I64" s="208"/>
      <c r="J64" s="601"/>
      <c r="K64" s="170"/>
      <c r="L64" s="256"/>
      <c r="M64" s="171"/>
    </row>
    <row r="65" spans="1:13" ht="14.5" x14ac:dyDescent="0.35">
      <c r="A65" s="164"/>
      <c r="B65" s="158"/>
      <c r="C65" s="165"/>
      <c r="D65" s="166"/>
      <c r="E65" s="167"/>
      <c r="F65" s="168"/>
      <c r="G65" s="169"/>
      <c r="H65" s="207"/>
      <c r="I65" s="208"/>
      <c r="J65" s="601"/>
      <c r="K65" s="170"/>
      <c r="L65" s="256"/>
      <c r="M65" s="171"/>
    </row>
    <row r="66" spans="1:13" ht="14.5" x14ac:dyDescent="0.35">
      <c r="A66" s="164"/>
      <c r="B66" s="158"/>
      <c r="C66" s="165"/>
      <c r="D66" s="166"/>
      <c r="E66" s="167"/>
      <c r="F66" s="168"/>
      <c r="G66" s="169"/>
      <c r="H66" s="207"/>
      <c r="I66" s="208"/>
      <c r="J66" s="601"/>
      <c r="K66" s="170"/>
      <c r="L66" s="256"/>
      <c r="M66" s="171"/>
    </row>
    <row r="67" spans="1:13" ht="14.5" x14ac:dyDescent="0.35">
      <c r="A67" s="164"/>
      <c r="B67" s="158"/>
      <c r="C67" s="165"/>
      <c r="D67" s="166"/>
      <c r="E67" s="167"/>
      <c r="F67" s="168"/>
      <c r="G67" s="169"/>
      <c r="H67" s="207"/>
      <c r="I67" s="208"/>
      <c r="J67" s="601"/>
      <c r="K67" s="170"/>
      <c r="L67" s="256"/>
      <c r="M67" s="171"/>
    </row>
    <row r="68" spans="1:13" ht="14.5" x14ac:dyDescent="0.35">
      <c r="A68" s="164"/>
      <c r="B68" s="158"/>
      <c r="C68" s="165"/>
      <c r="D68" s="166"/>
      <c r="E68" s="167"/>
      <c r="F68" s="168"/>
      <c r="G68" s="169"/>
      <c r="H68" s="207"/>
      <c r="I68" s="208"/>
      <c r="J68" s="601"/>
      <c r="K68" s="170"/>
      <c r="L68" s="256"/>
      <c r="M68" s="171"/>
    </row>
    <row r="69" spans="1:13" ht="14.5" x14ac:dyDescent="0.35">
      <c r="A69" s="164"/>
      <c r="B69" s="158"/>
      <c r="C69" s="165"/>
      <c r="D69" s="166"/>
      <c r="E69" s="167"/>
      <c r="F69" s="168"/>
      <c r="G69" s="169"/>
      <c r="H69" s="207"/>
      <c r="I69" s="208"/>
      <c r="J69" s="601"/>
      <c r="K69" s="170"/>
      <c r="L69" s="256"/>
      <c r="M69" s="171"/>
    </row>
    <row r="70" spans="1:13" ht="14.5" x14ac:dyDescent="0.35">
      <c r="A70" s="164"/>
      <c r="B70" s="158"/>
      <c r="C70" s="165"/>
      <c r="D70" s="166"/>
      <c r="E70" s="167"/>
      <c r="F70" s="168"/>
      <c r="G70" s="169"/>
      <c r="H70" s="207"/>
      <c r="I70" s="208"/>
      <c r="J70" s="601"/>
      <c r="K70" s="170"/>
      <c r="L70" s="256"/>
      <c r="M70" s="171"/>
    </row>
    <row r="71" spans="1:13" ht="14.5" x14ac:dyDescent="0.35">
      <c r="A71" s="164"/>
      <c r="B71" s="158"/>
      <c r="C71" s="165"/>
      <c r="D71" s="166"/>
      <c r="E71" s="167"/>
      <c r="F71" s="168"/>
      <c r="G71" s="169"/>
      <c r="H71" s="207"/>
      <c r="I71" s="208"/>
      <c r="J71" s="601"/>
      <c r="K71" s="170"/>
      <c r="L71" s="256"/>
      <c r="M71" s="171"/>
    </row>
    <row r="72" spans="1:13" ht="14.5" x14ac:dyDescent="0.35">
      <c r="A72" s="164"/>
      <c r="B72" s="158"/>
      <c r="C72" s="165"/>
      <c r="D72" s="166"/>
      <c r="E72" s="167"/>
      <c r="F72" s="168"/>
      <c r="G72" s="169"/>
      <c r="H72" s="207"/>
      <c r="I72" s="208"/>
      <c r="J72" s="601"/>
      <c r="K72" s="170"/>
      <c r="L72" s="256"/>
      <c r="M72" s="171"/>
    </row>
    <row r="73" spans="1:13" ht="14.5" x14ac:dyDescent="0.35">
      <c r="A73" s="164"/>
      <c r="B73" s="158"/>
      <c r="C73" s="165"/>
      <c r="D73" s="166"/>
      <c r="E73" s="167"/>
      <c r="F73" s="168"/>
      <c r="G73" s="169"/>
      <c r="H73" s="207"/>
      <c r="I73" s="208"/>
      <c r="J73" s="601"/>
      <c r="K73" s="170"/>
      <c r="L73" s="256"/>
      <c r="M73" s="171"/>
    </row>
    <row r="74" spans="1:13" ht="14.5" x14ac:dyDescent="0.35">
      <c r="A74" s="164"/>
      <c r="B74" s="158"/>
      <c r="C74" s="165"/>
      <c r="D74" s="166"/>
      <c r="E74" s="167"/>
      <c r="F74" s="168"/>
      <c r="G74" s="169"/>
      <c r="H74" s="207"/>
      <c r="I74" s="208"/>
      <c r="J74" s="601"/>
      <c r="K74" s="170"/>
      <c r="L74" s="256"/>
      <c r="M74" s="171"/>
    </row>
    <row r="75" spans="1:13" ht="14.5" x14ac:dyDescent="0.35">
      <c r="A75" s="164"/>
      <c r="B75" s="158"/>
      <c r="C75" s="165"/>
      <c r="D75" s="166"/>
      <c r="E75" s="167"/>
      <c r="F75" s="168"/>
      <c r="G75" s="169"/>
      <c r="H75" s="207"/>
      <c r="I75" s="208"/>
      <c r="J75" s="601"/>
      <c r="K75" s="170"/>
      <c r="L75" s="256"/>
      <c r="M75" s="171"/>
    </row>
    <row r="76" spans="1:13" ht="14.5" x14ac:dyDescent="0.35">
      <c r="A76" s="164"/>
      <c r="B76" s="158"/>
      <c r="C76" s="165"/>
      <c r="D76" s="166"/>
      <c r="E76" s="167"/>
      <c r="F76" s="168"/>
      <c r="G76" s="169"/>
      <c r="H76" s="207"/>
      <c r="I76" s="208"/>
      <c r="J76" s="601"/>
      <c r="K76" s="170"/>
      <c r="L76" s="256"/>
      <c r="M76" s="171"/>
    </row>
    <row r="77" spans="1:13" ht="14.5" x14ac:dyDescent="0.35">
      <c r="A77" s="164"/>
      <c r="B77" s="158"/>
      <c r="C77" s="165"/>
      <c r="D77" s="166"/>
      <c r="E77" s="167"/>
      <c r="F77" s="168"/>
      <c r="G77" s="169"/>
      <c r="H77" s="207"/>
      <c r="I77" s="208"/>
      <c r="J77" s="601"/>
      <c r="K77" s="170"/>
      <c r="L77" s="256"/>
      <c r="M77" s="171"/>
    </row>
    <row r="78" spans="1:13" ht="14.5" x14ac:dyDescent="0.35">
      <c r="A78" s="164"/>
      <c r="B78" s="158"/>
      <c r="C78" s="165"/>
      <c r="D78" s="166"/>
      <c r="E78" s="167"/>
      <c r="F78" s="168"/>
      <c r="G78" s="169"/>
      <c r="H78" s="207"/>
      <c r="I78" s="208"/>
      <c r="J78" s="601"/>
      <c r="K78" s="170"/>
      <c r="L78" s="256"/>
      <c r="M78" s="171"/>
    </row>
    <row r="79" spans="1:13" ht="14.5" x14ac:dyDescent="0.35">
      <c r="A79" s="164"/>
      <c r="B79" s="158"/>
      <c r="C79" s="165"/>
      <c r="D79" s="166"/>
      <c r="E79" s="167"/>
      <c r="F79" s="168"/>
      <c r="G79" s="169"/>
      <c r="H79" s="207"/>
      <c r="I79" s="208"/>
      <c r="J79" s="601"/>
      <c r="K79" s="170"/>
      <c r="L79" s="256"/>
      <c r="M79" s="171"/>
    </row>
    <row r="80" spans="1:13" ht="14.5" x14ac:dyDescent="0.35">
      <c r="A80" s="164"/>
      <c r="B80" s="158"/>
      <c r="C80" s="165"/>
      <c r="D80" s="166"/>
      <c r="E80" s="167"/>
      <c r="F80" s="168"/>
      <c r="G80" s="169"/>
      <c r="H80" s="207"/>
      <c r="I80" s="208"/>
      <c r="J80" s="601"/>
      <c r="K80" s="170"/>
      <c r="L80" s="256"/>
      <c r="M80" s="171"/>
    </row>
    <row r="81" spans="1:13" ht="14.5" x14ac:dyDescent="0.35">
      <c r="A81" s="164"/>
      <c r="B81" s="158"/>
      <c r="C81" s="165"/>
      <c r="D81" s="166"/>
      <c r="E81" s="167"/>
      <c r="F81" s="168"/>
      <c r="G81" s="169"/>
      <c r="H81" s="207"/>
      <c r="I81" s="208"/>
      <c r="J81" s="601"/>
      <c r="K81" s="170"/>
      <c r="L81" s="256"/>
      <c r="M81" s="171"/>
    </row>
    <row r="82" spans="1:13" ht="14.5" x14ac:dyDescent="0.35">
      <c r="A82" s="164"/>
      <c r="B82" s="158"/>
      <c r="C82" s="165"/>
      <c r="D82" s="166"/>
      <c r="E82" s="167"/>
      <c r="F82" s="168"/>
      <c r="G82" s="169"/>
      <c r="H82" s="207"/>
      <c r="I82" s="208"/>
      <c r="J82" s="601"/>
      <c r="K82" s="170"/>
      <c r="L82" s="256"/>
      <c r="M82" s="171"/>
    </row>
    <row r="83" spans="1:13" ht="14.5" x14ac:dyDescent="0.35">
      <c r="A83" s="164"/>
      <c r="B83" s="158"/>
      <c r="C83" s="165"/>
      <c r="D83" s="166"/>
      <c r="E83" s="167"/>
      <c r="F83" s="168"/>
      <c r="G83" s="169"/>
      <c r="H83" s="207"/>
      <c r="I83" s="208"/>
      <c r="J83" s="601"/>
      <c r="K83" s="170"/>
      <c r="L83" s="256"/>
      <c r="M83" s="171"/>
    </row>
    <row r="84" spans="1:13" ht="14.5" x14ac:dyDescent="0.35">
      <c r="A84" s="164"/>
      <c r="B84" s="158"/>
      <c r="C84" s="165"/>
      <c r="D84" s="166"/>
      <c r="E84" s="167"/>
      <c r="F84" s="168"/>
      <c r="G84" s="169"/>
      <c r="H84" s="207"/>
      <c r="I84" s="208"/>
      <c r="J84" s="601"/>
      <c r="K84" s="170"/>
      <c r="L84" s="256"/>
      <c r="M84" s="171"/>
    </row>
    <row r="85" spans="1:13" ht="14.5" x14ac:dyDescent="0.35">
      <c r="A85" s="164"/>
      <c r="B85" s="158"/>
      <c r="C85" s="165"/>
      <c r="D85" s="166"/>
      <c r="E85" s="167"/>
      <c r="F85" s="168"/>
      <c r="G85" s="169"/>
      <c r="H85" s="207"/>
      <c r="I85" s="208"/>
      <c r="J85" s="601"/>
      <c r="K85" s="170"/>
      <c r="L85" s="256"/>
      <c r="M85" s="171"/>
    </row>
    <row r="86" spans="1:13" ht="14.5" x14ac:dyDescent="0.35">
      <c r="A86" s="164"/>
      <c r="B86" s="158"/>
      <c r="C86" s="165"/>
      <c r="D86" s="166"/>
      <c r="E86" s="167"/>
      <c r="F86" s="168"/>
      <c r="G86" s="169"/>
      <c r="H86" s="207"/>
      <c r="I86" s="208"/>
      <c r="J86" s="601"/>
      <c r="K86" s="170"/>
      <c r="L86" s="256"/>
      <c r="M86" s="171"/>
    </row>
    <row r="87" spans="1:13" ht="14.5" x14ac:dyDescent="0.35">
      <c r="A87" s="164"/>
      <c r="B87" s="158"/>
      <c r="C87" s="165"/>
      <c r="D87" s="166"/>
      <c r="E87" s="167"/>
      <c r="F87" s="168"/>
      <c r="G87" s="169"/>
      <c r="H87" s="207"/>
      <c r="I87" s="208"/>
      <c r="J87" s="601"/>
      <c r="K87" s="170"/>
      <c r="L87" s="256"/>
      <c r="M87" s="171"/>
    </row>
    <row r="88" spans="1:13" ht="14.5" x14ac:dyDescent="0.35">
      <c r="A88" s="164"/>
      <c r="B88" s="158"/>
      <c r="C88" s="165"/>
      <c r="D88" s="166"/>
      <c r="E88" s="167"/>
      <c r="F88" s="168"/>
      <c r="G88" s="169"/>
      <c r="H88" s="207"/>
      <c r="I88" s="208"/>
      <c r="J88" s="601"/>
      <c r="K88" s="170"/>
      <c r="L88" s="256"/>
      <c r="M88" s="171"/>
    </row>
    <row r="89" spans="1:13" ht="14.5" x14ac:dyDescent="0.35">
      <c r="A89" s="164"/>
      <c r="B89" s="158"/>
      <c r="C89" s="165"/>
      <c r="D89" s="166"/>
      <c r="E89" s="167"/>
      <c r="F89" s="168"/>
      <c r="G89" s="169"/>
      <c r="H89" s="207"/>
      <c r="I89" s="208"/>
      <c r="J89" s="601"/>
      <c r="K89" s="170"/>
      <c r="L89" s="256"/>
      <c r="M89" s="171"/>
    </row>
    <row r="90" spans="1:13" ht="14.5" x14ac:dyDescent="0.35">
      <c r="A90" s="164"/>
      <c r="B90" s="158"/>
      <c r="C90" s="165"/>
      <c r="D90" s="166"/>
      <c r="E90" s="167"/>
      <c r="F90" s="168"/>
      <c r="G90" s="169"/>
      <c r="H90" s="207"/>
      <c r="I90" s="208"/>
      <c r="J90" s="601"/>
      <c r="K90" s="170"/>
      <c r="L90" s="256"/>
      <c r="M90" s="171"/>
    </row>
    <row r="91" spans="1:13" ht="14.5" x14ac:dyDescent="0.35">
      <c r="A91" s="164"/>
      <c r="B91" s="158"/>
      <c r="C91" s="165"/>
      <c r="D91" s="166"/>
      <c r="E91" s="167"/>
      <c r="F91" s="168"/>
      <c r="G91" s="169"/>
      <c r="H91" s="207"/>
      <c r="I91" s="208"/>
      <c r="J91" s="601"/>
      <c r="K91" s="170"/>
      <c r="L91" s="256"/>
      <c r="M91" s="171"/>
    </row>
    <row r="92" spans="1:13" ht="14.5" x14ac:dyDescent="0.35">
      <c r="A92" s="164"/>
      <c r="B92" s="158"/>
      <c r="C92" s="165"/>
      <c r="D92" s="166"/>
      <c r="E92" s="167"/>
      <c r="F92" s="168"/>
      <c r="G92" s="169"/>
      <c r="H92" s="207"/>
      <c r="I92" s="208"/>
      <c r="J92" s="601"/>
      <c r="K92" s="170"/>
      <c r="L92" s="256"/>
      <c r="M92" s="171"/>
    </row>
    <row r="93" spans="1:13" ht="14.5" x14ac:dyDescent="0.35">
      <c r="A93" s="164"/>
      <c r="B93" s="158"/>
      <c r="C93" s="165"/>
      <c r="D93" s="166"/>
      <c r="E93" s="167"/>
      <c r="F93" s="168"/>
      <c r="G93" s="169"/>
      <c r="H93" s="207"/>
      <c r="I93" s="208"/>
      <c r="J93" s="601"/>
      <c r="K93" s="170"/>
      <c r="L93" s="256"/>
      <c r="M93" s="171"/>
    </row>
    <row r="94" spans="1:13" ht="14.5" x14ac:dyDescent="0.35">
      <c r="A94" s="164"/>
      <c r="B94" s="158"/>
      <c r="C94" s="165"/>
      <c r="D94" s="166"/>
      <c r="E94" s="167"/>
      <c r="F94" s="168"/>
      <c r="G94" s="169"/>
      <c r="H94" s="207"/>
      <c r="I94" s="208"/>
      <c r="J94" s="601"/>
      <c r="K94" s="170"/>
      <c r="L94" s="256"/>
      <c r="M94" s="171"/>
    </row>
    <row r="95" spans="1:13" ht="14.5" x14ac:dyDescent="0.35">
      <c r="A95" s="164"/>
      <c r="B95" s="158"/>
      <c r="C95" s="165"/>
      <c r="D95" s="166"/>
      <c r="E95" s="167"/>
      <c r="F95" s="168"/>
      <c r="G95" s="169"/>
      <c r="H95" s="207"/>
      <c r="I95" s="208"/>
      <c r="J95" s="601"/>
      <c r="K95" s="170"/>
      <c r="L95" s="256"/>
      <c r="M95" s="171"/>
    </row>
    <row r="96" spans="1:13" ht="14.5" x14ac:dyDescent="0.35">
      <c r="A96" s="164"/>
      <c r="B96" s="158"/>
      <c r="C96" s="165"/>
      <c r="D96" s="166"/>
      <c r="E96" s="167"/>
      <c r="F96" s="168"/>
      <c r="G96" s="169"/>
      <c r="H96" s="207"/>
      <c r="I96" s="208"/>
      <c r="J96" s="601"/>
      <c r="K96" s="170"/>
      <c r="L96" s="256"/>
      <c r="M96" s="171"/>
    </row>
    <row r="97" spans="1:13" ht="14.5" x14ac:dyDescent="0.35">
      <c r="A97" s="164"/>
      <c r="B97" s="158"/>
      <c r="C97" s="165"/>
      <c r="D97" s="166"/>
      <c r="E97" s="167"/>
      <c r="F97" s="168"/>
      <c r="G97" s="169"/>
      <c r="H97" s="207"/>
      <c r="I97" s="208"/>
      <c r="J97" s="601"/>
      <c r="K97" s="170"/>
      <c r="L97" s="256"/>
      <c r="M97" s="171"/>
    </row>
    <row r="98" spans="1:13" ht="14.5" x14ac:dyDescent="0.35">
      <c r="A98" s="164"/>
      <c r="B98" s="158"/>
      <c r="C98" s="165"/>
      <c r="D98" s="166"/>
      <c r="E98" s="167"/>
      <c r="F98" s="168"/>
      <c r="G98" s="169"/>
      <c r="H98" s="207"/>
      <c r="I98" s="208"/>
      <c r="J98" s="601"/>
      <c r="K98" s="170"/>
      <c r="L98" s="256"/>
      <c r="M98" s="171"/>
    </row>
    <row r="99" spans="1:13" ht="14.5" x14ac:dyDescent="0.35">
      <c r="A99" s="164"/>
      <c r="B99" s="158"/>
      <c r="C99" s="165"/>
      <c r="D99" s="166"/>
      <c r="E99" s="167"/>
      <c r="F99" s="168"/>
      <c r="G99" s="169"/>
      <c r="H99" s="207"/>
      <c r="I99" s="208"/>
      <c r="J99" s="601"/>
      <c r="K99" s="170"/>
      <c r="L99" s="256"/>
      <c r="M99" s="171"/>
    </row>
    <row r="100" spans="1:13" ht="14.5" x14ac:dyDescent="0.35">
      <c r="A100" s="164"/>
      <c r="B100" s="158"/>
      <c r="C100" s="165"/>
      <c r="D100" s="166"/>
      <c r="E100" s="167"/>
      <c r="F100" s="168"/>
      <c r="G100" s="169"/>
      <c r="H100" s="207"/>
      <c r="I100" s="208"/>
      <c r="J100" s="601"/>
      <c r="K100" s="170"/>
      <c r="L100" s="256"/>
      <c r="M100" s="171"/>
    </row>
    <row r="101" spans="1:13" ht="14.5" x14ac:dyDescent="0.35">
      <c r="A101" s="164"/>
      <c r="B101" s="158"/>
      <c r="C101" s="165"/>
      <c r="D101" s="166"/>
      <c r="E101" s="167"/>
      <c r="F101" s="168"/>
      <c r="G101" s="169"/>
      <c r="H101" s="207"/>
      <c r="I101" s="208"/>
      <c r="J101" s="601"/>
      <c r="K101" s="170"/>
      <c r="L101" s="256"/>
      <c r="M101" s="171"/>
    </row>
    <row r="102" spans="1:13" ht="14.5" x14ac:dyDescent="0.35">
      <c r="A102" s="164"/>
      <c r="B102" s="158"/>
      <c r="C102" s="165"/>
      <c r="D102" s="166"/>
      <c r="E102" s="167"/>
      <c r="F102" s="168"/>
      <c r="G102" s="169"/>
      <c r="H102" s="207"/>
      <c r="I102" s="208"/>
      <c r="J102" s="601"/>
      <c r="K102" s="170"/>
      <c r="L102" s="256"/>
      <c r="M102" s="171"/>
    </row>
    <row r="103" spans="1:13" ht="14.5" x14ac:dyDescent="0.35">
      <c r="A103" s="164"/>
      <c r="B103" s="158"/>
      <c r="C103" s="165"/>
      <c r="D103" s="166"/>
      <c r="E103" s="167"/>
      <c r="F103" s="168"/>
      <c r="G103" s="169"/>
      <c r="H103" s="207"/>
      <c r="I103" s="208"/>
      <c r="J103" s="601"/>
      <c r="K103" s="170"/>
      <c r="L103" s="256"/>
      <c r="M103" s="171"/>
    </row>
    <row r="104" spans="1:13" ht="14.5" x14ac:dyDescent="0.35">
      <c r="A104" s="164"/>
      <c r="B104" s="158"/>
      <c r="C104" s="165"/>
      <c r="D104" s="166"/>
      <c r="E104" s="167"/>
      <c r="F104" s="168"/>
      <c r="G104" s="169"/>
      <c r="H104" s="207"/>
      <c r="I104" s="208"/>
      <c r="J104" s="601"/>
      <c r="K104" s="170"/>
      <c r="L104" s="256"/>
      <c r="M104" s="171"/>
    </row>
    <row r="105" spans="1:13" ht="14.5" x14ac:dyDescent="0.35">
      <c r="A105" s="164"/>
      <c r="B105" s="158"/>
      <c r="C105" s="165"/>
      <c r="D105" s="166"/>
      <c r="E105" s="167"/>
      <c r="F105" s="168"/>
      <c r="G105" s="169"/>
      <c r="H105" s="207"/>
      <c r="I105" s="208"/>
      <c r="J105" s="601"/>
      <c r="K105" s="170"/>
      <c r="L105" s="256"/>
      <c r="M105" s="171"/>
    </row>
    <row r="106" spans="1:13" ht="14.5" x14ac:dyDescent="0.35">
      <c r="A106" s="164"/>
      <c r="B106" s="158"/>
      <c r="C106" s="165"/>
      <c r="D106" s="166"/>
      <c r="E106" s="167"/>
      <c r="F106" s="168"/>
      <c r="G106" s="169"/>
      <c r="H106" s="207"/>
      <c r="I106" s="208"/>
      <c r="J106" s="601"/>
      <c r="K106" s="170"/>
      <c r="L106" s="256"/>
      <c r="M106" s="171"/>
    </row>
    <row r="107" spans="1:13" ht="14.5" x14ac:dyDescent="0.35">
      <c r="A107" s="164"/>
      <c r="B107" s="158"/>
      <c r="C107" s="165"/>
      <c r="D107" s="166"/>
      <c r="E107" s="167"/>
      <c r="F107" s="168"/>
      <c r="G107" s="169"/>
      <c r="H107" s="207"/>
      <c r="I107" s="208"/>
      <c r="J107" s="601"/>
      <c r="K107" s="170"/>
      <c r="L107" s="256"/>
      <c r="M107" s="171"/>
    </row>
    <row r="108" spans="1:13" ht="14.5" x14ac:dyDescent="0.35">
      <c r="A108" s="164"/>
      <c r="B108" s="158"/>
      <c r="C108" s="165"/>
      <c r="D108" s="166"/>
      <c r="E108" s="167"/>
      <c r="F108" s="168"/>
      <c r="G108" s="169"/>
      <c r="H108" s="207"/>
      <c r="I108" s="208"/>
      <c r="J108" s="601"/>
      <c r="K108" s="170"/>
      <c r="L108" s="256"/>
      <c r="M108" s="171"/>
    </row>
    <row r="109" spans="1:13" ht="14.5" x14ac:dyDescent="0.35">
      <c r="A109" s="164"/>
      <c r="B109" s="158"/>
      <c r="C109" s="165"/>
      <c r="D109" s="166"/>
      <c r="E109" s="167"/>
      <c r="F109" s="168"/>
      <c r="G109" s="169"/>
      <c r="H109" s="207"/>
      <c r="I109" s="208"/>
      <c r="J109" s="601"/>
      <c r="K109" s="170"/>
      <c r="L109" s="256"/>
      <c r="M109" s="171"/>
    </row>
    <row r="110" spans="1:13" ht="14.5" x14ac:dyDescent="0.35">
      <c r="A110" s="164"/>
      <c r="B110" s="158"/>
      <c r="C110" s="165"/>
      <c r="D110" s="166"/>
      <c r="E110" s="167"/>
      <c r="F110" s="168"/>
      <c r="G110" s="169"/>
      <c r="H110" s="207"/>
      <c r="I110" s="208"/>
      <c r="J110" s="601"/>
      <c r="K110" s="170"/>
      <c r="L110" s="256"/>
      <c r="M110" s="171"/>
    </row>
    <row r="111" spans="1:13" ht="14.5" x14ac:dyDescent="0.35">
      <c r="A111" s="164"/>
      <c r="B111" s="158"/>
      <c r="C111" s="165"/>
      <c r="D111" s="166"/>
      <c r="E111" s="167"/>
      <c r="F111" s="168"/>
      <c r="G111" s="169"/>
      <c r="H111" s="207"/>
      <c r="I111" s="208"/>
      <c r="J111" s="601"/>
      <c r="K111" s="170"/>
      <c r="L111" s="256"/>
      <c r="M111" s="171"/>
    </row>
    <row r="112" spans="1:13" ht="14.5" x14ac:dyDescent="0.35">
      <c r="A112" s="164"/>
      <c r="B112" s="158"/>
      <c r="C112" s="165"/>
      <c r="D112" s="166"/>
      <c r="E112" s="167"/>
      <c r="F112" s="168"/>
      <c r="G112" s="169"/>
      <c r="H112" s="207"/>
      <c r="I112" s="208"/>
      <c r="J112" s="601"/>
      <c r="K112" s="170"/>
      <c r="L112" s="256"/>
      <c r="M112" s="171"/>
    </row>
    <row r="113" spans="1:13" ht="14.5" x14ac:dyDescent="0.35">
      <c r="A113" s="164"/>
      <c r="B113" s="158"/>
      <c r="C113" s="165"/>
      <c r="D113" s="166"/>
      <c r="E113" s="167"/>
      <c r="F113" s="168"/>
      <c r="G113" s="169"/>
      <c r="H113" s="207"/>
      <c r="I113" s="208"/>
      <c r="J113" s="601"/>
      <c r="K113" s="170"/>
      <c r="L113" s="256"/>
      <c r="M113" s="171"/>
    </row>
    <row r="114" spans="1:13" ht="14.5" x14ac:dyDescent="0.35">
      <c r="A114" s="164"/>
      <c r="B114" s="158"/>
      <c r="C114" s="165"/>
      <c r="D114" s="166"/>
      <c r="E114" s="167"/>
      <c r="F114" s="168"/>
      <c r="G114" s="169"/>
      <c r="H114" s="207"/>
      <c r="I114" s="208"/>
      <c r="J114" s="601"/>
      <c r="K114" s="170"/>
      <c r="L114" s="256"/>
      <c r="M114" s="171"/>
    </row>
    <row r="115" spans="1:13" ht="14.5" x14ac:dyDescent="0.35">
      <c r="A115" s="164"/>
      <c r="B115" s="158"/>
      <c r="C115" s="165"/>
      <c r="D115" s="166"/>
      <c r="E115" s="167"/>
      <c r="F115" s="168"/>
      <c r="G115" s="169"/>
      <c r="H115" s="207"/>
      <c r="I115" s="208"/>
      <c r="J115" s="601"/>
      <c r="K115" s="170"/>
      <c r="L115" s="256"/>
      <c r="M115" s="171"/>
    </row>
    <row r="116" spans="1:13" ht="14.5" x14ac:dyDescent="0.35">
      <c r="A116" s="164"/>
      <c r="B116" s="158"/>
      <c r="C116" s="165"/>
      <c r="D116" s="166"/>
      <c r="E116" s="167"/>
      <c r="F116" s="168"/>
      <c r="G116" s="169"/>
      <c r="H116" s="207"/>
      <c r="I116" s="208"/>
      <c r="J116" s="601"/>
      <c r="K116" s="170"/>
      <c r="L116" s="256"/>
      <c r="M116" s="171"/>
    </row>
    <row r="117" spans="1:13" ht="14.5" x14ac:dyDescent="0.35">
      <c r="A117" s="164"/>
      <c r="B117" s="158"/>
      <c r="C117" s="165"/>
      <c r="D117" s="166"/>
      <c r="E117" s="167"/>
      <c r="F117" s="168"/>
      <c r="G117" s="169"/>
      <c r="H117" s="207"/>
      <c r="I117" s="208"/>
      <c r="J117" s="601"/>
      <c r="K117" s="170"/>
      <c r="L117" s="256"/>
      <c r="M117" s="171"/>
    </row>
    <row r="118" spans="1:13" ht="14.5" x14ac:dyDescent="0.35">
      <c r="A118" s="164"/>
      <c r="B118" s="158"/>
      <c r="C118" s="165"/>
      <c r="D118" s="166"/>
      <c r="E118" s="167"/>
      <c r="F118" s="168"/>
      <c r="G118" s="169"/>
      <c r="H118" s="207"/>
      <c r="I118" s="208"/>
      <c r="J118" s="601"/>
      <c r="K118" s="170"/>
      <c r="L118" s="256"/>
      <c r="M118" s="171"/>
    </row>
    <row r="119" spans="1:13" ht="14.5" x14ac:dyDescent="0.35">
      <c r="A119" s="164"/>
      <c r="B119" s="158"/>
      <c r="C119" s="165"/>
      <c r="D119" s="166"/>
      <c r="E119" s="167"/>
      <c r="F119" s="168"/>
      <c r="G119" s="169"/>
      <c r="H119" s="207"/>
      <c r="I119" s="208"/>
      <c r="J119" s="601"/>
      <c r="K119" s="170"/>
      <c r="L119" s="256"/>
      <c r="M119" s="171"/>
    </row>
    <row r="120" spans="1:13" ht="14.5" x14ac:dyDescent="0.35">
      <c r="A120" s="164"/>
      <c r="B120" s="158"/>
      <c r="C120" s="165"/>
      <c r="D120" s="166"/>
      <c r="E120" s="167"/>
      <c r="F120" s="168"/>
      <c r="G120" s="169"/>
      <c r="H120" s="207"/>
      <c r="I120" s="208"/>
      <c r="J120" s="601"/>
      <c r="K120" s="170"/>
      <c r="L120" s="256"/>
      <c r="M120" s="171"/>
    </row>
    <row r="121" spans="1:13" ht="14.5" x14ac:dyDescent="0.35">
      <c r="A121" s="164"/>
      <c r="B121" s="158"/>
      <c r="C121" s="165"/>
      <c r="D121" s="166"/>
      <c r="E121" s="167"/>
      <c r="F121" s="168"/>
      <c r="G121" s="169"/>
      <c r="H121" s="207"/>
      <c r="I121" s="208"/>
      <c r="J121" s="601"/>
      <c r="K121" s="170"/>
      <c r="L121" s="256"/>
      <c r="M121" s="171"/>
    </row>
    <row r="122" spans="1:13" ht="14.5" x14ac:dyDescent="0.35">
      <c r="A122" s="164"/>
      <c r="B122" s="158"/>
      <c r="C122" s="165"/>
      <c r="D122" s="166"/>
      <c r="E122" s="167"/>
      <c r="F122" s="168"/>
      <c r="G122" s="169"/>
      <c r="H122" s="207"/>
      <c r="I122" s="208"/>
      <c r="J122" s="601"/>
      <c r="K122" s="170"/>
      <c r="L122" s="256"/>
      <c r="M122" s="171"/>
    </row>
    <row r="123" spans="1:13" ht="14.5" x14ac:dyDescent="0.35">
      <c r="A123" s="164"/>
      <c r="B123" s="158"/>
      <c r="C123" s="165"/>
      <c r="D123" s="166"/>
      <c r="E123" s="167"/>
      <c r="F123" s="168"/>
      <c r="G123" s="169"/>
      <c r="H123" s="207"/>
      <c r="I123" s="208"/>
      <c r="J123" s="601"/>
      <c r="K123" s="170"/>
      <c r="L123" s="256"/>
      <c r="M123" s="171"/>
    </row>
    <row r="124" spans="1:13" ht="14.5" x14ac:dyDescent="0.35">
      <c r="A124" s="164"/>
      <c r="B124" s="158"/>
      <c r="C124" s="165"/>
      <c r="D124" s="166"/>
      <c r="E124" s="167"/>
      <c r="F124" s="168"/>
      <c r="G124" s="169"/>
      <c r="H124" s="207"/>
      <c r="I124" s="208"/>
      <c r="J124" s="601"/>
      <c r="K124" s="170"/>
      <c r="L124" s="256"/>
      <c r="M124" s="171"/>
    </row>
    <row r="125" spans="1:13" ht="14.5" x14ac:dyDescent="0.35">
      <c r="A125" s="164"/>
      <c r="B125" s="158"/>
      <c r="C125" s="165"/>
      <c r="D125" s="166"/>
      <c r="E125" s="167"/>
      <c r="F125" s="168"/>
      <c r="G125" s="169"/>
      <c r="H125" s="207"/>
      <c r="I125" s="208"/>
      <c r="J125" s="601"/>
      <c r="K125" s="170"/>
      <c r="L125" s="256"/>
      <c r="M125" s="171"/>
    </row>
    <row r="126" spans="1:13" ht="14.5" x14ac:dyDescent="0.35">
      <c r="A126" s="164"/>
      <c r="B126" s="158"/>
      <c r="C126" s="165"/>
      <c r="D126" s="166"/>
      <c r="E126" s="167"/>
      <c r="F126" s="168"/>
      <c r="G126" s="169"/>
      <c r="H126" s="207"/>
      <c r="I126" s="208"/>
      <c r="J126" s="601"/>
      <c r="K126" s="170"/>
      <c r="L126" s="256"/>
      <c r="M126" s="171"/>
    </row>
    <row r="127" spans="1:13" ht="14.5" x14ac:dyDescent="0.35">
      <c r="A127" s="164"/>
      <c r="B127" s="158"/>
      <c r="C127" s="165"/>
      <c r="D127" s="166"/>
      <c r="E127" s="167"/>
      <c r="F127" s="168"/>
      <c r="G127" s="169"/>
      <c r="H127" s="207"/>
      <c r="I127" s="208"/>
      <c r="J127" s="601"/>
      <c r="K127" s="170"/>
      <c r="L127" s="256"/>
      <c r="M127" s="171"/>
    </row>
    <row r="128" spans="1:13" ht="14.5" x14ac:dyDescent="0.35">
      <c r="A128" s="164"/>
      <c r="B128" s="158"/>
      <c r="C128" s="165"/>
      <c r="D128" s="166"/>
      <c r="E128" s="167"/>
      <c r="F128" s="168"/>
      <c r="G128" s="169"/>
      <c r="H128" s="207"/>
      <c r="I128" s="208"/>
      <c r="J128" s="601"/>
      <c r="K128" s="170"/>
      <c r="L128" s="256"/>
      <c r="M128" s="171"/>
    </row>
    <row r="129" spans="1:13" ht="14.5" x14ac:dyDescent="0.35">
      <c r="A129" s="164"/>
      <c r="B129" s="158"/>
      <c r="C129" s="165"/>
      <c r="D129" s="166"/>
      <c r="E129" s="167"/>
      <c r="F129" s="168"/>
      <c r="G129" s="169"/>
      <c r="H129" s="207"/>
      <c r="I129" s="208"/>
      <c r="J129" s="601"/>
      <c r="K129" s="170"/>
      <c r="L129" s="256"/>
      <c r="M129" s="171"/>
    </row>
    <row r="130" spans="1:13" ht="14.5" x14ac:dyDescent="0.35">
      <c r="A130" s="164"/>
      <c r="B130" s="158"/>
      <c r="C130" s="165"/>
      <c r="D130" s="166"/>
      <c r="E130" s="167"/>
      <c r="F130" s="168"/>
      <c r="G130" s="169"/>
      <c r="H130" s="207"/>
      <c r="I130" s="208"/>
      <c r="J130" s="601"/>
      <c r="K130" s="170"/>
      <c r="L130" s="256"/>
      <c r="M130" s="171"/>
    </row>
    <row r="131" spans="1:13" ht="14.5" x14ac:dyDescent="0.35">
      <c r="A131" s="164"/>
      <c r="B131" s="158"/>
      <c r="C131" s="165"/>
      <c r="D131" s="166"/>
      <c r="E131" s="167"/>
      <c r="F131" s="168"/>
      <c r="G131" s="169"/>
      <c r="H131" s="207"/>
      <c r="I131" s="208"/>
      <c r="J131" s="601"/>
      <c r="K131" s="170"/>
      <c r="L131" s="256"/>
      <c r="M131" s="171"/>
    </row>
    <row r="132" spans="1:13" ht="14.5" x14ac:dyDescent="0.35">
      <c r="A132" s="164"/>
      <c r="B132" s="158"/>
      <c r="C132" s="165"/>
      <c r="D132" s="166"/>
      <c r="E132" s="167"/>
      <c r="F132" s="168"/>
      <c r="G132" s="169"/>
      <c r="H132" s="207"/>
      <c r="I132" s="208"/>
      <c r="J132" s="601"/>
      <c r="K132" s="170"/>
      <c r="L132" s="256"/>
      <c r="M132" s="171"/>
    </row>
    <row r="133" spans="1:13" ht="14.5" x14ac:dyDescent="0.35">
      <c r="A133" s="164"/>
      <c r="B133" s="158"/>
      <c r="C133" s="165"/>
      <c r="D133" s="166"/>
      <c r="E133" s="167"/>
      <c r="F133" s="168"/>
      <c r="G133" s="169"/>
      <c r="H133" s="207"/>
      <c r="I133" s="208"/>
      <c r="J133" s="601"/>
      <c r="K133" s="170"/>
      <c r="L133" s="256"/>
      <c r="M133" s="171"/>
    </row>
    <row r="134" spans="1:13" ht="14.5" x14ac:dyDescent="0.35">
      <c r="A134" s="164"/>
      <c r="B134" s="158"/>
      <c r="C134" s="165"/>
      <c r="D134" s="166"/>
      <c r="E134" s="167"/>
      <c r="F134" s="168"/>
      <c r="G134" s="169"/>
      <c r="H134" s="207"/>
      <c r="I134" s="208"/>
      <c r="J134" s="601"/>
      <c r="K134" s="170"/>
      <c r="L134" s="256"/>
      <c r="M134" s="171"/>
    </row>
    <row r="135" spans="1:13" ht="14.5" x14ac:dyDescent="0.35">
      <c r="A135" s="164"/>
      <c r="B135" s="158"/>
      <c r="C135" s="165"/>
      <c r="D135" s="166"/>
      <c r="E135" s="167"/>
      <c r="F135" s="168"/>
      <c r="G135" s="169"/>
      <c r="H135" s="207"/>
      <c r="I135" s="208"/>
      <c r="J135" s="601"/>
      <c r="K135" s="170"/>
      <c r="L135" s="256"/>
      <c r="M135" s="171"/>
    </row>
    <row r="136" spans="1:13" ht="14.5" x14ac:dyDescent="0.35">
      <c r="A136" s="164"/>
      <c r="B136" s="158"/>
      <c r="C136" s="165"/>
      <c r="D136" s="166"/>
      <c r="E136" s="167"/>
      <c r="F136" s="168"/>
      <c r="G136" s="169"/>
      <c r="H136" s="207"/>
      <c r="I136" s="208"/>
      <c r="J136" s="601"/>
      <c r="K136" s="170"/>
      <c r="L136" s="256"/>
      <c r="M136" s="171"/>
    </row>
    <row r="137" spans="1:13" ht="14.5" x14ac:dyDescent="0.35">
      <c r="A137" s="164"/>
      <c r="B137" s="158"/>
      <c r="C137" s="165"/>
      <c r="D137" s="166"/>
      <c r="E137" s="167"/>
      <c r="F137" s="168"/>
      <c r="G137" s="169"/>
      <c r="H137" s="207"/>
      <c r="I137" s="208"/>
      <c r="J137" s="601"/>
      <c r="K137" s="170"/>
      <c r="L137" s="256"/>
      <c r="M137" s="171"/>
    </row>
    <row r="138" spans="1:13" ht="14.5" x14ac:dyDescent="0.35">
      <c r="A138" s="164"/>
      <c r="B138" s="158"/>
      <c r="C138" s="165"/>
      <c r="D138" s="166"/>
      <c r="E138" s="167"/>
      <c r="F138" s="168"/>
      <c r="G138" s="169"/>
      <c r="H138" s="207"/>
      <c r="I138" s="208"/>
      <c r="J138" s="601"/>
      <c r="K138" s="170"/>
      <c r="L138" s="256"/>
      <c r="M138" s="171"/>
    </row>
    <row r="139" spans="1:13" ht="14.5" x14ac:dyDescent="0.35">
      <c r="A139" s="164"/>
      <c r="B139" s="158"/>
      <c r="C139" s="165"/>
      <c r="D139" s="166"/>
      <c r="E139" s="167"/>
      <c r="F139" s="168"/>
      <c r="G139" s="169"/>
      <c r="H139" s="207"/>
      <c r="I139" s="208"/>
      <c r="J139" s="601"/>
      <c r="K139" s="170"/>
      <c r="L139" s="256"/>
      <c r="M139" s="171"/>
    </row>
    <row r="140" spans="1:13" ht="14.5" x14ac:dyDescent="0.35">
      <c r="A140" s="164"/>
      <c r="B140" s="158"/>
      <c r="C140" s="165"/>
      <c r="D140" s="166"/>
      <c r="E140" s="167"/>
      <c r="F140" s="168"/>
      <c r="G140" s="169"/>
      <c r="H140" s="207"/>
      <c r="I140" s="208"/>
      <c r="J140" s="601"/>
      <c r="K140" s="170"/>
      <c r="L140" s="256"/>
      <c r="M140" s="171"/>
    </row>
    <row r="141" spans="1:13" ht="14.5" x14ac:dyDescent="0.35">
      <c r="A141" s="164"/>
      <c r="B141" s="158"/>
      <c r="C141" s="165"/>
      <c r="D141" s="166"/>
      <c r="E141" s="167"/>
      <c r="F141" s="168"/>
      <c r="G141" s="169"/>
      <c r="H141" s="207"/>
      <c r="I141" s="208"/>
      <c r="J141" s="601"/>
      <c r="K141" s="170"/>
      <c r="L141" s="256"/>
      <c r="M141" s="171"/>
    </row>
    <row r="142" spans="1:13" ht="14.5" x14ac:dyDescent="0.35">
      <c r="A142" s="164"/>
      <c r="B142" s="158"/>
      <c r="C142" s="165"/>
      <c r="D142" s="166"/>
      <c r="E142" s="167"/>
      <c r="F142" s="168"/>
      <c r="G142" s="169"/>
      <c r="H142" s="207"/>
      <c r="I142" s="208"/>
      <c r="J142" s="601"/>
      <c r="K142" s="170"/>
      <c r="L142" s="256"/>
      <c r="M142" s="171"/>
    </row>
    <row r="143" spans="1:13" ht="14.5" x14ac:dyDescent="0.35">
      <c r="A143" s="164"/>
      <c r="B143" s="158"/>
      <c r="C143" s="165"/>
      <c r="D143" s="166"/>
      <c r="E143" s="167"/>
      <c r="F143" s="168"/>
      <c r="G143" s="169"/>
      <c r="H143" s="207"/>
      <c r="I143" s="208"/>
      <c r="J143" s="601"/>
      <c r="K143" s="170"/>
      <c r="L143" s="256"/>
      <c r="M143" s="171"/>
    </row>
    <row r="144" spans="1:13" ht="14.5" x14ac:dyDescent="0.35">
      <c r="A144" s="164"/>
      <c r="B144" s="158"/>
      <c r="C144" s="165"/>
      <c r="D144" s="166"/>
      <c r="E144" s="167"/>
      <c r="F144" s="168"/>
      <c r="G144" s="169"/>
      <c r="H144" s="207"/>
      <c r="I144" s="208"/>
      <c r="J144" s="601"/>
      <c r="K144" s="170"/>
      <c r="L144" s="256"/>
      <c r="M144" s="171"/>
    </row>
    <row r="145" spans="1:16" ht="14.5" x14ac:dyDescent="0.35">
      <c r="A145" s="164"/>
      <c r="B145" s="158"/>
      <c r="C145" s="165"/>
      <c r="D145" s="166"/>
      <c r="E145" s="167"/>
      <c r="F145" s="168"/>
      <c r="G145" s="169"/>
      <c r="H145" s="207"/>
      <c r="I145" s="208"/>
      <c r="J145" s="601"/>
      <c r="K145" s="170"/>
      <c r="L145" s="256"/>
      <c r="M145" s="171"/>
    </row>
    <row r="146" spans="1:16" ht="14.5" x14ac:dyDescent="0.35">
      <c r="A146" s="164"/>
      <c r="B146" s="158"/>
      <c r="C146" s="165"/>
      <c r="D146" s="166"/>
      <c r="E146" s="167"/>
      <c r="F146" s="168"/>
      <c r="G146" s="169"/>
      <c r="H146" s="207"/>
      <c r="I146" s="208"/>
      <c r="J146" s="601"/>
      <c r="K146" s="170"/>
      <c r="L146" s="256"/>
      <c r="M146" s="171"/>
    </row>
    <row r="147" spans="1:16" ht="14.5" x14ac:dyDescent="0.35">
      <c r="A147" s="164"/>
      <c r="B147" s="158"/>
      <c r="C147" s="165"/>
      <c r="D147" s="166"/>
      <c r="E147" s="167"/>
      <c r="F147" s="168"/>
      <c r="G147" s="169"/>
      <c r="H147" s="207"/>
      <c r="I147" s="208"/>
      <c r="J147" s="601"/>
      <c r="K147" s="170"/>
      <c r="L147" s="256"/>
      <c r="M147" s="171"/>
    </row>
    <row r="148" spans="1:16" ht="14.5" x14ac:dyDescent="0.35">
      <c r="A148" s="164"/>
      <c r="B148" s="158"/>
      <c r="C148" s="165"/>
      <c r="D148" s="166"/>
      <c r="E148" s="167"/>
      <c r="F148" s="168"/>
      <c r="G148" s="169"/>
      <c r="H148" s="207"/>
      <c r="I148" s="208"/>
      <c r="J148" s="601"/>
      <c r="K148" s="170"/>
      <c r="L148" s="256"/>
      <c r="M148" s="171"/>
    </row>
    <row r="149" spans="1:16" ht="14.5" x14ac:dyDescent="0.35">
      <c r="A149" s="164"/>
      <c r="B149" s="158"/>
      <c r="C149" s="165"/>
      <c r="D149" s="166"/>
      <c r="E149" s="167"/>
      <c r="F149" s="168"/>
      <c r="G149" s="169"/>
      <c r="H149" s="207"/>
      <c r="I149" s="208"/>
      <c r="J149" s="601"/>
      <c r="K149" s="170"/>
      <c r="L149" s="256"/>
      <c r="M149" s="171"/>
    </row>
    <row r="150" spans="1:16" ht="14.5" x14ac:dyDescent="0.35">
      <c r="A150" s="164"/>
      <c r="B150" s="158"/>
      <c r="C150" s="165"/>
      <c r="D150" s="166"/>
      <c r="E150" s="167"/>
      <c r="F150" s="168"/>
      <c r="G150" s="169"/>
      <c r="H150" s="207"/>
      <c r="I150" s="208"/>
      <c r="J150" s="601"/>
      <c r="K150" s="170"/>
      <c r="L150" s="256"/>
      <c r="M150" s="171"/>
    </row>
    <row r="151" spans="1:16" x14ac:dyDescent="0.35">
      <c r="A151" s="172" t="s">
        <v>1550</v>
      </c>
      <c r="B151" s="173"/>
      <c r="C151" s="156"/>
      <c r="D151" s="174"/>
      <c r="E151" s="156"/>
      <c r="F151" s="568"/>
      <c r="G151" s="173"/>
      <c r="H151" s="173"/>
      <c r="I151" s="172" t="s">
        <v>468</v>
      </c>
      <c r="J151" s="173"/>
      <c r="K151" s="173"/>
      <c r="L151" s="173"/>
      <c r="M151" s="175"/>
    </row>
    <row r="152" spans="1:16" ht="15" customHeight="1" x14ac:dyDescent="0.35">
      <c r="A152" s="176"/>
      <c r="B152" s="177"/>
      <c r="C152" s="177"/>
      <c r="D152" s="178"/>
      <c r="E152" s="177"/>
      <c r="F152" s="126"/>
      <c r="G152" s="706"/>
      <c r="H152" s="707"/>
      <c r="I152" s="708"/>
      <c r="J152" s="706"/>
      <c r="K152" s="706"/>
      <c r="L152" s="706"/>
      <c r="M152" s="707"/>
    </row>
    <row r="153" spans="1:16" s="132" customFormat="1" x14ac:dyDescent="0.35">
      <c r="A153" s="179" t="s">
        <v>469</v>
      </c>
      <c r="B153" s="180"/>
      <c r="C153" s="181" t="s">
        <v>470</v>
      </c>
      <c r="D153" s="182"/>
      <c r="E153" s="183" t="s">
        <v>471</v>
      </c>
      <c r="F153" s="184"/>
      <c r="G153" s="183" t="s">
        <v>472</v>
      </c>
      <c r="H153" s="156"/>
      <c r="I153" s="183" t="s">
        <v>473</v>
      </c>
      <c r="J153" s="156"/>
      <c r="K153" s="156"/>
      <c r="L153" s="156"/>
      <c r="M153" s="185"/>
      <c r="O153" s="119"/>
      <c r="P153" s="119"/>
    </row>
    <row r="154" spans="1:16" ht="15" customHeight="1" x14ac:dyDescent="0.35">
      <c r="A154" s="709">
        <f>SUM($G$11:$G$150)</f>
        <v>4000</v>
      </c>
      <c r="B154" s="710"/>
      <c r="C154" s="709">
        <f>SUM($K$11:$K$150)</f>
        <v>169</v>
      </c>
      <c r="D154" s="710"/>
      <c r="E154" s="708">
        <v>0</v>
      </c>
      <c r="F154" s="707"/>
      <c r="G154" s="708" t="s">
        <v>1722</v>
      </c>
      <c r="H154" s="707"/>
      <c r="I154" s="708"/>
      <c r="J154" s="706"/>
      <c r="K154" s="706"/>
      <c r="L154" s="706"/>
      <c r="M154" s="707"/>
    </row>
    <row r="155" spans="1:16" s="132" customFormat="1" x14ac:dyDescent="0.35">
      <c r="A155" s="172" t="s">
        <v>474</v>
      </c>
      <c r="B155" s="175"/>
      <c r="C155" s="183" t="s">
        <v>475</v>
      </c>
      <c r="D155" s="186"/>
      <c r="E155" s="181" t="s">
        <v>476</v>
      </c>
      <c r="G155" s="183" t="s">
        <v>477</v>
      </c>
      <c r="H155" s="156"/>
      <c r="I155" s="156"/>
      <c r="J155" s="156"/>
      <c r="K155" s="173"/>
      <c r="L155" s="173"/>
      <c r="M155" s="175"/>
      <c r="O155" s="119"/>
      <c r="P155" s="119"/>
    </row>
    <row r="156" spans="1:16" ht="15" customHeight="1" x14ac:dyDescent="0.35">
      <c r="A156" s="704">
        <f>ROUND(SUM(H11:$H$150),1)</f>
        <v>1231.7</v>
      </c>
      <c r="B156" s="705"/>
      <c r="C156" s="704">
        <f>ROUND(SUM($I$11:$I$150),1)</f>
        <v>1349.4</v>
      </c>
      <c r="D156" s="705"/>
      <c r="E156" s="704">
        <f>C156+E154*IF(G154="80x120",25,20)</f>
        <v>1349.4</v>
      </c>
      <c r="F156" s="705"/>
      <c r="G156" s="187"/>
      <c r="H156" s="188"/>
      <c r="I156" s="188"/>
      <c r="J156" s="188"/>
      <c r="K156" s="188"/>
      <c r="L156" s="188"/>
      <c r="M156" s="189"/>
    </row>
    <row r="157" spans="1:16" ht="14.15" customHeight="1" x14ac:dyDescent="0.35">
      <c r="A157" s="183" t="s">
        <v>478</v>
      </c>
      <c r="B157" s="156"/>
      <c r="C157" s="156"/>
      <c r="D157" s="156"/>
      <c r="E157" s="190"/>
      <c r="F157" s="118"/>
      <c r="G157" s="191"/>
      <c r="H157" s="192"/>
      <c r="I157" s="192"/>
      <c r="J157" s="192"/>
      <c r="K157" s="193"/>
      <c r="L157" s="193"/>
      <c r="M157" s="194"/>
    </row>
    <row r="158" spans="1:16" ht="14.15" customHeight="1" x14ac:dyDescent="0.35">
      <c r="A158" s="195"/>
      <c r="B158" s="196"/>
      <c r="C158" s="188"/>
      <c r="D158" s="188"/>
      <c r="E158" s="188"/>
      <c r="F158" s="122"/>
      <c r="G158" s="191"/>
      <c r="H158" s="192"/>
      <c r="I158" s="192"/>
      <c r="J158" s="192"/>
      <c r="K158" s="192"/>
      <c r="L158" s="192"/>
      <c r="M158" s="194"/>
    </row>
    <row r="159" spans="1:16" ht="14.15" customHeight="1" x14ac:dyDescent="0.35">
      <c r="A159" s="195"/>
      <c r="B159" s="188"/>
      <c r="C159" s="188"/>
      <c r="D159" s="197"/>
      <c r="E159" s="188"/>
      <c r="F159" s="122"/>
      <c r="G159" s="191"/>
      <c r="H159" s="192"/>
      <c r="I159" s="192"/>
      <c r="J159" s="192"/>
      <c r="K159" s="192"/>
      <c r="L159" s="192"/>
      <c r="M159" s="194"/>
    </row>
    <row r="160" spans="1:16" ht="14.15" customHeight="1" x14ac:dyDescent="0.35">
      <c r="A160" s="176"/>
      <c r="B160" s="177"/>
      <c r="C160" s="177"/>
      <c r="D160" s="178"/>
      <c r="E160" s="177"/>
      <c r="F160" s="129"/>
      <c r="G160" s="198"/>
      <c r="H160" s="199"/>
      <c r="I160" s="199"/>
      <c r="J160" s="199"/>
      <c r="K160" s="199"/>
      <c r="L160" s="199"/>
      <c r="M160" s="200"/>
    </row>
  </sheetData>
  <mergeCells count="22">
    <mergeCell ref="A156:B156"/>
    <mergeCell ref="C156:D156"/>
    <mergeCell ref="E156:F156"/>
    <mergeCell ref="G152:H152"/>
    <mergeCell ref="I152:M152"/>
    <mergeCell ref="A154:B154"/>
    <mergeCell ref="C154:D154"/>
    <mergeCell ref="E154:F154"/>
    <mergeCell ref="G154:H154"/>
    <mergeCell ref="I154:M154"/>
    <mergeCell ref="B10:E10"/>
    <mergeCell ref="A1:B1"/>
    <mergeCell ref="A8:B8"/>
    <mergeCell ref="C8:D8"/>
    <mergeCell ref="G8:I8"/>
    <mergeCell ref="K8:M8"/>
    <mergeCell ref="A9:B9"/>
    <mergeCell ref="C9:D9"/>
    <mergeCell ref="E9:F9"/>
    <mergeCell ref="G9:I9"/>
    <mergeCell ref="K9:M9"/>
    <mergeCell ref="E8:F8"/>
  </mergeCell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0">
    <pageSetUpPr fitToPage="1"/>
  </sheetPr>
  <dimension ref="A1:AB71"/>
  <sheetViews>
    <sheetView topLeftCell="A18" zoomScale="85" zoomScaleNormal="85" workbookViewId="0">
      <selection activeCell="C40" sqref="C40"/>
    </sheetView>
  </sheetViews>
  <sheetFormatPr defaultColWidth="9.1796875" defaultRowHeight="14.5" x14ac:dyDescent="0.35"/>
  <cols>
    <col min="1" max="1" width="8.26953125" style="10" customWidth="1"/>
    <col min="2" max="2" width="30.54296875" style="10" customWidth="1"/>
    <col min="3" max="3" width="20.54296875" style="10" customWidth="1"/>
    <col min="4" max="4" width="10.54296875" style="10" customWidth="1"/>
    <col min="5" max="6" width="8.81640625" style="10" customWidth="1"/>
    <col min="7" max="7" width="15.81640625" style="10" customWidth="1"/>
    <col min="8" max="9" width="16.7265625" style="10" customWidth="1"/>
    <col min="10" max="10" width="5.7265625" style="10" customWidth="1"/>
    <col min="11" max="14" width="9.1796875" style="10"/>
    <col min="15" max="17" width="18.1796875" style="221" customWidth="1"/>
    <col min="18" max="18" width="17.453125" style="221" customWidth="1"/>
    <col min="19" max="19" width="18.81640625" style="221" customWidth="1"/>
    <col min="20" max="21" width="18.453125" style="221" customWidth="1"/>
    <col min="22" max="22" width="13.1796875" style="221" customWidth="1"/>
    <col min="23" max="23" width="19.81640625" style="221" customWidth="1"/>
    <col min="24" max="24" width="13.1796875" style="221" customWidth="1"/>
    <col min="25" max="25" width="19.81640625" style="221" customWidth="1"/>
    <col min="26" max="26" width="13.1796875" style="221" customWidth="1"/>
    <col min="27" max="27" width="15.453125" style="221" customWidth="1"/>
    <col min="28" max="28" width="18.453125" style="221" customWidth="1"/>
    <col min="29" max="29" width="10.1796875" style="10" bestFit="1" customWidth="1"/>
    <col min="30" max="31" width="14.1796875" style="10" bestFit="1" customWidth="1"/>
    <col min="32" max="16384" width="9.1796875" style="10"/>
  </cols>
  <sheetData>
    <row r="1" spans="1:11" ht="20" x14ac:dyDescent="0.4">
      <c r="A1" s="8"/>
      <c r="B1" s="9"/>
      <c r="C1" s="9"/>
      <c r="D1" s="9"/>
      <c r="E1" s="738" t="s">
        <v>479</v>
      </c>
      <c r="F1" s="739"/>
      <c r="G1" s="739"/>
      <c r="H1" s="739"/>
      <c r="I1" s="739"/>
      <c r="J1" s="9"/>
      <c r="K1" s="9"/>
    </row>
    <row r="2" spans="1:11" ht="12.75" customHeight="1" x14ac:dyDescent="0.4">
      <c r="A2" s="8"/>
      <c r="B2" s="9" t="s">
        <v>480</v>
      </c>
      <c r="C2" s="9"/>
      <c r="D2" s="9"/>
      <c r="E2" s="11"/>
      <c r="F2" s="12"/>
      <c r="G2" s="12"/>
      <c r="H2" s="12"/>
      <c r="I2" s="12"/>
      <c r="J2" s="9"/>
      <c r="K2" s="9"/>
    </row>
    <row r="3" spans="1:11" ht="12.75" customHeight="1" x14ac:dyDescent="0.35">
      <c r="A3" s="8"/>
      <c r="B3" s="722" t="s">
        <v>481</v>
      </c>
      <c r="C3" s="718"/>
      <c r="D3" s="719"/>
      <c r="E3" s="722" t="s">
        <v>482</v>
      </c>
      <c r="F3" s="718"/>
      <c r="G3" s="718"/>
      <c r="H3" s="718"/>
      <c r="I3" s="719"/>
      <c r="J3" s="711" t="s">
        <v>483</v>
      </c>
      <c r="K3" s="9"/>
    </row>
    <row r="4" spans="1:11" ht="20.5" x14ac:dyDescent="0.35">
      <c r="A4" s="8"/>
      <c r="B4" s="13" t="s">
        <v>484</v>
      </c>
      <c r="C4" s="14"/>
      <c r="D4" s="15"/>
      <c r="E4" s="714"/>
      <c r="F4" s="715"/>
      <c r="G4" s="715"/>
      <c r="H4" s="715"/>
      <c r="I4" s="716"/>
      <c r="J4" s="711"/>
      <c r="K4" s="9"/>
    </row>
    <row r="5" spans="1:11" ht="20.5" x14ac:dyDescent="0.35">
      <c r="A5" s="8"/>
      <c r="B5" s="13" t="s">
        <v>485</v>
      </c>
      <c r="C5" s="14"/>
      <c r="D5" s="15"/>
      <c r="E5" s="717" t="s">
        <v>486</v>
      </c>
      <c r="F5" s="718"/>
      <c r="G5" s="719"/>
      <c r="H5" s="16" t="s">
        <v>487</v>
      </c>
      <c r="I5" s="17"/>
      <c r="J5" s="711"/>
      <c r="K5" s="9"/>
    </row>
    <row r="6" spans="1:11" ht="20.5" x14ac:dyDescent="0.35">
      <c r="A6" s="8"/>
      <c r="B6" s="13" t="s">
        <v>488</v>
      </c>
      <c r="C6" s="14"/>
      <c r="D6" s="15"/>
      <c r="E6" s="18" t="s">
        <v>489</v>
      </c>
      <c r="F6" s="19">
        <v>1</v>
      </c>
      <c r="G6" s="20" t="s">
        <v>490</v>
      </c>
      <c r="H6" s="720"/>
      <c r="I6" s="721"/>
      <c r="J6" s="711"/>
      <c r="K6" s="9"/>
    </row>
    <row r="7" spans="1:11" ht="20.5" x14ac:dyDescent="0.35">
      <c r="A7" s="8"/>
      <c r="B7" s="13" t="s">
        <v>278</v>
      </c>
      <c r="C7" s="14"/>
      <c r="D7" s="15"/>
      <c r="E7" s="722" t="s">
        <v>491</v>
      </c>
      <c r="F7" s="718"/>
      <c r="G7" s="719"/>
      <c r="H7" s="16" t="s">
        <v>492</v>
      </c>
      <c r="I7" s="17"/>
      <c r="J7" s="711"/>
      <c r="K7" s="9"/>
    </row>
    <row r="8" spans="1:11" x14ac:dyDescent="0.35">
      <c r="A8" s="8"/>
      <c r="B8" s="722" t="s">
        <v>493</v>
      </c>
      <c r="C8" s="718"/>
      <c r="D8" s="719"/>
      <c r="E8" s="722" t="s">
        <v>494</v>
      </c>
      <c r="F8" s="718"/>
      <c r="G8" s="718"/>
      <c r="H8" s="718"/>
      <c r="I8" s="719"/>
      <c r="J8" s="711"/>
      <c r="K8" s="9"/>
    </row>
    <row r="9" spans="1:11" ht="20.5" x14ac:dyDescent="0.35">
      <c r="A9" s="8"/>
      <c r="B9" s="145" t="s">
        <v>639</v>
      </c>
      <c r="C9" s="14"/>
      <c r="D9" s="15"/>
      <c r="E9" s="726"/>
      <c r="F9" s="727"/>
      <c r="G9" s="727"/>
      <c r="H9" s="727"/>
      <c r="I9" s="728"/>
      <c r="J9" s="711"/>
      <c r="K9" s="9"/>
    </row>
    <row r="10" spans="1:11" ht="20.5" x14ac:dyDescent="0.35">
      <c r="A10" s="8"/>
      <c r="B10" s="145" t="s">
        <v>1322</v>
      </c>
      <c r="C10" s="14"/>
      <c r="D10" s="15"/>
      <c r="E10" s="726"/>
      <c r="F10" s="727"/>
      <c r="G10" s="727"/>
      <c r="H10" s="727"/>
      <c r="I10" s="728"/>
      <c r="J10" s="711"/>
      <c r="K10" s="9"/>
    </row>
    <row r="11" spans="1:11" ht="20.5" x14ac:dyDescent="0.35">
      <c r="A11" s="8"/>
      <c r="B11" s="145" t="s">
        <v>1321</v>
      </c>
      <c r="C11" s="14"/>
      <c r="D11" s="15"/>
      <c r="E11" s="726"/>
      <c r="F11" s="727"/>
      <c r="G11" s="727"/>
      <c r="H11" s="727"/>
      <c r="I11" s="728"/>
      <c r="J11" s="711"/>
      <c r="K11" s="9"/>
    </row>
    <row r="12" spans="1:11" ht="20.5" x14ac:dyDescent="0.35">
      <c r="A12" s="8"/>
      <c r="B12" s="145" t="s">
        <v>1323</v>
      </c>
      <c r="C12" s="14"/>
      <c r="D12" s="15"/>
      <c r="E12" s="726"/>
      <c r="F12" s="727"/>
      <c r="G12" s="727"/>
      <c r="H12" s="727"/>
      <c r="I12" s="728"/>
      <c r="J12" s="711"/>
      <c r="K12" s="9"/>
    </row>
    <row r="13" spans="1:11" ht="20.5" x14ac:dyDescent="0.35">
      <c r="A13" s="8"/>
      <c r="B13" s="145" t="s">
        <v>1324</v>
      </c>
      <c r="C13" s="14"/>
      <c r="D13" s="15"/>
      <c r="E13" s="729" t="s">
        <v>495</v>
      </c>
      <c r="F13" s="730"/>
      <c r="G13" s="730"/>
      <c r="H13" s="730"/>
      <c r="I13" s="731"/>
      <c r="J13" s="711"/>
      <c r="K13" s="9"/>
    </row>
    <row r="14" spans="1:11" x14ac:dyDescent="0.35">
      <c r="A14" s="8"/>
      <c r="B14" s="722" t="s">
        <v>496</v>
      </c>
      <c r="C14" s="718"/>
      <c r="D14" s="719"/>
      <c r="E14" s="723" t="s">
        <v>497</v>
      </c>
      <c r="F14" s="724"/>
      <c r="G14" s="724"/>
      <c r="H14" s="724"/>
      <c r="I14" s="725"/>
      <c r="J14" s="711"/>
      <c r="K14" s="9"/>
    </row>
    <row r="15" spans="1:11" x14ac:dyDescent="0.35">
      <c r="A15" s="8"/>
      <c r="B15" s="726"/>
      <c r="C15" s="727"/>
      <c r="D15" s="728"/>
      <c r="E15" s="732" t="s">
        <v>498</v>
      </c>
      <c r="F15" s="733"/>
      <c r="G15" s="733"/>
      <c r="H15" s="733"/>
      <c r="I15" s="734"/>
      <c r="J15" s="711"/>
      <c r="K15" s="9"/>
    </row>
    <row r="16" spans="1:11" x14ac:dyDescent="0.35">
      <c r="A16" s="8"/>
      <c r="B16" s="726"/>
      <c r="C16" s="727"/>
      <c r="D16" s="728"/>
      <c r="E16" s="732"/>
      <c r="F16" s="733"/>
      <c r="G16" s="733"/>
      <c r="H16" s="733"/>
      <c r="I16" s="734"/>
      <c r="J16" s="711"/>
      <c r="K16" s="9"/>
    </row>
    <row r="17" spans="1:14" x14ac:dyDescent="0.35">
      <c r="A17" s="8"/>
      <c r="B17" s="726"/>
      <c r="C17" s="727"/>
      <c r="D17" s="728"/>
      <c r="E17" s="732"/>
      <c r="F17" s="733"/>
      <c r="G17" s="733"/>
      <c r="H17" s="733"/>
      <c r="I17" s="734"/>
      <c r="J17" s="711"/>
      <c r="K17" s="9"/>
    </row>
    <row r="18" spans="1:14" x14ac:dyDescent="0.35">
      <c r="A18" s="8"/>
      <c r="B18" s="714"/>
      <c r="C18" s="715"/>
      <c r="D18" s="716"/>
      <c r="E18" s="735"/>
      <c r="F18" s="736"/>
      <c r="G18" s="736"/>
      <c r="H18" s="736"/>
      <c r="I18" s="737"/>
      <c r="J18" s="711"/>
      <c r="K18" s="9"/>
    </row>
    <row r="19" spans="1:14" x14ac:dyDescent="0.35">
      <c r="A19" s="740" t="s">
        <v>499</v>
      </c>
      <c r="B19" s="722" t="s">
        <v>500</v>
      </c>
      <c r="C19" s="718"/>
      <c r="D19" s="719"/>
      <c r="E19" s="742" t="s">
        <v>501</v>
      </c>
      <c r="F19" s="743"/>
      <c r="G19" s="743"/>
      <c r="H19" s="743"/>
      <c r="I19" s="744"/>
      <c r="J19" s="711"/>
      <c r="K19" s="9"/>
    </row>
    <row r="20" spans="1:14" x14ac:dyDescent="0.35">
      <c r="A20" s="741"/>
      <c r="B20" s="726"/>
      <c r="C20" s="727"/>
      <c r="D20" s="728"/>
      <c r="E20" s="726"/>
      <c r="F20" s="727"/>
      <c r="G20" s="727"/>
      <c r="H20" s="727"/>
      <c r="I20" s="728"/>
      <c r="J20" s="711"/>
      <c r="K20" s="9"/>
    </row>
    <row r="21" spans="1:14" ht="15.5" x14ac:dyDescent="0.35">
      <c r="A21" s="741"/>
      <c r="B21" s="726"/>
      <c r="C21" s="727"/>
      <c r="D21" s="728"/>
      <c r="E21" s="745" t="s">
        <v>502</v>
      </c>
      <c r="F21" s="746"/>
      <c r="G21" s="746"/>
      <c r="H21" s="746"/>
      <c r="I21" s="747"/>
      <c r="J21" s="711"/>
      <c r="K21" s="9"/>
    </row>
    <row r="22" spans="1:14" ht="15.5" x14ac:dyDescent="0.35">
      <c r="A22" s="741"/>
      <c r="B22" s="714"/>
      <c r="C22" s="715"/>
      <c r="D22" s="716"/>
      <c r="E22" s="726"/>
      <c r="F22" s="727"/>
      <c r="G22" s="727"/>
      <c r="H22" s="727"/>
      <c r="I22" s="728"/>
      <c r="J22" s="711"/>
      <c r="K22" s="9"/>
      <c r="L22" s="144"/>
    </row>
    <row r="23" spans="1:14" ht="12.75" customHeight="1" x14ac:dyDescent="0.35">
      <c r="A23" s="741"/>
      <c r="B23" s="21" t="s">
        <v>503</v>
      </c>
      <c r="C23" s="722" t="s">
        <v>504</v>
      </c>
      <c r="D23" s="719"/>
      <c r="E23" s="726"/>
      <c r="F23" s="727"/>
      <c r="G23" s="727"/>
      <c r="H23" s="727"/>
      <c r="I23" s="728"/>
      <c r="J23" s="711"/>
      <c r="K23" s="9"/>
    </row>
    <row r="24" spans="1:14" ht="19" customHeight="1" x14ac:dyDescent="0.35">
      <c r="A24" s="741"/>
      <c r="B24" s="22"/>
      <c r="C24" s="753" t="s">
        <v>1380</v>
      </c>
      <c r="D24" s="754"/>
      <c r="E24" s="726"/>
      <c r="F24" s="727"/>
      <c r="G24" s="727"/>
      <c r="H24" s="755" t="s">
        <v>505</v>
      </c>
      <c r="I24" s="756"/>
      <c r="J24" s="711"/>
      <c r="K24" s="9"/>
    </row>
    <row r="25" spans="1:14" x14ac:dyDescent="0.35">
      <c r="A25" s="741"/>
      <c r="B25" s="21" t="s">
        <v>506</v>
      </c>
      <c r="C25" s="722" t="s">
        <v>507</v>
      </c>
      <c r="D25" s="719"/>
      <c r="E25" s="757" t="s">
        <v>508</v>
      </c>
      <c r="F25" s="758"/>
      <c r="G25" s="758"/>
      <c r="H25" s="758"/>
      <c r="I25" s="759"/>
      <c r="J25" s="711"/>
      <c r="K25" s="9"/>
    </row>
    <row r="26" spans="1:14" ht="19" customHeight="1" x14ac:dyDescent="0.35">
      <c r="A26" s="741"/>
      <c r="B26" s="22" t="s">
        <v>704</v>
      </c>
      <c r="C26" s="753"/>
      <c r="D26" s="754"/>
      <c r="E26" s="729" t="s">
        <v>509</v>
      </c>
      <c r="F26" s="730"/>
      <c r="G26" s="23" t="s">
        <v>510</v>
      </c>
      <c r="H26" s="23" t="s">
        <v>511</v>
      </c>
      <c r="I26" s="20" t="s">
        <v>512</v>
      </c>
      <c r="J26" s="711"/>
      <c r="K26" s="9"/>
    </row>
    <row r="27" spans="1:14" ht="12.75" customHeight="1" x14ac:dyDescent="0.35">
      <c r="A27" s="741"/>
      <c r="B27" s="24" t="s">
        <v>513</v>
      </c>
      <c r="C27" s="760" t="s">
        <v>514</v>
      </c>
      <c r="D27" s="760"/>
      <c r="E27" s="760"/>
      <c r="F27" s="760"/>
      <c r="G27" s="25" t="s">
        <v>515</v>
      </c>
      <c r="H27" s="25" t="s">
        <v>516</v>
      </c>
      <c r="I27" s="26" t="s">
        <v>517</v>
      </c>
      <c r="J27" s="711"/>
      <c r="K27" s="9"/>
    </row>
    <row r="28" spans="1:14" x14ac:dyDescent="0.35">
      <c r="A28" s="741"/>
      <c r="B28" s="27"/>
      <c r="C28" s="28"/>
      <c r="D28" s="28"/>
      <c r="E28" s="28"/>
      <c r="F28" s="29"/>
      <c r="G28" s="217"/>
      <c r="H28" s="217"/>
      <c r="I28" s="30"/>
      <c r="J28" s="711"/>
      <c r="K28" s="9"/>
    </row>
    <row r="29" spans="1:14" ht="15.5" x14ac:dyDescent="0.35">
      <c r="A29" s="741"/>
      <c r="B29" s="144" t="s">
        <v>1433</v>
      </c>
      <c r="C29" s="32"/>
      <c r="D29" s="32"/>
      <c r="E29" s="32"/>
      <c r="F29" s="33"/>
      <c r="G29" s="216"/>
      <c r="H29" s="216"/>
      <c r="I29" s="34"/>
      <c r="J29" s="711"/>
      <c r="K29" s="9"/>
    </row>
    <row r="30" spans="1:14" ht="15.5" x14ac:dyDescent="0.35">
      <c r="A30" s="741"/>
      <c r="B30" s="64" t="s">
        <v>1586</v>
      </c>
      <c r="C30" s="32"/>
      <c r="D30" s="32"/>
      <c r="E30" s="32"/>
      <c r="F30" s="33"/>
      <c r="G30" s="216"/>
      <c r="H30" s="216"/>
      <c r="I30" s="34"/>
      <c r="J30" s="711"/>
      <c r="K30" s="9"/>
    </row>
    <row r="31" spans="1:14" ht="15.5" x14ac:dyDescent="0.35">
      <c r="A31" s="741"/>
      <c r="B31" s="64" t="str">
        <f t="array" ref="B31">CONCATENATE(SUM(SUMIF(plModelFinal!$A$11:$A$150, PERFUME, plModelFinal!$K$11:$K$150)), " FIBREBOARD BOXES")</f>
        <v>169 FIBREBOARD BOXES</v>
      </c>
      <c r="C31" s="32"/>
      <c r="D31" s="32"/>
      <c r="E31" s="32"/>
      <c r="F31" s="33"/>
      <c r="G31" s="216"/>
      <c r="H31" s="216"/>
      <c r="I31" s="34"/>
      <c r="J31" s="711"/>
      <c r="K31" s="9"/>
      <c r="N31" s="220"/>
    </row>
    <row r="32" spans="1:14" ht="15.5" x14ac:dyDescent="0.35">
      <c r="A32" s="741"/>
      <c r="B32" s="64" t="str">
        <f t="array" ref="B32">CONCATENATE(SUM(SUMIF(plModelFinal!$A$11:$A$151, PERFUME_100, plModelFinal!$G$11:$G$151)), " GLASS BOTTLES BY 100ML")</f>
        <v>4000 GLASS BOTTLES BY 100ML</v>
      </c>
      <c r="C32" s="32"/>
      <c r="D32" s="32"/>
      <c r="E32" s="32"/>
      <c r="F32" s="33"/>
      <c r="G32" s="216">
        <f t="array" ref="G32">SUM(SUMIF(plModelFinal!$A$11:$A$150, PERFUME_100, plModelFinal!$H$11:$H$150) * PERFUME_100_PESI)</f>
        <v>1231.7</v>
      </c>
      <c r="H32" s="216">
        <f t="array" ref="H32">SUM(SUMIF(plModelFinal!$A$11:$A$150, PERFUME_100, plModelFinal!$I$11:$I$150) * PERFUME_100_PESI)</f>
        <v>1349.4</v>
      </c>
      <c r="I32" s="67">
        <f t="array" ref="I32">SUM(SUMIF(plModelFinal!$A$11:$A$150, PERFUME_100, plModelFinal!$J$11:$J$150) * PERFUME_100_PESI)</f>
        <v>3.8312999999999997</v>
      </c>
      <c r="J32" s="711"/>
      <c r="K32" s="9"/>
    </row>
    <row r="33" spans="1:11" ht="15.5" x14ac:dyDescent="0.35">
      <c r="A33" s="741"/>
      <c r="B33" s="64"/>
      <c r="C33" s="32"/>
      <c r="D33" s="32"/>
      <c r="E33" s="32"/>
      <c r="F33" s="33"/>
      <c r="G33" s="216"/>
      <c r="H33" s="216"/>
      <c r="I33" s="67"/>
      <c r="J33" s="711"/>
      <c r="K33" s="9"/>
    </row>
    <row r="34" spans="1:11" ht="15.5" x14ac:dyDescent="0.35">
      <c r="A34" s="741"/>
      <c r="B34" s="65"/>
      <c r="C34" s="32"/>
      <c r="D34" s="32"/>
      <c r="E34" s="32"/>
      <c r="F34" s="33"/>
      <c r="G34" s="216"/>
      <c r="H34" s="216"/>
      <c r="I34" s="67"/>
      <c r="J34" s="711"/>
      <c r="K34" s="9"/>
    </row>
    <row r="35" spans="1:11" ht="15.5" x14ac:dyDescent="0.35">
      <c r="A35" s="741"/>
      <c r="B35" s="65" t="s">
        <v>1626</v>
      </c>
      <c r="C35" s="32"/>
      <c r="D35" s="32"/>
      <c r="E35" s="32"/>
      <c r="F35" s="33"/>
      <c r="G35" s="216"/>
      <c r="H35" s="216"/>
      <c r="I35" s="67"/>
      <c r="J35" s="711"/>
      <c r="K35" s="9"/>
    </row>
    <row r="36" spans="1:11" ht="15.5" x14ac:dyDescent="0.35">
      <c r="A36" s="741"/>
      <c r="B36" s="65"/>
      <c r="C36" s="32"/>
      <c r="D36" s="32"/>
      <c r="E36" s="32"/>
      <c r="F36" s="33"/>
      <c r="G36" s="216"/>
      <c r="H36" s="216"/>
      <c r="I36" s="67"/>
      <c r="J36" s="711"/>
      <c r="K36" s="9"/>
    </row>
    <row r="37" spans="1:11" ht="15.5" x14ac:dyDescent="0.35">
      <c r="A37" s="741"/>
      <c r="B37" s="65"/>
      <c r="C37" s="32"/>
      <c r="D37" s="32"/>
      <c r="E37" s="32"/>
      <c r="F37" s="33"/>
      <c r="G37" s="216"/>
      <c r="H37" s="216"/>
      <c r="I37" s="67"/>
      <c r="J37" s="711"/>
      <c r="K37" s="9"/>
    </row>
    <row r="38" spans="1:11" ht="15.5" x14ac:dyDescent="0.35">
      <c r="A38" s="741"/>
      <c r="B38" s="65"/>
      <c r="C38" s="32"/>
      <c r="D38" s="32"/>
      <c r="E38" s="32"/>
      <c r="F38" s="33"/>
      <c r="G38" s="216"/>
      <c r="H38" s="216"/>
      <c r="I38" s="67"/>
      <c r="J38" s="711"/>
      <c r="K38" s="9"/>
    </row>
    <row r="39" spans="1:11" ht="15.5" x14ac:dyDescent="0.35">
      <c r="A39" s="741"/>
      <c r="B39" s="66"/>
      <c r="C39" s="36"/>
      <c r="D39" s="36"/>
      <c r="E39" s="36"/>
      <c r="F39" s="37"/>
      <c r="G39" s="216"/>
      <c r="H39" s="216"/>
      <c r="I39" s="67"/>
      <c r="J39" s="711"/>
      <c r="K39" s="9"/>
    </row>
    <row r="40" spans="1:11" ht="15.5" x14ac:dyDescent="0.35">
      <c r="A40" s="741"/>
      <c r="B40" s="65"/>
      <c r="C40" s="32"/>
      <c r="D40" s="32"/>
      <c r="E40" s="32"/>
      <c r="F40" s="33"/>
      <c r="G40" s="216"/>
      <c r="H40" s="216"/>
      <c r="I40" s="67"/>
      <c r="J40" s="711"/>
      <c r="K40" s="9"/>
    </row>
    <row r="41" spans="1:11" ht="15.5" x14ac:dyDescent="0.35">
      <c r="A41" s="741"/>
      <c r="B41" s="65"/>
      <c r="C41" s="32"/>
      <c r="D41" s="32"/>
      <c r="E41" s="32"/>
      <c r="F41" s="33"/>
      <c r="G41" s="216"/>
      <c r="H41" s="216"/>
      <c r="I41" s="67"/>
      <c r="J41" s="711"/>
      <c r="K41" s="9"/>
    </row>
    <row r="42" spans="1:11" ht="15.5" x14ac:dyDescent="0.35">
      <c r="A42" s="741"/>
      <c r="B42" s="65"/>
      <c r="C42" s="32"/>
      <c r="D42" s="32"/>
      <c r="E42" s="32"/>
      <c r="F42" s="33"/>
      <c r="G42" s="216"/>
      <c r="H42" s="216"/>
      <c r="I42" s="67"/>
      <c r="J42" s="711"/>
      <c r="K42" s="9"/>
    </row>
    <row r="43" spans="1:11" ht="15.5" x14ac:dyDescent="0.35">
      <c r="A43" s="741"/>
      <c r="B43" s="65"/>
      <c r="C43" s="32"/>
      <c r="D43" s="32"/>
      <c r="E43" s="32"/>
      <c r="F43" s="33"/>
      <c r="G43" s="216"/>
      <c r="H43" s="216"/>
      <c r="I43" s="67"/>
      <c r="J43" s="711"/>
      <c r="K43" s="9"/>
    </row>
    <row r="44" spans="1:11" ht="15.5" x14ac:dyDescent="0.35">
      <c r="A44" s="741"/>
      <c r="B44" s="65"/>
      <c r="C44" s="32"/>
      <c r="D44" s="32"/>
      <c r="E44" s="32"/>
      <c r="F44" s="33"/>
      <c r="G44" s="216"/>
      <c r="H44" s="216"/>
      <c r="I44" s="67"/>
      <c r="J44" s="711"/>
      <c r="K44" s="9"/>
    </row>
    <row r="45" spans="1:11" ht="15.5" x14ac:dyDescent="0.35">
      <c r="A45" s="741"/>
      <c r="B45" s="65"/>
      <c r="C45" s="32"/>
      <c r="D45" s="32"/>
      <c r="E45" s="32"/>
      <c r="F45" s="33"/>
      <c r="G45" s="216"/>
      <c r="H45" s="216"/>
      <c r="I45" s="67"/>
      <c r="J45" s="711"/>
      <c r="K45" s="9"/>
    </row>
    <row r="46" spans="1:11" ht="15.5" x14ac:dyDescent="0.35">
      <c r="A46" s="741"/>
      <c r="B46" s="65"/>
      <c r="C46" s="36"/>
      <c r="D46" s="36"/>
      <c r="E46" s="36"/>
      <c r="F46" s="37"/>
      <c r="G46" s="216"/>
      <c r="H46" s="216"/>
      <c r="I46" s="67"/>
      <c r="J46" s="711"/>
      <c r="K46" s="9"/>
    </row>
    <row r="47" spans="1:11" ht="15.5" x14ac:dyDescent="0.35">
      <c r="A47" s="741"/>
      <c r="B47" s="66"/>
      <c r="C47" s="36"/>
      <c r="D47" s="36"/>
      <c r="E47" s="36"/>
      <c r="F47" s="37"/>
      <c r="G47" s="216"/>
      <c r="H47" s="216"/>
      <c r="I47" s="34"/>
      <c r="J47" s="711"/>
      <c r="K47" s="9"/>
    </row>
    <row r="48" spans="1:11" ht="15.5" x14ac:dyDescent="0.35">
      <c r="A48" s="741"/>
      <c r="B48" s="66"/>
      <c r="C48" s="36"/>
      <c r="D48" s="36"/>
      <c r="E48" s="36"/>
      <c r="F48" s="37"/>
      <c r="G48" s="216"/>
      <c r="H48" s="216"/>
      <c r="I48" s="34"/>
      <c r="J48" s="711"/>
      <c r="K48" s="9"/>
    </row>
    <row r="49" spans="1:15" ht="15.5" x14ac:dyDescent="0.35">
      <c r="A49" s="741"/>
      <c r="B49" s="66"/>
      <c r="C49" s="36"/>
      <c r="D49" s="36"/>
      <c r="E49" s="36"/>
      <c r="F49" s="37"/>
      <c r="G49" s="216"/>
      <c r="H49" s="216"/>
      <c r="I49" s="34"/>
      <c r="J49" s="711"/>
      <c r="K49" s="9"/>
    </row>
    <row r="50" spans="1:15" ht="15.5" x14ac:dyDescent="0.35">
      <c r="A50" s="741"/>
      <c r="B50" s="35"/>
      <c r="C50" s="36"/>
      <c r="D50" s="36"/>
      <c r="E50" s="36"/>
      <c r="F50" s="37"/>
      <c r="G50" s="216"/>
      <c r="H50" s="216"/>
      <c r="I50" s="34"/>
      <c r="J50" s="711"/>
      <c r="K50" s="9"/>
    </row>
    <row r="51" spans="1:15" ht="15.5" x14ac:dyDescent="0.35">
      <c r="A51" s="741"/>
      <c r="B51" s="35"/>
      <c r="C51" s="36"/>
      <c r="D51" s="36"/>
      <c r="E51" s="36"/>
      <c r="F51" s="37"/>
      <c r="G51" s="216"/>
      <c r="H51" s="216"/>
      <c r="I51" s="34"/>
      <c r="J51" s="711"/>
      <c r="K51" s="9"/>
    </row>
    <row r="52" spans="1:15" ht="15.5" x14ac:dyDescent="0.35">
      <c r="A52" s="741"/>
      <c r="B52" s="31"/>
      <c r="C52" s="32"/>
      <c r="D52" s="32"/>
      <c r="E52" s="32"/>
      <c r="F52" s="33"/>
      <c r="G52" s="216"/>
      <c r="H52" s="216"/>
      <c r="I52" s="34"/>
      <c r="J52" s="711"/>
      <c r="K52" s="9"/>
    </row>
    <row r="53" spans="1:15" ht="15.5" x14ac:dyDescent="0.35">
      <c r="A53" s="741"/>
      <c r="B53" s="31"/>
      <c r="C53" s="32"/>
      <c r="D53" s="32"/>
      <c r="E53" s="32"/>
      <c r="F53" s="33"/>
      <c r="G53" s="216"/>
      <c r="H53" s="218"/>
      <c r="I53" s="34"/>
      <c r="J53" s="711"/>
      <c r="K53" s="9"/>
    </row>
    <row r="54" spans="1:15" x14ac:dyDescent="0.35">
      <c r="A54" s="741"/>
      <c r="B54" s="38"/>
      <c r="C54" s="39"/>
      <c r="D54" s="39"/>
      <c r="E54" s="39"/>
      <c r="F54" s="40"/>
      <c r="G54" s="21" t="s">
        <v>995</v>
      </c>
      <c r="H54" s="21" t="s">
        <v>518</v>
      </c>
      <c r="I54" s="21" t="s">
        <v>519</v>
      </c>
      <c r="J54" s="711"/>
      <c r="K54" s="9"/>
    </row>
    <row r="55" spans="1:15" ht="15.5" x14ac:dyDescent="0.35">
      <c r="A55" s="741"/>
      <c r="B55" s="41"/>
      <c r="C55" s="42"/>
      <c r="D55" s="42"/>
      <c r="E55" s="42"/>
      <c r="F55" s="43"/>
      <c r="G55" s="219">
        <f>SUM(G28:G53)</f>
        <v>1231.7</v>
      </c>
      <c r="H55" s="219">
        <f>SUM(H28:H53)</f>
        <v>1349.4</v>
      </c>
      <c r="I55" s="68">
        <f>SUM(I29:I54)</f>
        <v>3.8312999999999997</v>
      </c>
      <c r="J55" s="711"/>
      <c r="K55" s="9"/>
    </row>
    <row r="56" spans="1:15" x14ac:dyDescent="0.35">
      <c r="A56" s="741"/>
      <c r="B56" s="21" t="s">
        <v>520</v>
      </c>
      <c r="C56" s="722" t="s">
        <v>521</v>
      </c>
      <c r="D56" s="719"/>
      <c r="E56" s="722" t="s">
        <v>522</v>
      </c>
      <c r="F56" s="718"/>
      <c r="G56" s="719"/>
      <c r="H56" s="16" t="s">
        <v>523</v>
      </c>
      <c r="I56" s="21" t="s">
        <v>524</v>
      </c>
      <c r="J56" s="711"/>
      <c r="K56" s="9"/>
    </row>
    <row r="57" spans="1:15" x14ac:dyDescent="0.35">
      <c r="A57" s="741"/>
      <c r="B57" s="44" t="s">
        <v>525</v>
      </c>
      <c r="C57" s="761"/>
      <c r="D57" s="762"/>
      <c r="E57" s="761"/>
      <c r="F57" s="763"/>
      <c r="G57" s="762"/>
      <c r="H57" s="45"/>
      <c r="I57" s="46" t="s">
        <v>526</v>
      </c>
      <c r="J57" s="711"/>
      <c r="K57" s="9"/>
    </row>
    <row r="58" spans="1:15" ht="15.5" x14ac:dyDescent="0.35">
      <c r="A58" s="741"/>
      <c r="B58" s="47"/>
      <c r="C58" s="748"/>
      <c r="D58" s="749"/>
      <c r="E58" s="750"/>
      <c r="F58" s="751"/>
      <c r="G58" s="752"/>
      <c r="H58" s="45"/>
      <c r="I58" s="45"/>
      <c r="J58" s="711"/>
      <c r="K58" s="9"/>
    </row>
    <row r="59" spans="1:15" ht="12" customHeight="1" x14ac:dyDescent="0.35">
      <c r="A59" s="741"/>
      <c r="B59" s="48"/>
      <c r="C59" s="768"/>
      <c r="D59" s="769"/>
      <c r="E59" s="768"/>
      <c r="F59" s="770"/>
      <c r="G59" s="769"/>
      <c r="H59" s="49"/>
      <c r="I59" s="49"/>
      <c r="J59" s="711"/>
      <c r="K59" s="9"/>
    </row>
    <row r="60" spans="1:15" ht="13.5" customHeight="1" x14ac:dyDescent="0.35">
      <c r="A60" s="50"/>
      <c r="B60" s="771" t="s">
        <v>527</v>
      </c>
      <c r="C60" s="772"/>
      <c r="D60" s="773" t="s">
        <v>528</v>
      </c>
      <c r="E60" s="774"/>
      <c r="F60" s="774"/>
      <c r="G60" s="774"/>
      <c r="H60" s="774"/>
      <c r="I60" s="775"/>
      <c r="J60" s="712"/>
      <c r="K60" s="9"/>
    </row>
    <row r="61" spans="1:15" ht="25.5" customHeight="1" x14ac:dyDescent="0.35">
      <c r="A61" s="8"/>
      <c r="B61" s="776" t="s">
        <v>529</v>
      </c>
      <c r="C61" s="777"/>
      <c r="D61" s="776" t="s">
        <v>530</v>
      </c>
      <c r="E61" s="778"/>
      <c r="F61" s="778"/>
      <c r="G61" s="778"/>
      <c r="H61" s="778"/>
      <c r="I61" s="777"/>
      <c r="J61" s="712"/>
      <c r="K61" s="9"/>
    </row>
    <row r="62" spans="1:15" ht="34.5" customHeight="1" x14ac:dyDescent="0.45">
      <c r="A62" s="8"/>
      <c r="B62" s="779" t="s">
        <v>531</v>
      </c>
      <c r="C62" s="780"/>
      <c r="D62" s="781"/>
      <c r="E62" s="782"/>
      <c r="F62" s="782"/>
      <c r="G62" s="782"/>
      <c r="H62" s="782"/>
      <c r="I62" s="783"/>
      <c r="J62" s="712"/>
      <c r="K62" s="9"/>
    </row>
    <row r="63" spans="1:15" x14ac:dyDescent="0.35">
      <c r="A63" s="8"/>
      <c r="B63" s="722" t="s">
        <v>532</v>
      </c>
      <c r="C63" s="719"/>
      <c r="D63" s="722" t="s">
        <v>533</v>
      </c>
      <c r="E63" s="718"/>
      <c r="F63" s="719"/>
      <c r="G63" s="722" t="s">
        <v>534</v>
      </c>
      <c r="H63" s="718"/>
      <c r="I63" s="719"/>
      <c r="J63" s="713"/>
      <c r="K63" s="9"/>
      <c r="O63" s="223"/>
    </row>
    <row r="64" spans="1:15" ht="15.5" x14ac:dyDescent="0.35">
      <c r="A64" s="8"/>
      <c r="B64" s="764" t="s">
        <v>484</v>
      </c>
      <c r="C64" s="721"/>
      <c r="D64" s="765"/>
      <c r="E64" s="766"/>
      <c r="F64" s="767"/>
      <c r="G64" s="764" t="s">
        <v>535</v>
      </c>
      <c r="H64" s="720"/>
      <c r="I64" s="721"/>
      <c r="J64" s="713"/>
      <c r="K64" s="9"/>
      <c r="O64" s="223"/>
    </row>
    <row r="65" spans="1:15" x14ac:dyDescent="0.35">
      <c r="A65" s="8"/>
      <c r="B65" s="722" t="s">
        <v>536</v>
      </c>
      <c r="C65" s="719"/>
      <c r="D65" s="722" t="s">
        <v>537</v>
      </c>
      <c r="E65" s="718"/>
      <c r="F65" s="719"/>
      <c r="G65" s="722" t="s">
        <v>536</v>
      </c>
      <c r="H65" s="718"/>
      <c r="I65" s="719"/>
      <c r="J65" s="713"/>
      <c r="K65" s="9"/>
      <c r="O65" s="223"/>
    </row>
    <row r="66" spans="1:15" ht="15.5" x14ac:dyDescent="0.35">
      <c r="A66" s="8"/>
      <c r="B66" s="764" t="s">
        <v>538</v>
      </c>
      <c r="C66" s="721"/>
      <c r="D66" s="784"/>
      <c r="E66" s="785"/>
      <c r="F66" s="786"/>
      <c r="G66" s="764" t="s">
        <v>538</v>
      </c>
      <c r="H66" s="720"/>
      <c r="I66" s="721"/>
      <c r="J66" s="713"/>
      <c r="K66" s="9"/>
      <c r="O66" s="223"/>
    </row>
    <row r="67" spans="1:15" x14ac:dyDescent="0.35">
      <c r="A67" s="8"/>
      <c r="B67" s="722" t="s">
        <v>539</v>
      </c>
      <c r="C67" s="719"/>
      <c r="D67" s="722" t="s">
        <v>540</v>
      </c>
      <c r="E67" s="718"/>
      <c r="F67" s="719"/>
      <c r="G67" s="722" t="s">
        <v>539</v>
      </c>
      <c r="H67" s="718"/>
      <c r="I67" s="719"/>
      <c r="J67" s="713"/>
      <c r="K67" s="9"/>
      <c r="O67" s="223"/>
    </row>
    <row r="68" spans="1:15" ht="15.5" x14ac:dyDescent="0.35">
      <c r="A68" s="8"/>
      <c r="B68" s="764" t="s">
        <v>1724</v>
      </c>
      <c r="C68" s="721"/>
      <c r="D68" s="787"/>
      <c r="E68" s="766"/>
      <c r="F68" s="767"/>
      <c r="G68" s="764" t="s">
        <v>1724</v>
      </c>
      <c r="H68" s="720"/>
      <c r="I68" s="721"/>
      <c r="J68" s="713"/>
      <c r="K68" s="9"/>
      <c r="O68" s="223"/>
    </row>
    <row r="69" spans="1:15" x14ac:dyDescent="0.35">
      <c r="A69" s="8"/>
      <c r="B69" s="722" t="s">
        <v>1630</v>
      </c>
      <c r="C69" s="719"/>
      <c r="D69" s="722" t="s">
        <v>542</v>
      </c>
      <c r="E69" s="718"/>
      <c r="F69" s="719"/>
      <c r="G69" s="722" t="s">
        <v>541</v>
      </c>
      <c r="H69" s="718"/>
      <c r="I69" s="719"/>
      <c r="J69" s="713"/>
      <c r="O69" s="223"/>
    </row>
    <row r="70" spans="1:15" ht="20.5" x14ac:dyDescent="0.35">
      <c r="A70" s="8"/>
      <c r="B70" s="794"/>
      <c r="C70" s="795"/>
      <c r="D70" s="794"/>
      <c r="E70" s="796"/>
      <c r="F70" s="795"/>
      <c r="G70" s="797"/>
      <c r="H70" s="798"/>
      <c r="I70" s="799"/>
      <c r="J70" s="713"/>
    </row>
    <row r="71" spans="1:15" ht="20.5" x14ac:dyDescent="0.35">
      <c r="A71" s="8"/>
      <c r="B71" s="788"/>
      <c r="C71" s="789"/>
      <c r="D71" s="788"/>
      <c r="E71" s="790"/>
      <c r="F71" s="789"/>
      <c r="G71" s="791"/>
      <c r="H71" s="792"/>
      <c r="I71" s="793"/>
      <c r="J71" s="713"/>
    </row>
  </sheetData>
  <mergeCells count="82"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  <mergeCell ref="B67:C67"/>
    <mergeCell ref="D67:F67"/>
    <mergeCell ref="G67:I67"/>
    <mergeCell ref="B68:C68"/>
    <mergeCell ref="D68:F68"/>
    <mergeCell ref="G68:I68"/>
    <mergeCell ref="B65:C65"/>
    <mergeCell ref="D65:F65"/>
    <mergeCell ref="G65:I65"/>
    <mergeCell ref="B66:C66"/>
    <mergeCell ref="D66:F66"/>
    <mergeCell ref="G66:I6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C26:D26"/>
    <mergeCell ref="E26:F26"/>
    <mergeCell ref="C27:F27"/>
    <mergeCell ref="C56:D56"/>
    <mergeCell ref="E56:G56"/>
    <mergeCell ref="B16:D16"/>
    <mergeCell ref="B17:D17"/>
    <mergeCell ref="B18:D18"/>
    <mergeCell ref="C25:D25"/>
    <mergeCell ref="E25:I25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E1:I1"/>
    <mergeCell ref="B3:D3"/>
    <mergeCell ref="E3:I3"/>
    <mergeCell ref="B8:D8"/>
    <mergeCell ref="E9:I9"/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</mergeCells>
  <conditionalFormatting sqref="B9:B13">
    <cfRule type="cellIs" dxfId="41" priority="1" operator="equal">
      <formula>0</formula>
    </cfRule>
  </conditionalFormatting>
  <printOptions horizontalCentered="1"/>
  <pageMargins left="0.19685039370078741" right="0.19685039370078741" top="0.39370078740157483" bottom="0.39370078740157483" header="0.31496062992125984" footer="0.31496062992125984"/>
  <pageSetup paperSize="9" scale="6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locked="0" defaultSize="0" autoFill="0" autoLine="0" autoPict="0">
                <anchor>
                  <from>
                    <xdr:col>4</xdr:col>
                    <xdr:colOff>0</xdr:colOff>
                    <xdr:row>11</xdr:row>
                    <xdr:rowOff>133350</xdr:rowOff>
                  </from>
                  <to>
                    <xdr:col>5</xdr:col>
                    <xdr:colOff>0</xdr:colOff>
                    <xdr:row>13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locked="0" defaultSize="0" autoFill="0" autoLine="0" autoPict="0">
                <anchor moveWithCells="1">
                  <from>
                    <xdr:col>7</xdr:col>
                    <xdr:colOff>38100</xdr:colOff>
                    <xdr:row>23</xdr:row>
                    <xdr:rowOff>0</xdr:rowOff>
                  </from>
                  <to>
                    <xdr:col>7</xdr:col>
                    <xdr:colOff>260350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locked="0" defaultSize="0" autoFill="0" autoLine="0" autoPict="0">
                <anchor moveWithCells="1">
                  <from>
                    <xdr:col>5</xdr:col>
                    <xdr:colOff>228600</xdr:colOff>
                    <xdr:row>25</xdr:row>
                    <xdr:rowOff>12700</xdr:rowOff>
                  </from>
                  <to>
                    <xdr:col>5</xdr:col>
                    <xdr:colOff>355600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locked="0" defaultSize="0" autoFill="0" autoLine="0" autoPict="0">
                <anchor moveWithCells="1">
                  <from>
                    <xdr:col>6</xdr:col>
                    <xdr:colOff>546100</xdr:colOff>
                    <xdr:row>25</xdr:row>
                    <xdr:rowOff>6350</xdr:rowOff>
                  </from>
                  <to>
                    <xdr:col>7</xdr:col>
                    <xdr:colOff>44450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locked="0" defaultSize="0" autoFill="0" autoLine="0" autoPict="0">
                <anchor moveWithCells="1">
                  <from>
                    <xdr:col>7</xdr:col>
                    <xdr:colOff>590550</xdr:colOff>
                    <xdr:row>25</xdr:row>
                    <xdr:rowOff>0</xdr:rowOff>
                  </from>
                  <to>
                    <xdr:col>7</xdr:col>
                    <xdr:colOff>730250</xdr:colOff>
                    <xdr:row>26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locked="0" defaultSize="0" autoFill="0" autoLine="0" autoPict="0">
                <anchor moveWithCells="1">
                  <from>
                    <xdr:col>8</xdr:col>
                    <xdr:colOff>577850</xdr:colOff>
                    <xdr:row>25</xdr:row>
                    <xdr:rowOff>0</xdr:rowOff>
                  </from>
                  <to>
                    <xdr:col>9</xdr:col>
                    <xdr:colOff>38100</xdr:colOff>
                    <xdr:row>26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2"/>
  <dimension ref="A1:ZZ400"/>
  <sheetViews>
    <sheetView tabSelected="1" topLeftCell="C1" zoomScaleNormal="100" workbookViewId="0">
      <selection activeCell="D9" sqref="D9"/>
    </sheetView>
  </sheetViews>
  <sheetFormatPr defaultColWidth="9.1796875" defaultRowHeight="14.5" x14ac:dyDescent="0.35"/>
  <cols>
    <col min="1" max="1" width="24.54296875" style="73" hidden="1" customWidth="1"/>
    <col min="2" max="2" width="20.7265625" style="69" hidden="1" customWidth="1"/>
    <col min="3" max="3" width="3.453125" style="215" customWidth="1"/>
    <col min="4" max="4" width="22.54296875" style="215" customWidth="1"/>
    <col min="5" max="5" width="3.26953125" style="215" customWidth="1"/>
    <col min="6" max="6" width="2.54296875" style="215" customWidth="1"/>
    <col min="7" max="7" width="17.1796875" style="215" customWidth="1"/>
    <col min="8" max="8" width="4" style="215" customWidth="1"/>
    <col min="9" max="9" width="19" style="215" customWidth="1"/>
    <col min="10" max="10" width="2.54296875" style="215" customWidth="1"/>
    <col min="11" max="11" width="1.81640625" style="215" customWidth="1"/>
    <col min="12" max="12" width="31.7265625" style="215" customWidth="1"/>
    <col min="13" max="13" width="9.54296875" style="278" customWidth="1"/>
    <col min="14" max="14" width="13.1796875" style="215" customWidth="1"/>
    <col min="15" max="15" width="14.26953125" style="215" customWidth="1"/>
    <col min="16" max="16" width="12.453125" style="215" customWidth="1"/>
    <col min="17" max="17" width="12.7265625" style="215" customWidth="1"/>
    <col min="18" max="19" width="13.81640625" style="215" customWidth="1"/>
    <col min="20" max="20" width="13.26953125" style="215" customWidth="1"/>
    <col min="21" max="21" width="15.81640625" style="215" customWidth="1"/>
    <col min="22" max="22" width="14" style="215" customWidth="1"/>
    <col min="23" max="23" width="12.1796875" style="215" customWidth="1"/>
    <col min="24" max="24" width="3.54296875" style="215" customWidth="1"/>
    <col min="25" max="25" width="12.1796875" style="215" customWidth="1"/>
    <col min="26" max="39" width="8.7265625" style="215" customWidth="1"/>
    <col min="40" max="40" width="2.54296875" style="215" customWidth="1"/>
    <col min="41" max="41" width="25.54296875" style="215" customWidth="1"/>
    <col min="42" max="42" width="3.1796875" style="215" customWidth="1"/>
    <col min="43" max="43" width="21" style="215" customWidth="1"/>
    <col min="44" max="44" width="13.7265625" style="215" customWidth="1"/>
    <col min="45" max="45" width="16.54296875" style="215" customWidth="1"/>
    <col min="46" max="46" width="14.453125" style="215" customWidth="1"/>
    <col min="47" max="49" width="2.1796875" style="215" customWidth="1"/>
    <col min="50" max="50" width="22.26953125" style="215" customWidth="1"/>
    <col min="51" max="51" width="5.81640625" style="215" customWidth="1"/>
    <col min="52" max="52" width="12.54296875" style="215" customWidth="1"/>
    <col min="53" max="53" width="8.54296875" style="215" customWidth="1"/>
    <col min="54" max="54" width="10.1796875" style="215" customWidth="1"/>
    <col min="55" max="57" width="2.1796875" style="215" customWidth="1"/>
    <col min="58" max="58" width="15.81640625" style="215" customWidth="1"/>
    <col min="59" max="59" width="9.7265625" style="278" customWidth="1"/>
    <col min="60" max="60" width="23.1796875" style="215" customWidth="1"/>
    <col min="61" max="61" width="37.1796875" style="215" customWidth="1"/>
    <col min="62" max="62" width="2.453125" style="215" customWidth="1"/>
    <col min="63" max="63" width="11.54296875" style="283" customWidth="1"/>
    <col min="64" max="64" width="11.54296875" style="284" customWidth="1"/>
    <col min="65" max="65" width="11.54296875" style="285" customWidth="1"/>
    <col min="66" max="66" width="11.54296875" style="284" customWidth="1"/>
    <col min="67" max="67" width="13.1796875" style="285" customWidth="1"/>
    <col min="68" max="68" width="14.26953125" style="215" customWidth="1"/>
    <col min="69" max="71" width="50.54296875" style="215" customWidth="1"/>
    <col min="72" max="73" width="8.7265625" style="215" customWidth="1"/>
    <col min="74" max="74" width="2.54296875" style="215" customWidth="1"/>
    <col min="75" max="75" width="1.7265625" style="215" customWidth="1"/>
    <col min="76" max="76" width="24.81640625" style="215" customWidth="1"/>
    <col min="77" max="77" width="1.54296875" style="215" customWidth="1"/>
    <col min="78" max="78" width="12.453125" style="215" customWidth="1"/>
    <col min="79" max="79" width="56.26953125" style="215" customWidth="1"/>
    <col min="80" max="80" width="9.54296875" style="215" customWidth="1"/>
    <col min="81" max="81" width="10.453125" style="215" customWidth="1"/>
    <col min="82" max="82" width="10.81640625" style="286" customWidth="1"/>
    <col min="83" max="83" width="10.81640625" style="215" customWidth="1"/>
    <col min="84" max="84" width="9.7265625" style="278" customWidth="1"/>
    <col min="85" max="86" width="8.81640625" style="264" customWidth="1"/>
    <col min="87" max="87" width="6.7265625" style="264" customWidth="1"/>
    <col min="88" max="88" width="10.26953125" style="287" customWidth="1"/>
    <col min="89" max="89" width="11.81640625" style="287" customWidth="1"/>
    <col min="90" max="90" width="8.81640625" style="287" customWidth="1"/>
    <col min="91" max="91" width="11.54296875" style="287" customWidth="1"/>
    <col min="92" max="94" width="8.81640625" style="288" customWidth="1"/>
    <col min="95" max="95" width="15.26953125" style="288" customWidth="1"/>
    <col min="96" max="96" width="11.1796875" style="215" customWidth="1"/>
    <col min="97" max="97" width="12.1796875" style="215" customWidth="1"/>
    <col min="98" max="98" width="13.26953125" style="215" customWidth="1"/>
    <col min="99" max="99" width="11" style="463" customWidth="1"/>
    <col min="100" max="100" width="1.26953125" style="215" customWidth="1"/>
    <col min="101" max="101" width="2.1796875" style="215" customWidth="1"/>
    <col min="102" max="102" width="13.7265625" style="215" customWidth="1"/>
    <col min="103" max="103" width="12.81640625" style="215" customWidth="1"/>
    <col min="104" max="104" width="10.81640625" style="215" customWidth="1"/>
    <col min="105" max="105" width="12.54296875" style="215" customWidth="1"/>
    <col min="106" max="106" width="2.26953125" style="280" customWidth="1"/>
    <col min="107" max="111" width="15.54296875" style="215" customWidth="1"/>
    <col min="112" max="112" width="15.54296875" style="273" customWidth="1"/>
    <col min="113" max="120" width="15.54296875" style="215" customWidth="1"/>
    <col min="121" max="131" width="8.7265625" style="215" customWidth="1"/>
    <col min="132" max="132" width="2.7265625" style="215" customWidth="1"/>
    <col min="133" max="133" width="25.7265625" style="215" customWidth="1"/>
    <col min="134" max="134" width="2.7265625" style="215" customWidth="1"/>
    <col min="135" max="135" width="16.54296875" style="215" customWidth="1"/>
    <col min="136" max="136" width="64.7265625" style="215" customWidth="1"/>
    <col min="137" max="141" width="18.1796875" style="215" customWidth="1"/>
    <col min="142" max="142" width="3.26953125" style="215" customWidth="1"/>
    <col min="143" max="156" width="15.54296875" style="215" customWidth="1"/>
    <col min="157" max="157" width="3.1796875" style="215" customWidth="1"/>
    <col min="158" max="158" width="25.54296875" style="215" customWidth="1"/>
    <col min="159" max="159" width="3.1796875" style="215" customWidth="1"/>
    <col min="160" max="160" width="3" style="215" customWidth="1"/>
    <col min="161" max="164" width="15.7265625" style="215" customWidth="1"/>
    <col min="165" max="165" width="5.1796875" style="215" customWidth="1"/>
    <col min="166" max="166" width="3.26953125" style="215" customWidth="1"/>
    <col min="167" max="187" width="15.7265625" style="215" customWidth="1"/>
    <col min="188" max="216" width="6.81640625" style="215" customWidth="1"/>
    <col min="217" max="218" width="7.54296875" style="215" customWidth="1"/>
    <col min="219" max="220" width="7.7265625" style="215" customWidth="1"/>
    <col min="221" max="221" width="2.453125" style="215" customWidth="1"/>
    <col min="222" max="222" width="9.1796875" style="215" customWidth="1"/>
    <col min="223" max="223" width="2.54296875" style="215" customWidth="1"/>
    <col min="224" max="237" width="9.1796875" style="215" customWidth="1"/>
    <col min="238" max="625" width="9.1796875" customWidth="1"/>
    <col min="626" max="677" width="9.1796875" style="215" customWidth="1"/>
    <col min="678" max="678" width="8.7265625" style="215" customWidth="1"/>
    <col min="679" max="679" width="2.54296875" style="215" customWidth="1"/>
    <col min="680" max="680" width="25.54296875" style="215" customWidth="1"/>
    <col min="681" max="681" width="2.54296875" style="215" customWidth="1"/>
    <col min="682" max="16384" width="9.1796875" style="215"/>
  </cols>
  <sheetData>
    <row r="1" spans="1:702" x14ac:dyDescent="0.35">
      <c r="B1" s="73"/>
      <c r="CU1" s="215"/>
      <c r="DH1" s="215"/>
      <c r="ID1" s="215"/>
      <c r="IE1" s="215"/>
      <c r="IF1" s="215"/>
      <c r="IG1" s="215"/>
      <c r="IH1" s="215"/>
      <c r="II1" s="215"/>
      <c r="IJ1" s="215"/>
      <c r="IK1" s="215"/>
      <c r="IL1" s="215"/>
      <c r="IM1" s="215"/>
      <c r="IN1" s="215"/>
      <c r="IO1" s="215"/>
      <c r="IP1" s="215"/>
      <c r="IQ1" s="215"/>
      <c r="IR1" s="215"/>
      <c r="IS1" s="215"/>
      <c r="IT1" s="215"/>
      <c r="IU1" s="215"/>
      <c r="IV1" s="215"/>
      <c r="IW1" s="215"/>
      <c r="IX1" s="215"/>
      <c r="IY1" s="215"/>
      <c r="IZ1" s="215"/>
      <c r="JA1" s="215"/>
      <c r="JB1" s="215"/>
      <c r="JC1" s="215"/>
      <c r="JD1" s="215"/>
      <c r="JE1" s="215"/>
      <c r="JF1" s="215"/>
      <c r="JG1" s="215"/>
      <c r="JH1" s="215"/>
      <c r="JI1" s="215"/>
      <c r="JJ1" s="215"/>
      <c r="JK1" s="215"/>
      <c r="JL1" s="215"/>
      <c r="JM1" s="215"/>
      <c r="JN1" s="215"/>
      <c r="JO1" s="215"/>
      <c r="JP1" s="215"/>
      <c r="JQ1" s="215"/>
      <c r="JR1" s="215"/>
      <c r="JS1" s="215"/>
      <c r="JT1" s="215"/>
      <c r="JU1" s="215"/>
      <c r="JV1" s="215"/>
      <c r="JW1" s="215"/>
      <c r="JX1" s="215"/>
      <c r="JY1" s="215"/>
      <c r="JZ1" s="215"/>
      <c r="KA1" s="215"/>
      <c r="KB1" s="215"/>
      <c r="KC1" s="215"/>
      <c r="KD1" s="215"/>
      <c r="KE1" s="215"/>
      <c r="KF1" s="215"/>
      <c r="KG1" s="215"/>
      <c r="KH1" s="215"/>
      <c r="KI1" s="215"/>
      <c r="KJ1" s="215"/>
      <c r="KK1" s="215"/>
      <c r="KL1" s="215"/>
      <c r="KM1" s="215"/>
      <c r="KN1" s="215"/>
      <c r="KO1" s="215"/>
      <c r="KP1" s="215"/>
      <c r="KQ1" s="215"/>
      <c r="KR1" s="215"/>
      <c r="KS1" s="215"/>
      <c r="KT1" s="215"/>
      <c r="KU1" s="215"/>
      <c r="KV1" s="215"/>
      <c r="KW1" s="215"/>
      <c r="KX1" s="215"/>
      <c r="KY1" s="215"/>
      <c r="KZ1" s="215"/>
      <c r="LA1" s="215"/>
      <c r="LB1" s="215"/>
      <c r="LC1" s="215"/>
      <c r="LD1" s="215"/>
      <c r="LE1" s="215"/>
      <c r="LF1" s="215"/>
      <c r="LG1" s="215"/>
      <c r="LH1" s="215"/>
      <c r="LI1" s="215"/>
      <c r="LJ1" s="215"/>
      <c r="LK1" s="215"/>
      <c r="LL1" s="215"/>
      <c r="LM1" s="215"/>
      <c r="LN1" s="215"/>
      <c r="LO1" s="215"/>
      <c r="LP1" s="215"/>
      <c r="LQ1" s="215"/>
      <c r="LR1" s="215"/>
      <c r="LS1" s="215"/>
      <c r="LT1" s="215"/>
      <c r="LU1" s="215"/>
      <c r="LV1" s="215"/>
      <c r="LW1" s="215"/>
      <c r="LX1" s="215"/>
      <c r="LY1" s="215"/>
      <c r="LZ1" s="215"/>
      <c r="MA1" s="215"/>
      <c r="MB1" s="215"/>
      <c r="MC1" s="215"/>
      <c r="MD1" s="215"/>
      <c r="ME1" s="215"/>
      <c r="MF1" s="215"/>
      <c r="MG1" s="215"/>
      <c r="MH1" s="215"/>
      <c r="MI1" s="215"/>
      <c r="MJ1" s="215"/>
      <c r="MK1" s="215"/>
      <c r="ML1" s="215"/>
      <c r="MM1" s="215"/>
      <c r="MN1" s="215"/>
      <c r="MO1" s="215"/>
      <c r="MP1" s="215"/>
      <c r="MQ1" s="215"/>
      <c r="MR1" s="215"/>
      <c r="MS1" s="215"/>
      <c r="MT1" s="215"/>
      <c r="MU1" s="215"/>
      <c r="MV1" s="215"/>
      <c r="MW1" s="215"/>
      <c r="MX1" s="215"/>
      <c r="MY1" s="215"/>
      <c r="MZ1" s="215"/>
      <c r="NA1" s="215"/>
      <c r="NB1" s="215"/>
      <c r="NC1" s="215"/>
      <c r="ND1" s="215"/>
      <c r="NE1" s="215"/>
      <c r="NF1" s="215"/>
      <c r="NG1" s="215"/>
      <c r="NH1" s="215"/>
      <c r="NI1" s="215"/>
      <c r="NJ1" s="215"/>
      <c r="NK1" s="215"/>
      <c r="NL1" s="215"/>
      <c r="NM1" s="215"/>
      <c r="NN1" s="215"/>
      <c r="NO1" s="215"/>
      <c r="NP1" s="215"/>
      <c r="NQ1" s="215"/>
      <c r="NR1" s="215"/>
      <c r="NS1" s="215"/>
      <c r="NT1" s="215"/>
      <c r="NU1" s="215"/>
      <c r="NV1" s="215"/>
      <c r="NW1" s="215"/>
      <c r="NX1" s="215"/>
      <c r="NY1" s="215"/>
      <c r="NZ1" s="215"/>
      <c r="OA1" s="215"/>
      <c r="OB1" s="215"/>
      <c r="OC1" s="215"/>
      <c r="OD1" s="215"/>
      <c r="OE1" s="215"/>
      <c r="OF1" s="215"/>
      <c r="OG1" s="215"/>
      <c r="OH1" s="215"/>
      <c r="OI1" s="215"/>
      <c r="OJ1" s="215"/>
      <c r="OK1" s="215"/>
      <c r="OL1" s="215"/>
      <c r="OM1" s="215"/>
      <c r="ON1" s="215"/>
      <c r="OO1" s="215"/>
      <c r="OP1" s="215"/>
      <c r="OQ1" s="215"/>
      <c r="OR1" s="215"/>
      <c r="OS1" s="215"/>
      <c r="OT1" s="215"/>
      <c r="OU1" s="215"/>
      <c r="OV1" s="215"/>
      <c r="OW1" s="215"/>
      <c r="OX1" s="215"/>
      <c r="OY1" s="215"/>
      <c r="OZ1" s="215"/>
      <c r="PA1" s="215"/>
      <c r="PB1" s="215"/>
      <c r="PC1" s="215"/>
      <c r="PD1" s="215"/>
      <c r="PE1" s="215"/>
      <c r="PF1" s="215"/>
      <c r="PG1" s="215"/>
      <c r="PH1" s="215"/>
      <c r="PI1" s="215"/>
      <c r="PJ1" s="215"/>
      <c r="PK1" s="215"/>
      <c r="PL1" s="215"/>
      <c r="PM1" s="215"/>
      <c r="PN1" s="215"/>
      <c r="PO1" s="215"/>
      <c r="PP1" s="215"/>
      <c r="PQ1" s="215"/>
      <c r="PR1" s="215"/>
      <c r="PS1" s="215"/>
      <c r="PT1" s="215"/>
      <c r="PU1" s="215"/>
      <c r="PV1" s="215"/>
      <c r="PW1" s="215"/>
      <c r="PX1" s="215"/>
      <c r="PY1" s="215"/>
      <c r="PZ1" s="215"/>
      <c r="QA1" s="215"/>
      <c r="QB1" s="215"/>
      <c r="QC1" s="215"/>
      <c r="QD1" s="215"/>
      <c r="QE1" s="215"/>
      <c r="QF1" s="215"/>
      <c r="QG1" s="215"/>
      <c r="QH1" s="215"/>
      <c r="QI1" s="215"/>
      <c r="QJ1" s="215"/>
      <c r="QK1" s="215"/>
      <c r="QL1" s="215"/>
      <c r="QM1" s="215"/>
      <c r="QN1" s="215"/>
      <c r="QO1" s="215"/>
      <c r="QP1" s="215"/>
      <c r="QQ1" s="215"/>
      <c r="QR1" s="215"/>
      <c r="QS1" s="215"/>
      <c r="QT1" s="215"/>
      <c r="QU1" s="215"/>
      <c r="QV1" s="215"/>
      <c r="QW1" s="215"/>
      <c r="QX1" s="215"/>
      <c r="QY1" s="215"/>
      <c r="QZ1" s="215"/>
      <c r="RA1" s="215"/>
      <c r="RB1" s="215"/>
      <c r="RC1" s="215"/>
      <c r="RD1" s="215"/>
      <c r="RE1" s="215"/>
      <c r="RF1" s="215"/>
      <c r="RG1" s="215"/>
      <c r="RH1" s="215"/>
      <c r="RI1" s="215"/>
      <c r="RJ1" s="215"/>
      <c r="RK1" s="215"/>
      <c r="RL1" s="215"/>
      <c r="RM1" s="215"/>
      <c r="RN1" s="215"/>
      <c r="RO1" s="215"/>
      <c r="RP1" s="215"/>
      <c r="RQ1" s="215"/>
      <c r="RR1" s="215"/>
      <c r="RS1" s="215"/>
      <c r="RT1" s="215"/>
      <c r="RU1" s="215"/>
      <c r="RV1" s="215"/>
      <c r="RW1" s="215"/>
      <c r="RX1" s="215"/>
      <c r="RY1" s="215"/>
      <c r="RZ1" s="215"/>
      <c r="SA1" s="215"/>
      <c r="SB1" s="215"/>
      <c r="SC1" s="215"/>
      <c r="SD1" s="215"/>
      <c r="SE1" s="215"/>
      <c r="SF1" s="215"/>
      <c r="SG1" s="215"/>
      <c r="SH1" s="215"/>
      <c r="SI1" s="215"/>
      <c r="SJ1" s="215"/>
      <c r="SK1" s="215"/>
      <c r="SL1" s="215"/>
      <c r="SM1" s="215"/>
      <c r="SN1" s="215"/>
      <c r="SO1" s="215"/>
      <c r="SP1" s="215"/>
      <c r="SQ1" s="215"/>
      <c r="SR1" s="215"/>
      <c r="SS1" s="215"/>
      <c r="ST1" s="215"/>
      <c r="SU1" s="215"/>
      <c r="SV1" s="215"/>
      <c r="SW1" s="215"/>
      <c r="SX1" s="215"/>
      <c r="SY1" s="215"/>
      <c r="SZ1" s="215"/>
      <c r="TA1" s="215"/>
      <c r="TB1" s="215"/>
      <c r="TC1" s="215"/>
      <c r="TD1" s="215"/>
      <c r="TE1" s="215"/>
      <c r="TF1" s="215"/>
      <c r="TG1" s="215"/>
      <c r="TH1" s="215"/>
      <c r="TI1" s="215"/>
      <c r="TJ1" s="215"/>
      <c r="TK1" s="215"/>
      <c r="TL1" s="215"/>
      <c r="TM1" s="215"/>
      <c r="TN1" s="215"/>
      <c r="TO1" s="215"/>
      <c r="TP1" s="215"/>
      <c r="TQ1" s="215"/>
      <c r="TR1" s="215"/>
      <c r="TS1" s="215"/>
      <c r="TT1" s="215"/>
      <c r="TU1" s="215"/>
      <c r="TV1" s="215"/>
      <c r="TW1" s="215"/>
      <c r="TX1" s="215"/>
      <c r="TY1" s="215"/>
      <c r="TZ1" s="215"/>
      <c r="UA1" s="215"/>
      <c r="UB1" s="215"/>
      <c r="UC1" s="215"/>
      <c r="UD1" s="215"/>
      <c r="UE1" s="215"/>
      <c r="UF1" s="215"/>
      <c r="UG1" s="215"/>
      <c r="UH1" s="215"/>
      <c r="UI1" s="215"/>
      <c r="UJ1" s="215"/>
      <c r="UK1" s="215"/>
      <c r="UL1" s="215"/>
      <c r="UM1" s="215"/>
      <c r="UN1" s="215"/>
      <c r="UO1" s="215"/>
      <c r="UP1" s="215"/>
      <c r="UQ1" s="215"/>
      <c r="UR1" s="215"/>
      <c r="US1" s="215"/>
      <c r="UT1" s="215"/>
      <c r="UU1" s="215"/>
      <c r="UV1" s="215"/>
      <c r="UW1" s="215"/>
      <c r="UX1" s="215"/>
      <c r="UY1" s="215"/>
      <c r="UZ1" s="215"/>
      <c r="VA1" s="215"/>
      <c r="VB1" s="215"/>
      <c r="VC1" s="215"/>
      <c r="VD1" s="215"/>
      <c r="VE1" s="215"/>
      <c r="VF1" s="215"/>
      <c r="VG1" s="215"/>
      <c r="VH1" s="215"/>
      <c r="VI1" s="215"/>
      <c r="VJ1" s="215"/>
      <c r="VK1" s="215"/>
      <c r="VL1" s="215"/>
      <c r="VM1" s="215"/>
      <c r="VN1" s="215"/>
      <c r="VO1" s="215"/>
      <c r="VP1" s="215"/>
      <c r="VQ1" s="215"/>
      <c r="VR1" s="215"/>
      <c r="VS1" s="215"/>
      <c r="VT1" s="215"/>
      <c r="VU1" s="215"/>
      <c r="VV1" s="215"/>
      <c r="VW1" s="215"/>
      <c r="VX1" s="215"/>
      <c r="VY1" s="215"/>
      <c r="VZ1" s="215"/>
      <c r="WA1" s="215"/>
      <c r="WB1" s="215"/>
      <c r="WC1" s="215"/>
      <c r="WD1" s="215"/>
      <c r="WE1" s="215"/>
      <c r="WF1" s="215"/>
      <c r="WG1" s="215"/>
      <c r="WH1" s="215"/>
      <c r="WI1" s="215"/>
      <c r="WJ1" s="215"/>
      <c r="WK1" s="215"/>
      <c r="WL1" s="215"/>
      <c r="WM1" s="215"/>
      <c r="WN1" s="215"/>
      <c r="WO1" s="215"/>
      <c r="WP1" s="215"/>
      <c r="WQ1" s="215"/>
      <c r="WR1" s="215"/>
      <c r="WS1" s="215"/>
      <c r="WT1" s="215"/>
      <c r="WU1" s="215"/>
      <c r="WV1" s="215"/>
      <c r="WW1" s="215"/>
      <c r="WX1" s="215"/>
      <c r="WY1" s="215"/>
      <c r="WZ1" s="215"/>
      <c r="XA1" s="215"/>
    </row>
    <row r="2" spans="1:702" ht="9" customHeight="1" x14ac:dyDescent="0.35">
      <c r="A2" s="142" t="s">
        <v>543</v>
      </c>
      <c r="B2" s="146">
        <f>IF(B4="","",MATCH(B4,M10:M60,0)+9)</f>
        <v>38</v>
      </c>
      <c r="D2" s="261"/>
      <c r="T2" s="289"/>
      <c r="U2" s="290"/>
      <c r="X2" s="291"/>
      <c r="AR2" s="291"/>
      <c r="AS2" s="291"/>
      <c r="AT2" s="291"/>
      <c r="CU2" s="215"/>
      <c r="DH2" s="215"/>
      <c r="ID2" s="215"/>
      <c r="IE2" s="215"/>
      <c r="IF2" s="215"/>
      <c r="IG2" s="215"/>
      <c r="IH2" s="215"/>
      <c r="II2" s="215"/>
      <c r="IJ2" s="215"/>
      <c r="IK2" s="215"/>
      <c r="IL2" s="215"/>
      <c r="IM2" s="215"/>
      <c r="IN2" s="215"/>
      <c r="IO2" s="215"/>
      <c r="IP2" s="215"/>
      <c r="IQ2" s="215"/>
      <c r="IR2" s="215"/>
      <c r="IS2" s="215"/>
      <c r="IT2" s="215"/>
      <c r="IU2" s="215"/>
      <c r="IV2" s="215"/>
      <c r="IW2" s="215"/>
      <c r="IX2" s="215"/>
      <c r="IY2" s="215"/>
      <c r="IZ2" s="215"/>
      <c r="JA2" s="215"/>
      <c r="JB2" s="215"/>
      <c r="JC2" s="215"/>
      <c r="JD2" s="215"/>
      <c r="JE2" s="215"/>
      <c r="JF2" s="215"/>
      <c r="JG2" s="215"/>
      <c r="JH2" s="215"/>
      <c r="JI2" s="215"/>
      <c r="JJ2" s="215"/>
      <c r="JK2" s="215"/>
      <c r="JL2" s="215"/>
      <c r="JM2" s="215"/>
      <c r="JN2" s="215"/>
      <c r="JO2" s="215"/>
      <c r="JP2" s="215"/>
      <c r="JQ2" s="215"/>
      <c r="JR2" s="215"/>
      <c r="JS2" s="215"/>
      <c r="JT2" s="215"/>
      <c r="JU2" s="215"/>
      <c r="JV2" s="215"/>
      <c r="JW2" s="215"/>
      <c r="JX2" s="215"/>
      <c r="JY2" s="215"/>
      <c r="JZ2" s="215"/>
      <c r="KA2" s="215"/>
      <c r="KB2" s="215"/>
      <c r="KC2" s="215"/>
      <c r="KD2" s="215"/>
      <c r="KE2" s="215"/>
      <c r="KF2" s="215"/>
      <c r="KG2" s="215"/>
      <c r="KH2" s="215"/>
      <c r="KI2" s="215"/>
      <c r="KJ2" s="215"/>
      <c r="KK2" s="215"/>
      <c r="KL2" s="215"/>
      <c r="KM2" s="215"/>
      <c r="KN2" s="215"/>
      <c r="KO2" s="215"/>
      <c r="KP2" s="215"/>
      <c r="KQ2" s="215"/>
      <c r="KR2" s="215"/>
      <c r="KS2" s="215"/>
      <c r="KT2" s="215"/>
      <c r="KU2" s="215"/>
      <c r="KV2" s="215"/>
      <c r="KW2" s="215"/>
      <c r="KX2" s="215"/>
      <c r="KY2" s="215"/>
      <c r="KZ2" s="215"/>
      <c r="LA2" s="215"/>
      <c r="LB2" s="215"/>
      <c r="LC2" s="215"/>
      <c r="LD2" s="215"/>
      <c r="LE2" s="215"/>
      <c r="LF2" s="215"/>
      <c r="LG2" s="215"/>
      <c r="LH2" s="215"/>
      <c r="LI2" s="215"/>
      <c r="LJ2" s="215"/>
      <c r="LK2" s="215"/>
      <c r="LL2" s="215"/>
      <c r="LM2" s="215"/>
      <c r="LN2" s="215"/>
      <c r="LO2" s="215"/>
      <c r="LP2" s="215"/>
      <c r="LQ2" s="215"/>
      <c r="LR2" s="215"/>
      <c r="LS2" s="215"/>
      <c r="LT2" s="215"/>
      <c r="LU2" s="215"/>
      <c r="LV2" s="215"/>
      <c r="LW2" s="215"/>
      <c r="LX2" s="215"/>
      <c r="LY2" s="215"/>
      <c r="LZ2" s="215"/>
      <c r="MA2" s="215"/>
      <c r="MB2" s="215"/>
      <c r="MC2" s="215"/>
      <c r="MD2" s="215"/>
      <c r="ME2" s="215"/>
      <c r="MF2" s="215"/>
      <c r="MG2" s="215"/>
      <c r="MH2" s="215"/>
      <c r="MI2" s="215"/>
      <c r="MJ2" s="215"/>
      <c r="MK2" s="215"/>
      <c r="ML2" s="215"/>
      <c r="MM2" s="215"/>
      <c r="MN2" s="215"/>
      <c r="MO2" s="215"/>
      <c r="MP2" s="215"/>
      <c r="MQ2" s="215"/>
      <c r="MR2" s="215"/>
      <c r="MS2" s="215"/>
      <c r="MT2" s="215"/>
      <c r="MU2" s="215"/>
      <c r="MV2" s="215"/>
      <c r="MW2" s="215"/>
      <c r="MX2" s="215"/>
      <c r="MY2" s="215"/>
      <c r="MZ2" s="215"/>
      <c r="NA2" s="215"/>
      <c r="NB2" s="215"/>
      <c r="NC2" s="215"/>
      <c r="ND2" s="215"/>
      <c r="NE2" s="215"/>
      <c r="NF2" s="215"/>
      <c r="NG2" s="215"/>
      <c r="NH2" s="215"/>
      <c r="NI2" s="215"/>
      <c r="NJ2" s="215"/>
      <c r="NK2" s="215"/>
      <c r="NL2" s="215"/>
      <c r="NM2" s="215"/>
      <c r="NN2" s="215"/>
      <c r="NO2" s="215"/>
      <c r="NP2" s="215"/>
      <c r="NQ2" s="215"/>
      <c r="NR2" s="215"/>
      <c r="NS2" s="215"/>
      <c r="NT2" s="215"/>
      <c r="NU2" s="215"/>
      <c r="NV2" s="215"/>
      <c r="NW2" s="215"/>
      <c r="NX2" s="215"/>
      <c r="NY2" s="215"/>
      <c r="NZ2" s="215"/>
      <c r="OA2" s="215"/>
      <c r="OB2" s="215"/>
      <c r="OC2" s="215"/>
      <c r="OD2" s="215"/>
      <c r="OE2" s="215"/>
      <c r="OF2" s="215"/>
      <c r="OG2" s="215"/>
      <c r="OH2" s="215"/>
      <c r="OI2" s="215"/>
      <c r="OJ2" s="215"/>
      <c r="OK2" s="215"/>
      <c r="OL2" s="215"/>
      <c r="OM2" s="215"/>
      <c r="ON2" s="215"/>
      <c r="OO2" s="215"/>
      <c r="OP2" s="215"/>
      <c r="OQ2" s="215"/>
      <c r="OR2" s="215"/>
      <c r="OS2" s="215"/>
      <c r="OT2" s="215"/>
      <c r="OU2" s="215"/>
      <c r="OV2" s="215"/>
      <c r="OW2" s="215"/>
      <c r="OX2" s="215"/>
      <c r="OY2" s="215"/>
      <c r="OZ2" s="215"/>
      <c r="PA2" s="215"/>
      <c r="PB2" s="215"/>
      <c r="PC2" s="215"/>
      <c r="PD2" s="215"/>
      <c r="PE2" s="215"/>
      <c r="PF2" s="215"/>
      <c r="PG2" s="215"/>
      <c r="PH2" s="215"/>
      <c r="PI2" s="215"/>
      <c r="PJ2" s="215"/>
      <c r="PK2" s="215"/>
      <c r="PL2" s="215"/>
      <c r="PM2" s="215"/>
      <c r="PN2" s="215"/>
      <c r="PO2" s="215"/>
      <c r="PP2" s="215"/>
      <c r="PQ2" s="215"/>
      <c r="PR2" s="215"/>
      <c r="PS2" s="215"/>
      <c r="PT2" s="215"/>
      <c r="PU2" s="215"/>
      <c r="PV2" s="215"/>
      <c r="PW2" s="215"/>
      <c r="PX2" s="215"/>
      <c r="PY2" s="215"/>
      <c r="PZ2" s="215"/>
      <c r="QA2" s="215"/>
      <c r="QB2" s="215"/>
      <c r="QC2" s="215"/>
      <c r="QD2" s="215"/>
      <c r="QE2" s="215"/>
      <c r="QF2" s="215"/>
      <c r="QG2" s="215"/>
      <c r="QH2" s="215"/>
      <c r="QI2" s="215"/>
      <c r="QJ2" s="215"/>
      <c r="QK2" s="215"/>
      <c r="QL2" s="215"/>
      <c r="QM2" s="215"/>
      <c r="QN2" s="215"/>
      <c r="QO2" s="215"/>
      <c r="QP2" s="215"/>
      <c r="QQ2" s="215"/>
      <c r="QR2" s="215"/>
      <c r="QS2" s="215"/>
      <c r="QT2" s="215"/>
      <c r="QU2" s="215"/>
      <c r="QV2" s="215"/>
      <c r="QW2" s="215"/>
      <c r="QX2" s="215"/>
      <c r="QY2" s="215"/>
      <c r="QZ2" s="215"/>
      <c r="RA2" s="215"/>
      <c r="RB2" s="215"/>
      <c r="RC2" s="215"/>
      <c r="RD2" s="215"/>
      <c r="RE2" s="215"/>
      <c r="RF2" s="215"/>
      <c r="RG2" s="215"/>
      <c r="RH2" s="215"/>
      <c r="RI2" s="215"/>
      <c r="RJ2" s="215"/>
      <c r="RK2" s="215"/>
      <c r="RL2" s="215"/>
      <c r="RM2" s="215"/>
      <c r="RN2" s="215"/>
      <c r="RO2" s="215"/>
      <c r="RP2" s="215"/>
      <c r="RQ2" s="215"/>
      <c r="RR2" s="215"/>
      <c r="RS2" s="215"/>
      <c r="RT2" s="215"/>
      <c r="RU2" s="215"/>
      <c r="RV2" s="215"/>
      <c r="RW2" s="215"/>
      <c r="RX2" s="215"/>
      <c r="RY2" s="215"/>
      <c r="RZ2" s="215"/>
      <c r="SA2" s="215"/>
      <c r="SB2" s="215"/>
      <c r="SC2" s="215"/>
      <c r="SD2" s="215"/>
      <c r="SE2" s="215"/>
      <c r="SF2" s="215"/>
      <c r="SG2" s="215"/>
      <c r="SH2" s="215"/>
      <c r="SI2" s="215"/>
      <c r="SJ2" s="215"/>
      <c r="SK2" s="215"/>
      <c r="SL2" s="215"/>
      <c r="SM2" s="215"/>
      <c r="SN2" s="215"/>
      <c r="SO2" s="215"/>
      <c r="SP2" s="215"/>
      <c r="SQ2" s="215"/>
      <c r="SR2" s="215"/>
      <c r="SS2" s="215"/>
      <c r="ST2" s="215"/>
      <c r="SU2" s="215"/>
      <c r="SV2" s="215"/>
      <c r="SW2" s="215"/>
      <c r="SX2" s="215"/>
      <c r="SY2" s="215"/>
      <c r="SZ2" s="215"/>
      <c r="TA2" s="215"/>
      <c r="TB2" s="215"/>
      <c r="TC2" s="215"/>
      <c r="TD2" s="215"/>
      <c r="TE2" s="215"/>
      <c r="TF2" s="215"/>
      <c r="TG2" s="215"/>
      <c r="TH2" s="215"/>
      <c r="TI2" s="215"/>
      <c r="TJ2" s="215"/>
      <c r="TK2" s="215"/>
      <c r="TL2" s="215"/>
      <c r="TM2" s="215"/>
      <c r="TN2" s="215"/>
      <c r="TO2" s="215"/>
      <c r="TP2" s="215"/>
      <c r="TQ2" s="215"/>
      <c r="TR2" s="215"/>
      <c r="TS2" s="215"/>
      <c r="TT2" s="215"/>
      <c r="TU2" s="215"/>
      <c r="TV2" s="215"/>
      <c r="TW2" s="215"/>
      <c r="TX2" s="215"/>
      <c r="TY2" s="215"/>
      <c r="TZ2" s="215"/>
      <c r="UA2" s="215"/>
      <c r="UB2" s="215"/>
      <c r="UC2" s="215"/>
      <c r="UD2" s="215"/>
      <c r="UE2" s="215"/>
      <c r="UF2" s="215"/>
      <c r="UG2" s="215"/>
      <c r="UH2" s="215"/>
      <c r="UI2" s="215"/>
      <c r="UJ2" s="215"/>
      <c r="UK2" s="215"/>
      <c r="UL2" s="215"/>
      <c r="UM2" s="215"/>
      <c r="UN2" s="215"/>
      <c r="UO2" s="215"/>
      <c r="UP2" s="215"/>
      <c r="UQ2" s="215"/>
      <c r="UR2" s="215"/>
      <c r="US2" s="215"/>
      <c r="UT2" s="215"/>
      <c r="UU2" s="215"/>
      <c r="UV2" s="215"/>
      <c r="UW2" s="215"/>
      <c r="UX2" s="215"/>
      <c r="UY2" s="215"/>
      <c r="UZ2" s="215"/>
      <c r="VA2" s="215"/>
      <c r="VB2" s="215"/>
      <c r="VC2" s="215"/>
      <c r="VD2" s="215"/>
      <c r="VE2" s="215"/>
      <c r="VF2" s="215"/>
      <c r="VG2" s="215"/>
      <c r="VH2" s="215"/>
      <c r="VI2" s="215"/>
      <c r="VJ2" s="215"/>
      <c r="VK2" s="215"/>
      <c r="VL2" s="215"/>
      <c r="VM2" s="215"/>
      <c r="VN2" s="215"/>
      <c r="VO2" s="215"/>
      <c r="VP2" s="215"/>
      <c r="VQ2" s="215"/>
      <c r="VR2" s="215"/>
      <c r="VS2" s="215"/>
      <c r="VT2" s="215"/>
      <c r="VU2" s="215"/>
      <c r="VV2" s="215"/>
      <c r="VW2" s="215"/>
      <c r="VX2" s="215"/>
      <c r="VY2" s="215"/>
      <c r="VZ2" s="215"/>
      <c r="WA2" s="215"/>
      <c r="WB2" s="215"/>
      <c r="WC2" s="215"/>
      <c r="WD2" s="215"/>
      <c r="WE2" s="215"/>
      <c r="WF2" s="215"/>
      <c r="WG2" s="215"/>
      <c r="WH2" s="215"/>
      <c r="WI2" s="215"/>
      <c r="WJ2" s="215"/>
      <c r="WK2" s="215"/>
      <c r="WL2" s="215"/>
      <c r="WM2" s="215"/>
      <c r="WN2" s="215"/>
      <c r="WO2" s="215"/>
      <c r="WP2" s="215"/>
      <c r="WQ2" s="215"/>
      <c r="WR2" s="215"/>
      <c r="WS2" s="215"/>
      <c r="WT2" s="215"/>
      <c r="WU2" s="215"/>
      <c r="WV2" s="215"/>
      <c r="WW2" s="215"/>
      <c r="WX2" s="215"/>
      <c r="WY2" s="215"/>
      <c r="WZ2" s="215"/>
      <c r="XA2" s="215"/>
    </row>
    <row r="3" spans="1:702" ht="8.15" customHeight="1" x14ac:dyDescent="0.35">
      <c r="A3" s="142" t="s">
        <v>544</v>
      </c>
      <c r="B3" s="146">
        <v>0</v>
      </c>
      <c r="D3" s="262"/>
      <c r="U3" s="291"/>
      <c r="X3" s="291"/>
      <c r="AR3" s="291"/>
      <c r="AS3" s="291"/>
      <c r="AT3" s="291"/>
      <c r="CU3" s="215"/>
      <c r="DH3" s="215"/>
      <c r="ID3" s="215"/>
      <c r="IE3" s="215"/>
      <c r="IF3" s="215"/>
      <c r="IG3" s="215"/>
      <c r="IH3" s="215"/>
      <c r="II3" s="215"/>
      <c r="IJ3" s="215"/>
      <c r="IK3" s="215"/>
      <c r="IL3" s="215"/>
      <c r="IM3" s="215"/>
      <c r="IN3" s="215"/>
      <c r="IO3" s="215"/>
      <c r="IP3" s="215"/>
      <c r="IQ3" s="215"/>
      <c r="IR3" s="215"/>
      <c r="IS3" s="215"/>
      <c r="IT3" s="215"/>
      <c r="IU3" s="215"/>
      <c r="IV3" s="215"/>
      <c r="IW3" s="215"/>
      <c r="IX3" s="215"/>
      <c r="IY3" s="215"/>
      <c r="IZ3" s="215"/>
      <c r="JA3" s="215"/>
      <c r="JB3" s="215"/>
      <c r="JC3" s="215"/>
      <c r="JD3" s="215"/>
      <c r="JE3" s="215"/>
      <c r="JF3" s="215"/>
      <c r="JG3" s="215"/>
      <c r="JH3" s="215"/>
      <c r="JI3" s="215"/>
      <c r="JJ3" s="215"/>
      <c r="JK3" s="215"/>
      <c r="JL3" s="215"/>
      <c r="JM3" s="215"/>
      <c r="JN3" s="215"/>
      <c r="JO3" s="215"/>
      <c r="JP3" s="215"/>
      <c r="JQ3" s="215"/>
      <c r="JR3" s="215"/>
      <c r="JS3" s="215"/>
      <c r="JT3" s="215"/>
      <c r="JU3" s="215"/>
      <c r="JV3" s="215"/>
      <c r="JW3" s="215"/>
      <c r="JX3" s="215"/>
      <c r="JY3" s="215"/>
      <c r="JZ3" s="215"/>
      <c r="KA3" s="215"/>
      <c r="KB3" s="215"/>
      <c r="KC3" s="215"/>
      <c r="KD3" s="215"/>
      <c r="KE3" s="215"/>
      <c r="KF3" s="215"/>
      <c r="KG3" s="215"/>
      <c r="KH3" s="215"/>
      <c r="KI3" s="215"/>
      <c r="KJ3" s="215"/>
      <c r="KK3" s="215"/>
      <c r="KL3" s="215"/>
      <c r="KM3" s="215"/>
      <c r="KN3" s="215"/>
      <c r="KO3" s="215"/>
      <c r="KP3" s="215"/>
      <c r="KQ3" s="215"/>
      <c r="KR3" s="215"/>
      <c r="KS3" s="215"/>
      <c r="KT3" s="215"/>
      <c r="KU3" s="215"/>
      <c r="KV3" s="215"/>
      <c r="KW3" s="215"/>
      <c r="KX3" s="215"/>
      <c r="KY3" s="215"/>
      <c r="KZ3" s="215"/>
      <c r="LA3" s="215"/>
      <c r="LB3" s="215"/>
      <c r="LC3" s="215"/>
      <c r="LD3" s="215"/>
      <c r="LE3" s="215"/>
      <c r="LF3" s="215"/>
      <c r="LG3" s="215"/>
      <c r="LH3" s="215"/>
      <c r="LI3" s="215"/>
      <c r="LJ3" s="215"/>
      <c r="LK3" s="215"/>
      <c r="LL3" s="215"/>
      <c r="LM3" s="215"/>
      <c r="LN3" s="215"/>
      <c r="LO3" s="215"/>
      <c r="LP3" s="215"/>
      <c r="LQ3" s="215"/>
      <c r="LR3" s="215"/>
      <c r="LS3" s="215"/>
      <c r="LT3" s="215"/>
      <c r="LU3" s="215"/>
      <c r="LV3" s="215"/>
      <c r="LW3" s="215"/>
      <c r="LX3" s="215"/>
      <c r="LY3" s="215"/>
      <c r="LZ3" s="215"/>
      <c r="MA3" s="215"/>
      <c r="MB3" s="215"/>
      <c r="MC3" s="215"/>
      <c r="MD3" s="215"/>
      <c r="ME3" s="215"/>
      <c r="MF3" s="215"/>
      <c r="MG3" s="215"/>
      <c r="MH3" s="215"/>
      <c r="MI3" s="215"/>
      <c r="MJ3" s="215"/>
      <c r="MK3" s="215"/>
      <c r="ML3" s="215"/>
      <c r="MM3" s="215"/>
      <c r="MN3" s="215"/>
      <c r="MO3" s="215"/>
      <c r="MP3" s="215"/>
      <c r="MQ3" s="215"/>
      <c r="MR3" s="215"/>
      <c r="MS3" s="215"/>
      <c r="MT3" s="215"/>
      <c r="MU3" s="215"/>
      <c r="MV3" s="215"/>
      <c r="MW3" s="215"/>
      <c r="MX3" s="215"/>
      <c r="MY3" s="215"/>
      <c r="MZ3" s="215"/>
      <c r="NA3" s="215"/>
      <c r="NB3" s="215"/>
      <c r="NC3" s="215"/>
      <c r="ND3" s="215"/>
      <c r="NE3" s="215"/>
      <c r="NF3" s="215"/>
      <c r="NG3" s="215"/>
      <c r="NH3" s="215"/>
      <c r="NI3" s="215"/>
      <c r="NJ3" s="215"/>
      <c r="NK3" s="215"/>
      <c r="NL3" s="215"/>
      <c r="NM3" s="215"/>
      <c r="NN3" s="215"/>
      <c r="NO3" s="215"/>
      <c r="NP3" s="215"/>
      <c r="NQ3" s="215"/>
      <c r="NR3" s="215"/>
      <c r="NS3" s="215"/>
      <c r="NT3" s="215"/>
      <c r="NU3" s="215"/>
      <c r="NV3" s="215"/>
      <c r="NW3" s="215"/>
      <c r="NX3" s="215"/>
      <c r="NY3" s="215"/>
      <c r="NZ3" s="215"/>
      <c r="OA3" s="215"/>
      <c r="OB3" s="215"/>
      <c r="OC3" s="215"/>
      <c r="OD3" s="215"/>
      <c r="OE3" s="215"/>
      <c r="OF3" s="215"/>
      <c r="OG3" s="215"/>
      <c r="OH3" s="215"/>
      <c r="OI3" s="215"/>
      <c r="OJ3" s="215"/>
      <c r="OK3" s="215"/>
      <c r="OL3" s="215"/>
      <c r="OM3" s="215"/>
      <c r="ON3" s="215"/>
      <c r="OO3" s="215"/>
      <c r="OP3" s="215"/>
      <c r="OQ3" s="215"/>
      <c r="OR3" s="215"/>
      <c r="OS3" s="215"/>
      <c r="OT3" s="215"/>
      <c r="OU3" s="215"/>
      <c r="OV3" s="215"/>
      <c r="OW3" s="215"/>
      <c r="OX3" s="215"/>
      <c r="OY3" s="215"/>
      <c r="OZ3" s="215"/>
      <c r="PA3" s="215"/>
      <c r="PB3" s="215"/>
      <c r="PC3" s="215"/>
      <c r="PD3" s="215"/>
      <c r="PE3" s="215"/>
      <c r="PF3" s="215"/>
      <c r="PG3" s="215"/>
      <c r="PH3" s="215"/>
      <c r="PI3" s="215"/>
      <c r="PJ3" s="215"/>
      <c r="PK3" s="215"/>
      <c r="PL3" s="215"/>
      <c r="PM3" s="215"/>
      <c r="PN3" s="215"/>
      <c r="PO3" s="215"/>
      <c r="PP3" s="215"/>
      <c r="PQ3" s="215"/>
      <c r="PR3" s="215"/>
      <c r="PS3" s="215"/>
      <c r="PT3" s="215"/>
      <c r="PU3" s="215"/>
      <c r="PV3" s="215"/>
      <c r="PW3" s="215"/>
      <c r="PX3" s="215"/>
      <c r="PY3" s="215"/>
      <c r="PZ3" s="215"/>
      <c r="QA3" s="215"/>
      <c r="QB3" s="215"/>
      <c r="QC3" s="215"/>
      <c r="QD3" s="215"/>
      <c r="QE3" s="215"/>
      <c r="QF3" s="215"/>
      <c r="QG3" s="215"/>
      <c r="QH3" s="215"/>
      <c r="QI3" s="215"/>
      <c r="QJ3" s="215"/>
      <c r="QK3" s="215"/>
      <c r="QL3" s="215"/>
      <c r="QM3" s="215"/>
      <c r="QN3" s="215"/>
      <c r="QO3" s="215"/>
      <c r="QP3" s="215"/>
      <c r="QQ3" s="215"/>
      <c r="QR3" s="215"/>
      <c r="QS3" s="215"/>
      <c r="QT3" s="215"/>
      <c r="QU3" s="215"/>
      <c r="QV3" s="215"/>
      <c r="QW3" s="215"/>
      <c r="QX3" s="215"/>
      <c r="QY3" s="215"/>
      <c r="QZ3" s="215"/>
      <c r="RA3" s="215"/>
      <c r="RB3" s="215"/>
      <c r="RC3" s="215"/>
      <c r="RD3" s="215"/>
      <c r="RE3" s="215"/>
      <c r="RF3" s="215"/>
      <c r="RG3" s="215"/>
      <c r="RH3" s="215"/>
      <c r="RI3" s="215"/>
      <c r="RJ3" s="215"/>
      <c r="RK3" s="215"/>
      <c r="RL3" s="215"/>
      <c r="RM3" s="215"/>
      <c r="RN3" s="215"/>
      <c r="RO3" s="215"/>
      <c r="RP3" s="215"/>
      <c r="RQ3" s="215"/>
      <c r="RR3" s="215"/>
      <c r="RS3" s="215"/>
      <c r="RT3" s="215"/>
      <c r="RU3" s="215"/>
      <c r="RV3" s="215"/>
      <c r="RW3" s="215"/>
      <c r="RX3" s="215"/>
      <c r="RY3" s="215"/>
      <c r="RZ3" s="215"/>
      <c r="SA3" s="215"/>
      <c r="SB3" s="215"/>
      <c r="SC3" s="215"/>
      <c r="SD3" s="215"/>
      <c r="SE3" s="215"/>
      <c r="SF3" s="215"/>
      <c r="SG3" s="215"/>
      <c r="SH3" s="215"/>
      <c r="SI3" s="215"/>
      <c r="SJ3" s="215"/>
      <c r="SK3" s="215"/>
      <c r="SL3" s="215"/>
      <c r="SM3" s="215"/>
      <c r="SN3" s="215"/>
      <c r="SO3" s="215"/>
      <c r="SP3" s="215"/>
      <c r="SQ3" s="215"/>
      <c r="SR3" s="215"/>
      <c r="SS3" s="215"/>
      <c r="ST3" s="215"/>
      <c r="SU3" s="215"/>
      <c r="SV3" s="215"/>
      <c r="SW3" s="215"/>
      <c r="SX3" s="215"/>
      <c r="SY3" s="215"/>
      <c r="SZ3" s="215"/>
      <c r="TA3" s="215"/>
      <c r="TB3" s="215"/>
      <c r="TC3" s="215"/>
      <c r="TD3" s="215"/>
      <c r="TE3" s="215"/>
      <c r="TF3" s="215"/>
      <c r="TG3" s="215"/>
      <c r="TH3" s="215"/>
      <c r="TI3" s="215"/>
      <c r="TJ3" s="215"/>
      <c r="TK3" s="215"/>
      <c r="TL3" s="215"/>
      <c r="TM3" s="215"/>
      <c r="TN3" s="215"/>
      <c r="TO3" s="215"/>
      <c r="TP3" s="215"/>
      <c r="TQ3" s="215"/>
      <c r="TR3" s="215"/>
      <c r="TS3" s="215"/>
      <c r="TT3" s="215"/>
      <c r="TU3" s="215"/>
      <c r="TV3" s="215"/>
      <c r="TW3" s="215"/>
      <c r="TX3" s="215"/>
      <c r="TY3" s="215"/>
      <c r="TZ3" s="215"/>
      <c r="UA3" s="215"/>
      <c r="UB3" s="215"/>
      <c r="UC3" s="215"/>
      <c r="UD3" s="215"/>
      <c r="UE3" s="215"/>
      <c r="UF3" s="215"/>
      <c r="UG3" s="215"/>
      <c r="UH3" s="215"/>
      <c r="UI3" s="215"/>
      <c r="UJ3" s="215"/>
      <c r="UK3" s="215"/>
      <c r="UL3" s="215"/>
      <c r="UM3" s="215"/>
      <c r="UN3" s="215"/>
      <c r="UO3" s="215"/>
      <c r="UP3" s="215"/>
      <c r="UQ3" s="215"/>
      <c r="UR3" s="215"/>
      <c r="US3" s="215"/>
      <c r="UT3" s="215"/>
      <c r="UU3" s="215"/>
      <c r="UV3" s="215"/>
      <c r="UW3" s="215"/>
      <c r="UX3" s="215"/>
      <c r="UY3" s="215"/>
      <c r="UZ3" s="215"/>
      <c r="VA3" s="215"/>
      <c r="VB3" s="215"/>
      <c r="VC3" s="215"/>
      <c r="VD3" s="215"/>
      <c r="VE3" s="215"/>
      <c r="VF3" s="215"/>
      <c r="VG3" s="215"/>
      <c r="VH3" s="215"/>
      <c r="VI3" s="215"/>
      <c r="VJ3" s="215"/>
      <c r="VK3" s="215"/>
      <c r="VL3" s="215"/>
      <c r="VM3" s="215"/>
      <c r="VN3" s="215"/>
      <c r="VO3" s="215"/>
      <c r="VP3" s="215"/>
      <c r="VQ3" s="215"/>
      <c r="VR3" s="215"/>
      <c r="VS3" s="215"/>
      <c r="VT3" s="215"/>
      <c r="VU3" s="215"/>
      <c r="VV3" s="215"/>
      <c r="VW3" s="215"/>
      <c r="VX3" s="215"/>
      <c r="VY3" s="215"/>
      <c r="VZ3" s="215"/>
      <c r="WA3" s="215"/>
      <c r="WB3" s="215"/>
      <c r="WC3" s="215"/>
      <c r="WD3" s="215"/>
      <c r="WE3" s="215"/>
      <c r="WF3" s="215"/>
      <c r="WG3" s="215"/>
      <c r="WH3" s="215"/>
      <c r="WI3" s="215"/>
      <c r="WJ3" s="215"/>
      <c r="WK3" s="215"/>
      <c r="WL3" s="215"/>
      <c r="WM3" s="215"/>
      <c r="WN3" s="215"/>
      <c r="WO3" s="215"/>
      <c r="WP3" s="215"/>
      <c r="WQ3" s="215"/>
      <c r="WR3" s="215"/>
      <c r="WS3" s="215"/>
      <c r="WT3" s="215"/>
      <c r="WU3" s="215"/>
      <c r="WV3" s="215"/>
      <c r="WW3" s="215"/>
      <c r="WX3" s="215"/>
      <c r="WY3" s="215"/>
      <c r="WZ3" s="215"/>
      <c r="XA3" s="215"/>
    </row>
    <row r="4" spans="1:702" ht="8.15" customHeight="1" x14ac:dyDescent="0.35">
      <c r="A4" s="142" t="s">
        <v>545</v>
      </c>
      <c r="B4" s="146">
        <f>M38</f>
        <v>41</v>
      </c>
      <c r="D4" s="262"/>
      <c r="R4" s="279"/>
      <c r="S4" s="279"/>
      <c r="U4" s="291"/>
      <c r="X4" s="291"/>
      <c r="AR4" s="291"/>
      <c r="AS4" s="291"/>
      <c r="AT4" s="291"/>
      <c r="CU4" s="215"/>
      <c r="DH4" s="215"/>
      <c r="ID4" s="215"/>
      <c r="IE4" s="215"/>
      <c r="IF4" s="215"/>
      <c r="IG4" s="215"/>
      <c r="IH4" s="215"/>
      <c r="II4" s="215"/>
      <c r="IJ4" s="215"/>
      <c r="IK4" s="215"/>
      <c r="IL4" s="215"/>
      <c r="IM4" s="215"/>
      <c r="IN4" s="215"/>
      <c r="IO4" s="215"/>
      <c r="IP4" s="215"/>
      <c r="IQ4" s="215"/>
      <c r="IR4" s="215"/>
      <c r="IS4" s="215"/>
      <c r="IT4" s="215"/>
      <c r="IU4" s="215"/>
      <c r="IV4" s="215"/>
      <c r="IW4" s="215"/>
      <c r="IX4" s="215"/>
      <c r="IY4" s="215"/>
      <c r="IZ4" s="215"/>
      <c r="JA4" s="215"/>
      <c r="JB4" s="215"/>
      <c r="JC4" s="215"/>
      <c r="JD4" s="215"/>
      <c r="JE4" s="215"/>
      <c r="JF4" s="215"/>
      <c r="JG4" s="215"/>
      <c r="JH4" s="215"/>
      <c r="JI4" s="215"/>
      <c r="JJ4" s="215"/>
      <c r="JK4" s="215"/>
      <c r="JL4" s="215"/>
      <c r="JM4" s="215"/>
      <c r="JN4" s="215"/>
      <c r="JO4" s="215"/>
      <c r="JP4" s="215"/>
      <c r="JQ4" s="215"/>
      <c r="JR4" s="215"/>
      <c r="JS4" s="215"/>
      <c r="JT4" s="215"/>
      <c r="JU4" s="215"/>
      <c r="JV4" s="215"/>
      <c r="JW4" s="215"/>
      <c r="JX4" s="215"/>
      <c r="JY4" s="215"/>
      <c r="JZ4" s="215"/>
      <c r="KA4" s="215"/>
      <c r="KB4" s="215"/>
      <c r="KC4" s="215"/>
      <c r="KD4" s="215"/>
      <c r="KE4" s="215"/>
      <c r="KF4" s="215"/>
      <c r="KG4" s="215"/>
      <c r="KH4" s="215"/>
      <c r="KI4" s="215"/>
      <c r="KJ4" s="215"/>
      <c r="KK4" s="215"/>
      <c r="KL4" s="215"/>
      <c r="KM4" s="215"/>
      <c r="KN4" s="215"/>
      <c r="KO4" s="215"/>
      <c r="KP4" s="215"/>
      <c r="KQ4" s="215"/>
      <c r="KR4" s="215"/>
      <c r="KS4" s="215"/>
      <c r="KT4" s="215"/>
      <c r="KU4" s="215"/>
      <c r="KV4" s="215"/>
      <c r="KW4" s="215"/>
      <c r="KX4" s="215"/>
      <c r="KY4" s="215"/>
      <c r="KZ4" s="215"/>
      <c r="LA4" s="215"/>
      <c r="LB4" s="215"/>
      <c r="LC4" s="215"/>
      <c r="LD4" s="215"/>
      <c r="LE4" s="215"/>
      <c r="LF4" s="215"/>
      <c r="LG4" s="215"/>
      <c r="LH4" s="215"/>
      <c r="LI4" s="215"/>
      <c r="LJ4" s="215"/>
      <c r="LK4" s="215"/>
      <c r="LL4" s="215"/>
      <c r="LM4" s="215"/>
      <c r="LN4" s="215"/>
      <c r="LO4" s="215"/>
      <c r="LP4" s="215"/>
      <c r="LQ4" s="215"/>
      <c r="LR4" s="215"/>
      <c r="LS4" s="215"/>
      <c r="LT4" s="215"/>
      <c r="LU4" s="215"/>
      <c r="LV4" s="215"/>
      <c r="LW4" s="215"/>
      <c r="LX4" s="215"/>
      <c r="LY4" s="215"/>
      <c r="LZ4" s="215"/>
      <c r="MA4" s="215"/>
      <c r="MB4" s="215"/>
      <c r="MC4" s="215"/>
      <c r="MD4" s="215"/>
      <c r="ME4" s="215"/>
      <c r="MF4" s="215"/>
      <c r="MG4" s="215"/>
      <c r="MH4" s="215"/>
      <c r="MI4" s="215"/>
      <c r="MJ4" s="215"/>
      <c r="MK4" s="215"/>
      <c r="ML4" s="215"/>
      <c r="MM4" s="215"/>
      <c r="MN4" s="215"/>
      <c r="MO4" s="215"/>
      <c r="MP4" s="215"/>
      <c r="MQ4" s="215"/>
      <c r="MR4" s="215"/>
      <c r="MS4" s="215"/>
      <c r="MT4" s="215"/>
      <c r="MU4" s="215"/>
      <c r="MV4" s="215"/>
      <c r="MW4" s="215"/>
      <c r="MX4" s="215"/>
      <c r="MY4" s="215"/>
      <c r="MZ4" s="215"/>
      <c r="NA4" s="215"/>
      <c r="NB4" s="215"/>
      <c r="NC4" s="215"/>
      <c r="ND4" s="215"/>
      <c r="NE4" s="215"/>
      <c r="NF4" s="215"/>
      <c r="NG4" s="215"/>
      <c r="NH4" s="215"/>
      <c r="NI4" s="215"/>
      <c r="NJ4" s="215"/>
      <c r="NK4" s="215"/>
      <c r="NL4" s="215"/>
      <c r="NM4" s="215"/>
      <c r="NN4" s="215"/>
      <c r="NO4" s="215"/>
      <c r="NP4" s="215"/>
      <c r="NQ4" s="215"/>
      <c r="NR4" s="215"/>
      <c r="NS4" s="215"/>
      <c r="NT4" s="215"/>
      <c r="NU4" s="215"/>
      <c r="NV4" s="215"/>
      <c r="NW4" s="215"/>
      <c r="NX4" s="215"/>
      <c r="NY4" s="215"/>
      <c r="NZ4" s="215"/>
      <c r="OA4" s="215"/>
      <c r="OB4" s="215"/>
      <c r="OC4" s="215"/>
      <c r="OD4" s="215"/>
      <c r="OE4" s="215"/>
      <c r="OF4" s="215"/>
      <c r="OG4" s="215"/>
      <c r="OH4" s="215"/>
      <c r="OI4" s="215"/>
      <c r="OJ4" s="215"/>
      <c r="OK4" s="215"/>
      <c r="OL4" s="215"/>
      <c r="OM4" s="215"/>
      <c r="ON4" s="215"/>
      <c r="OO4" s="215"/>
      <c r="OP4" s="215"/>
      <c r="OQ4" s="215"/>
      <c r="OR4" s="215"/>
      <c r="OS4" s="215"/>
      <c r="OT4" s="215"/>
      <c r="OU4" s="215"/>
      <c r="OV4" s="215"/>
      <c r="OW4" s="215"/>
      <c r="OX4" s="215"/>
      <c r="OY4" s="215"/>
      <c r="OZ4" s="215"/>
      <c r="PA4" s="215"/>
      <c r="PB4" s="215"/>
      <c r="PC4" s="215"/>
      <c r="PD4" s="215"/>
      <c r="PE4" s="215"/>
      <c r="PF4" s="215"/>
      <c r="PG4" s="215"/>
      <c r="PH4" s="215"/>
      <c r="PI4" s="215"/>
      <c r="PJ4" s="215"/>
      <c r="PK4" s="215"/>
      <c r="PL4" s="215"/>
      <c r="PM4" s="215"/>
      <c r="PN4" s="215"/>
      <c r="PO4" s="215"/>
      <c r="PP4" s="215"/>
      <c r="PQ4" s="215"/>
      <c r="PR4" s="215"/>
      <c r="PS4" s="215"/>
      <c r="PT4" s="215"/>
      <c r="PU4" s="215"/>
      <c r="PV4" s="215"/>
      <c r="PW4" s="215"/>
      <c r="PX4" s="215"/>
      <c r="PY4" s="215"/>
      <c r="PZ4" s="215"/>
      <c r="QA4" s="215"/>
      <c r="QB4" s="215"/>
      <c r="QC4" s="215"/>
      <c r="QD4" s="215"/>
      <c r="QE4" s="215"/>
      <c r="QF4" s="215"/>
      <c r="QG4" s="215"/>
      <c r="QH4" s="215"/>
      <c r="QI4" s="215"/>
      <c r="QJ4" s="215"/>
      <c r="QK4" s="215"/>
      <c r="QL4" s="215"/>
      <c r="QM4" s="215"/>
      <c r="QN4" s="215"/>
      <c r="QO4" s="215"/>
      <c r="QP4" s="215"/>
      <c r="QQ4" s="215"/>
      <c r="QR4" s="215"/>
      <c r="QS4" s="215"/>
      <c r="QT4" s="215"/>
      <c r="QU4" s="215"/>
      <c r="QV4" s="215"/>
      <c r="QW4" s="215"/>
      <c r="QX4" s="215"/>
      <c r="QY4" s="215"/>
      <c r="QZ4" s="215"/>
      <c r="RA4" s="215"/>
      <c r="RB4" s="215"/>
      <c r="RC4" s="215"/>
      <c r="RD4" s="215"/>
      <c r="RE4" s="215"/>
      <c r="RF4" s="215"/>
      <c r="RG4" s="215"/>
      <c r="RH4" s="215"/>
      <c r="RI4" s="215"/>
      <c r="RJ4" s="215"/>
      <c r="RK4" s="215"/>
      <c r="RL4" s="215"/>
      <c r="RM4" s="215"/>
      <c r="RN4" s="215"/>
      <c r="RO4" s="215"/>
      <c r="RP4" s="215"/>
      <c r="RQ4" s="215"/>
      <c r="RR4" s="215"/>
      <c r="RS4" s="215"/>
      <c r="RT4" s="215"/>
      <c r="RU4" s="215"/>
      <c r="RV4" s="215"/>
      <c r="RW4" s="215"/>
      <c r="RX4" s="215"/>
      <c r="RY4" s="215"/>
      <c r="RZ4" s="215"/>
      <c r="SA4" s="215"/>
      <c r="SB4" s="215"/>
      <c r="SC4" s="215"/>
      <c r="SD4" s="215"/>
      <c r="SE4" s="215"/>
      <c r="SF4" s="215"/>
      <c r="SG4" s="215"/>
      <c r="SH4" s="215"/>
      <c r="SI4" s="215"/>
      <c r="SJ4" s="215"/>
      <c r="SK4" s="215"/>
      <c r="SL4" s="215"/>
      <c r="SM4" s="215"/>
      <c r="SN4" s="215"/>
      <c r="SO4" s="215"/>
      <c r="SP4" s="215"/>
      <c r="SQ4" s="215"/>
      <c r="SR4" s="215"/>
      <c r="SS4" s="215"/>
      <c r="ST4" s="215"/>
      <c r="SU4" s="215"/>
      <c r="SV4" s="215"/>
      <c r="SW4" s="215"/>
      <c r="SX4" s="215"/>
      <c r="SY4" s="215"/>
      <c r="SZ4" s="215"/>
      <c r="TA4" s="215"/>
      <c r="TB4" s="215"/>
      <c r="TC4" s="215"/>
      <c r="TD4" s="215"/>
      <c r="TE4" s="215"/>
      <c r="TF4" s="215"/>
      <c r="TG4" s="215"/>
      <c r="TH4" s="215"/>
      <c r="TI4" s="215"/>
      <c r="TJ4" s="215"/>
      <c r="TK4" s="215"/>
      <c r="TL4" s="215"/>
      <c r="TM4" s="215"/>
      <c r="TN4" s="215"/>
      <c r="TO4" s="215"/>
      <c r="TP4" s="215"/>
      <c r="TQ4" s="215"/>
      <c r="TR4" s="215"/>
      <c r="TS4" s="215"/>
      <c r="TT4" s="215"/>
      <c r="TU4" s="215"/>
      <c r="TV4" s="215"/>
      <c r="TW4" s="215"/>
      <c r="TX4" s="215"/>
      <c r="TY4" s="215"/>
      <c r="TZ4" s="215"/>
      <c r="UA4" s="215"/>
      <c r="UB4" s="215"/>
      <c r="UC4" s="215"/>
      <c r="UD4" s="215"/>
      <c r="UE4" s="215"/>
      <c r="UF4" s="215"/>
      <c r="UG4" s="215"/>
      <c r="UH4" s="215"/>
      <c r="UI4" s="215"/>
      <c r="UJ4" s="215"/>
      <c r="UK4" s="215"/>
      <c r="UL4" s="215"/>
      <c r="UM4" s="215"/>
      <c r="UN4" s="215"/>
      <c r="UO4" s="215"/>
      <c r="UP4" s="215"/>
      <c r="UQ4" s="215"/>
      <c r="UR4" s="215"/>
      <c r="US4" s="215"/>
      <c r="UT4" s="215"/>
      <c r="UU4" s="215"/>
      <c r="UV4" s="215"/>
      <c r="UW4" s="215"/>
      <c r="UX4" s="215"/>
      <c r="UY4" s="215"/>
      <c r="UZ4" s="215"/>
      <c r="VA4" s="215"/>
      <c r="VB4" s="215"/>
      <c r="VC4" s="215"/>
      <c r="VD4" s="215"/>
      <c r="VE4" s="215"/>
      <c r="VF4" s="215"/>
      <c r="VG4" s="215"/>
      <c r="VH4" s="215"/>
      <c r="VI4" s="215"/>
      <c r="VJ4" s="215"/>
      <c r="VK4" s="215"/>
      <c r="VL4" s="215"/>
      <c r="VM4" s="215"/>
      <c r="VN4" s="215"/>
      <c r="VO4" s="215"/>
      <c r="VP4" s="215"/>
      <c r="VQ4" s="215"/>
      <c r="VR4" s="215"/>
      <c r="VS4" s="215"/>
      <c r="VT4" s="215"/>
      <c r="VU4" s="215"/>
      <c r="VV4" s="215"/>
      <c r="VW4" s="215"/>
      <c r="VX4" s="215"/>
      <c r="VY4" s="215"/>
      <c r="VZ4" s="215"/>
      <c r="WA4" s="215"/>
      <c r="WB4" s="215"/>
      <c r="WC4" s="215"/>
      <c r="WD4" s="215"/>
      <c r="WE4" s="215"/>
      <c r="WF4" s="215"/>
      <c r="WG4" s="215"/>
      <c r="WH4" s="215"/>
      <c r="WI4" s="215"/>
      <c r="WJ4" s="215"/>
      <c r="WK4" s="215"/>
      <c r="WL4" s="215"/>
      <c r="WM4" s="215"/>
      <c r="WN4" s="215"/>
      <c r="WO4" s="215"/>
      <c r="WP4" s="215"/>
      <c r="WQ4" s="215"/>
      <c r="WR4" s="215"/>
      <c r="WS4" s="215"/>
      <c r="WT4" s="215"/>
      <c r="WU4" s="215"/>
      <c r="WV4" s="215"/>
      <c r="WW4" s="215"/>
      <c r="WX4" s="215"/>
      <c r="WY4" s="215"/>
      <c r="WZ4" s="215"/>
      <c r="XA4" s="215"/>
    </row>
    <row r="5" spans="1:702" ht="3.75" customHeight="1" x14ac:dyDescent="0.35">
      <c r="A5" s="142" t="s">
        <v>546</v>
      </c>
      <c r="B5" s="146">
        <v>6</v>
      </c>
      <c r="D5" s="262"/>
      <c r="I5" s="263"/>
      <c r="L5" s="280"/>
      <c r="M5" s="280"/>
      <c r="O5" s="263"/>
      <c r="P5" s="264"/>
      <c r="U5" s="291"/>
      <c r="X5" s="291"/>
      <c r="AQ5" s="279"/>
      <c r="AR5" s="291"/>
      <c r="AS5" s="291"/>
      <c r="AT5" s="291"/>
      <c r="CU5" s="215"/>
      <c r="DH5" s="215"/>
      <c r="ID5" s="215"/>
      <c r="IE5" s="215"/>
      <c r="IF5" s="215"/>
      <c r="IG5" s="215"/>
      <c r="IH5" s="215"/>
      <c r="II5" s="215"/>
      <c r="IJ5" s="215"/>
      <c r="IK5" s="215"/>
      <c r="IL5" s="215"/>
      <c r="IM5" s="215"/>
      <c r="IN5" s="215"/>
      <c r="IO5" s="215"/>
      <c r="IP5" s="215"/>
      <c r="IQ5" s="215"/>
      <c r="IR5" s="215"/>
      <c r="IS5" s="215"/>
      <c r="IT5" s="215"/>
      <c r="IU5" s="215"/>
      <c r="IV5" s="215"/>
      <c r="IW5" s="215"/>
      <c r="IX5" s="215"/>
      <c r="IY5" s="215"/>
      <c r="IZ5" s="215"/>
      <c r="JA5" s="215"/>
      <c r="JB5" s="215"/>
      <c r="JC5" s="215"/>
      <c r="JD5" s="215"/>
      <c r="JE5" s="215"/>
      <c r="JF5" s="215"/>
      <c r="JG5" s="215"/>
      <c r="JH5" s="215"/>
      <c r="JI5" s="215"/>
      <c r="JJ5" s="215"/>
      <c r="JK5" s="215"/>
      <c r="JL5" s="215"/>
      <c r="JM5" s="215"/>
      <c r="JN5" s="215"/>
      <c r="JO5" s="215"/>
      <c r="JP5" s="215"/>
      <c r="JQ5" s="215"/>
      <c r="JR5" s="215"/>
      <c r="JS5" s="215"/>
      <c r="JT5" s="215"/>
      <c r="JU5" s="215"/>
      <c r="JV5" s="215"/>
      <c r="JW5" s="215"/>
      <c r="JX5" s="215"/>
      <c r="JY5" s="215"/>
      <c r="JZ5" s="215"/>
      <c r="KA5" s="215"/>
      <c r="KB5" s="215"/>
      <c r="KC5" s="215"/>
      <c r="KD5" s="215"/>
      <c r="KE5" s="215"/>
      <c r="KF5" s="215"/>
      <c r="KG5" s="215"/>
      <c r="KH5" s="215"/>
      <c r="KI5" s="215"/>
      <c r="KJ5" s="215"/>
      <c r="KK5" s="215"/>
      <c r="KL5" s="215"/>
      <c r="KM5" s="215"/>
      <c r="KN5" s="215"/>
      <c r="KO5" s="215"/>
      <c r="KP5" s="215"/>
      <c r="KQ5" s="215"/>
      <c r="KR5" s="215"/>
      <c r="KS5" s="215"/>
      <c r="KT5" s="215"/>
      <c r="KU5" s="215"/>
      <c r="KV5" s="215"/>
      <c r="KW5" s="215"/>
      <c r="KX5" s="215"/>
      <c r="KY5" s="215"/>
      <c r="KZ5" s="215"/>
      <c r="LA5" s="215"/>
      <c r="LB5" s="215"/>
      <c r="LC5" s="215"/>
      <c r="LD5" s="215"/>
      <c r="LE5" s="215"/>
      <c r="LF5" s="215"/>
      <c r="LG5" s="215"/>
      <c r="LH5" s="215"/>
      <c r="LI5" s="215"/>
      <c r="LJ5" s="215"/>
      <c r="LK5" s="215"/>
      <c r="LL5" s="215"/>
      <c r="LM5" s="215"/>
      <c r="LN5" s="215"/>
      <c r="LO5" s="215"/>
      <c r="LP5" s="215"/>
      <c r="LQ5" s="215"/>
      <c r="LR5" s="215"/>
      <c r="LS5" s="215"/>
      <c r="LT5" s="215"/>
      <c r="LU5" s="215"/>
      <c r="LV5" s="215"/>
      <c r="LW5" s="215"/>
      <c r="LX5" s="215"/>
      <c r="LY5" s="215"/>
      <c r="LZ5" s="215"/>
      <c r="MA5" s="215"/>
      <c r="MB5" s="215"/>
      <c r="MC5" s="215"/>
      <c r="MD5" s="215"/>
      <c r="ME5" s="215"/>
      <c r="MF5" s="215"/>
      <c r="MG5" s="215"/>
      <c r="MH5" s="215"/>
      <c r="MI5" s="215"/>
      <c r="MJ5" s="215"/>
      <c r="MK5" s="215"/>
      <c r="ML5" s="215"/>
      <c r="MM5" s="215"/>
      <c r="MN5" s="215"/>
      <c r="MO5" s="215"/>
      <c r="MP5" s="215"/>
      <c r="MQ5" s="215"/>
      <c r="MR5" s="215"/>
      <c r="MS5" s="215"/>
      <c r="MT5" s="215"/>
      <c r="MU5" s="215"/>
      <c r="MV5" s="215"/>
      <c r="MW5" s="215"/>
      <c r="MX5" s="215"/>
      <c r="MY5" s="215"/>
      <c r="MZ5" s="215"/>
      <c r="NA5" s="215"/>
      <c r="NB5" s="215"/>
      <c r="NC5" s="215"/>
      <c r="ND5" s="215"/>
      <c r="NE5" s="215"/>
      <c r="NF5" s="215"/>
      <c r="NG5" s="215"/>
      <c r="NH5" s="215"/>
      <c r="NI5" s="215"/>
      <c r="NJ5" s="215"/>
      <c r="NK5" s="215"/>
      <c r="NL5" s="215"/>
      <c r="NM5" s="215"/>
      <c r="NN5" s="215"/>
      <c r="NO5" s="215"/>
      <c r="NP5" s="215"/>
      <c r="NQ5" s="215"/>
      <c r="NR5" s="215"/>
      <c r="NS5" s="215"/>
      <c r="NT5" s="215"/>
      <c r="NU5" s="215"/>
      <c r="NV5" s="215"/>
      <c r="NW5" s="215"/>
      <c r="NX5" s="215"/>
      <c r="NY5" s="215"/>
      <c r="NZ5" s="215"/>
      <c r="OA5" s="215"/>
      <c r="OB5" s="215"/>
      <c r="OC5" s="215"/>
      <c r="OD5" s="215"/>
      <c r="OE5" s="215"/>
      <c r="OF5" s="215"/>
      <c r="OG5" s="215"/>
      <c r="OH5" s="215"/>
      <c r="OI5" s="215"/>
      <c r="OJ5" s="215"/>
      <c r="OK5" s="215"/>
      <c r="OL5" s="215"/>
      <c r="OM5" s="215"/>
      <c r="ON5" s="215"/>
      <c r="OO5" s="215"/>
      <c r="OP5" s="215"/>
      <c r="OQ5" s="215"/>
      <c r="OR5" s="215"/>
      <c r="OS5" s="215"/>
      <c r="OT5" s="215"/>
      <c r="OU5" s="215"/>
      <c r="OV5" s="215"/>
      <c r="OW5" s="215"/>
      <c r="OX5" s="215"/>
      <c r="OY5" s="215"/>
      <c r="OZ5" s="215"/>
      <c r="PA5" s="215"/>
      <c r="PB5" s="215"/>
      <c r="PC5" s="215"/>
      <c r="PD5" s="215"/>
      <c r="PE5" s="215"/>
      <c r="PF5" s="215"/>
      <c r="PG5" s="215"/>
      <c r="PH5" s="215"/>
      <c r="PI5" s="215"/>
      <c r="PJ5" s="215"/>
      <c r="PK5" s="215"/>
      <c r="PL5" s="215"/>
      <c r="PM5" s="215"/>
      <c r="PN5" s="215"/>
      <c r="PO5" s="215"/>
      <c r="PP5" s="215"/>
      <c r="PQ5" s="215"/>
      <c r="PR5" s="215"/>
      <c r="PS5" s="215"/>
      <c r="PT5" s="215"/>
      <c r="PU5" s="215"/>
      <c r="PV5" s="215"/>
      <c r="PW5" s="215"/>
      <c r="PX5" s="215"/>
      <c r="PY5" s="215"/>
      <c r="PZ5" s="215"/>
      <c r="QA5" s="215"/>
      <c r="QB5" s="215"/>
      <c r="QC5" s="215"/>
      <c r="QD5" s="215"/>
      <c r="QE5" s="215"/>
      <c r="QF5" s="215"/>
      <c r="QG5" s="215"/>
      <c r="QH5" s="215"/>
      <c r="QI5" s="215"/>
      <c r="QJ5" s="215"/>
      <c r="QK5" s="215"/>
      <c r="QL5" s="215"/>
      <c r="QM5" s="215"/>
      <c r="QN5" s="215"/>
      <c r="QO5" s="215"/>
      <c r="QP5" s="215"/>
      <c r="QQ5" s="215"/>
      <c r="QR5" s="215"/>
      <c r="QS5" s="215"/>
      <c r="QT5" s="215"/>
      <c r="QU5" s="215"/>
      <c r="QV5" s="215"/>
      <c r="QW5" s="215"/>
      <c r="QX5" s="215"/>
      <c r="QY5" s="215"/>
      <c r="QZ5" s="215"/>
      <c r="RA5" s="215"/>
      <c r="RB5" s="215"/>
      <c r="RC5" s="215"/>
      <c r="RD5" s="215"/>
      <c r="RE5" s="215"/>
      <c r="RF5" s="215"/>
      <c r="RG5" s="215"/>
      <c r="RH5" s="215"/>
      <c r="RI5" s="215"/>
      <c r="RJ5" s="215"/>
      <c r="RK5" s="215"/>
      <c r="RL5" s="215"/>
      <c r="RM5" s="215"/>
      <c r="RN5" s="215"/>
      <c r="RO5" s="215"/>
      <c r="RP5" s="215"/>
      <c r="RQ5" s="215"/>
      <c r="RR5" s="215"/>
      <c r="RS5" s="215"/>
      <c r="RT5" s="215"/>
      <c r="RU5" s="215"/>
      <c r="RV5" s="215"/>
      <c r="RW5" s="215"/>
      <c r="RX5" s="215"/>
      <c r="RY5" s="215"/>
      <c r="RZ5" s="215"/>
      <c r="SA5" s="215"/>
      <c r="SB5" s="215"/>
      <c r="SC5" s="215"/>
      <c r="SD5" s="215"/>
      <c r="SE5" s="215"/>
      <c r="SF5" s="215"/>
      <c r="SG5" s="215"/>
      <c r="SH5" s="215"/>
      <c r="SI5" s="215"/>
      <c r="SJ5" s="215"/>
      <c r="SK5" s="215"/>
      <c r="SL5" s="215"/>
      <c r="SM5" s="215"/>
      <c r="SN5" s="215"/>
      <c r="SO5" s="215"/>
      <c r="SP5" s="215"/>
      <c r="SQ5" s="215"/>
      <c r="SR5" s="215"/>
      <c r="SS5" s="215"/>
      <c r="ST5" s="215"/>
      <c r="SU5" s="215"/>
      <c r="SV5" s="215"/>
      <c r="SW5" s="215"/>
      <c r="SX5" s="215"/>
      <c r="SY5" s="215"/>
      <c r="SZ5" s="215"/>
      <c r="TA5" s="215"/>
      <c r="TB5" s="215"/>
      <c r="TC5" s="215"/>
      <c r="TD5" s="215"/>
      <c r="TE5" s="215"/>
      <c r="TF5" s="215"/>
      <c r="TG5" s="215"/>
      <c r="TH5" s="215"/>
      <c r="TI5" s="215"/>
      <c r="TJ5" s="215"/>
      <c r="TK5" s="215"/>
      <c r="TL5" s="215"/>
      <c r="TM5" s="215"/>
      <c r="TN5" s="215"/>
      <c r="TO5" s="215"/>
      <c r="TP5" s="215"/>
      <c r="TQ5" s="215"/>
      <c r="TR5" s="215"/>
      <c r="TS5" s="215"/>
      <c r="TT5" s="215"/>
      <c r="TU5" s="215"/>
      <c r="TV5" s="215"/>
      <c r="TW5" s="215"/>
      <c r="TX5" s="215"/>
      <c r="TY5" s="215"/>
      <c r="TZ5" s="215"/>
      <c r="UA5" s="215"/>
      <c r="UB5" s="215"/>
      <c r="UC5" s="215"/>
      <c r="UD5" s="215"/>
      <c r="UE5" s="215"/>
      <c r="UF5" s="215"/>
      <c r="UG5" s="215"/>
      <c r="UH5" s="215"/>
      <c r="UI5" s="215"/>
      <c r="UJ5" s="215"/>
      <c r="UK5" s="215"/>
      <c r="UL5" s="215"/>
      <c r="UM5" s="215"/>
      <c r="UN5" s="215"/>
      <c r="UO5" s="215"/>
      <c r="UP5" s="215"/>
      <c r="UQ5" s="215"/>
      <c r="UR5" s="215"/>
      <c r="US5" s="215"/>
      <c r="UT5" s="215"/>
      <c r="UU5" s="215"/>
      <c r="UV5" s="215"/>
      <c r="UW5" s="215"/>
      <c r="UX5" s="215"/>
      <c r="UY5" s="215"/>
      <c r="UZ5" s="215"/>
      <c r="VA5" s="215"/>
      <c r="VB5" s="215"/>
      <c r="VC5" s="215"/>
      <c r="VD5" s="215"/>
      <c r="VE5" s="215"/>
      <c r="VF5" s="215"/>
      <c r="VG5" s="215"/>
      <c r="VH5" s="215"/>
      <c r="VI5" s="215"/>
      <c r="VJ5" s="215"/>
      <c r="VK5" s="215"/>
      <c r="VL5" s="215"/>
      <c r="VM5" s="215"/>
      <c r="VN5" s="215"/>
      <c r="VO5" s="215"/>
      <c r="VP5" s="215"/>
      <c r="VQ5" s="215"/>
      <c r="VR5" s="215"/>
      <c r="VS5" s="215"/>
      <c r="VT5" s="215"/>
      <c r="VU5" s="215"/>
      <c r="VV5" s="215"/>
      <c r="VW5" s="215"/>
      <c r="VX5" s="215"/>
      <c r="VY5" s="215"/>
      <c r="VZ5" s="215"/>
      <c r="WA5" s="215"/>
      <c r="WB5" s="215"/>
      <c r="WC5" s="215"/>
      <c r="WD5" s="215"/>
      <c r="WE5" s="215"/>
      <c r="WF5" s="215"/>
      <c r="WG5" s="215"/>
      <c r="WH5" s="215"/>
      <c r="WI5" s="215"/>
      <c r="WJ5" s="215"/>
      <c r="WK5" s="215"/>
      <c r="WL5" s="215"/>
      <c r="WM5" s="215"/>
      <c r="WN5" s="215"/>
      <c r="WO5" s="215"/>
      <c r="WP5" s="215"/>
      <c r="WQ5" s="215"/>
      <c r="WR5" s="215"/>
      <c r="WS5" s="215"/>
      <c r="WT5" s="215"/>
      <c r="WU5" s="215"/>
      <c r="WV5" s="215"/>
      <c r="WW5" s="215"/>
      <c r="WX5" s="215"/>
      <c r="WY5" s="215"/>
      <c r="WZ5" s="215"/>
      <c r="XA5" s="215"/>
    </row>
    <row r="6" spans="1:702" ht="15" thickBot="1" x14ac:dyDescent="0.4">
      <c r="A6" s="142" t="s">
        <v>547</v>
      </c>
      <c r="B6" s="143" t="str">
        <f>L38</f>
        <v>BLUE OCEAN UK</v>
      </c>
      <c r="D6" s="262"/>
      <c r="M6" s="281" t="s">
        <v>663</v>
      </c>
      <c r="N6" s="818" t="s">
        <v>365</v>
      </c>
      <c r="O6" s="819"/>
      <c r="U6" s="292"/>
      <c r="V6" s="293"/>
      <c r="W6" s="293"/>
      <c r="X6" s="291"/>
      <c r="AQ6" s="279"/>
      <c r="AR6" s="291"/>
      <c r="AS6" s="291"/>
      <c r="AT6" s="291"/>
      <c r="AY6" s="279"/>
      <c r="AZ6" s="279"/>
      <c r="BA6" s="279"/>
      <c r="BB6" s="279"/>
      <c r="BC6" s="279"/>
      <c r="CU6" s="215"/>
      <c r="DH6" s="215"/>
      <c r="ID6" s="215"/>
      <c r="IE6" s="215"/>
      <c r="IF6" s="215"/>
      <c r="IG6" s="215"/>
      <c r="IH6" s="215"/>
      <c r="II6" s="215"/>
      <c r="IJ6" s="215"/>
      <c r="IK6" s="215"/>
      <c r="IL6" s="215"/>
      <c r="IM6" s="215"/>
      <c r="IN6" s="215"/>
      <c r="IO6" s="215"/>
      <c r="IP6" s="215"/>
      <c r="IQ6" s="215"/>
      <c r="IR6" s="215"/>
      <c r="IS6" s="215"/>
      <c r="IT6" s="215"/>
      <c r="IU6" s="215"/>
      <c r="IV6" s="215"/>
      <c r="IW6" s="215"/>
      <c r="IX6" s="215"/>
      <c r="IY6" s="215"/>
      <c r="IZ6" s="215"/>
      <c r="JA6" s="215"/>
      <c r="JB6" s="215"/>
      <c r="JC6" s="215"/>
      <c r="JD6" s="215"/>
      <c r="JE6" s="215"/>
      <c r="JF6" s="215"/>
      <c r="JG6" s="215"/>
      <c r="JH6" s="215"/>
      <c r="JI6" s="215"/>
      <c r="JJ6" s="215"/>
      <c r="JK6" s="215"/>
      <c r="JL6" s="215"/>
      <c r="JM6" s="215"/>
      <c r="JN6" s="215"/>
      <c r="JO6" s="215"/>
      <c r="JP6" s="215"/>
      <c r="JQ6" s="215"/>
      <c r="JR6" s="215"/>
      <c r="JS6" s="215"/>
      <c r="JT6" s="215"/>
      <c r="JU6" s="215"/>
      <c r="JV6" s="215"/>
      <c r="JW6" s="215"/>
      <c r="JX6" s="215"/>
      <c r="JY6" s="215"/>
      <c r="JZ6" s="215"/>
      <c r="KA6" s="215"/>
      <c r="KB6" s="215"/>
      <c r="KC6" s="215"/>
      <c r="KD6" s="215"/>
      <c r="KE6" s="215"/>
      <c r="KF6" s="215"/>
      <c r="KG6" s="215"/>
      <c r="KH6" s="215"/>
      <c r="KI6" s="215"/>
      <c r="KJ6" s="215"/>
      <c r="KK6" s="215"/>
      <c r="KL6" s="215"/>
      <c r="KM6" s="215"/>
      <c r="KN6" s="215"/>
      <c r="KO6" s="215"/>
      <c r="KP6" s="215"/>
      <c r="KQ6" s="215"/>
      <c r="KR6" s="215"/>
      <c r="KS6" s="215"/>
      <c r="KT6" s="215"/>
      <c r="KU6" s="215"/>
      <c r="KV6" s="215"/>
      <c r="KW6" s="215"/>
      <c r="KX6" s="215"/>
      <c r="KY6" s="215"/>
      <c r="KZ6" s="215"/>
      <c r="LA6" s="215"/>
      <c r="LB6" s="215"/>
      <c r="LC6" s="215"/>
      <c r="LD6" s="215"/>
      <c r="LE6" s="215"/>
      <c r="LF6" s="215"/>
      <c r="LG6" s="215"/>
      <c r="LH6" s="215"/>
      <c r="LI6" s="215"/>
      <c r="LJ6" s="215"/>
      <c r="LK6" s="215"/>
      <c r="LL6" s="215"/>
      <c r="LM6" s="215"/>
      <c r="LN6" s="215"/>
      <c r="LO6" s="215"/>
      <c r="LP6" s="215"/>
      <c r="LQ6" s="215"/>
      <c r="LR6" s="215"/>
      <c r="LS6" s="215"/>
      <c r="LT6" s="215"/>
      <c r="LU6" s="215"/>
      <c r="LV6" s="215"/>
      <c r="LW6" s="215"/>
      <c r="LX6" s="215"/>
      <c r="LY6" s="215"/>
      <c r="LZ6" s="215"/>
      <c r="MA6" s="215"/>
      <c r="MB6" s="215"/>
      <c r="MC6" s="215"/>
      <c r="MD6" s="215"/>
      <c r="ME6" s="215"/>
      <c r="MF6" s="215"/>
      <c r="MG6" s="215"/>
      <c r="MH6" s="215"/>
      <c r="MI6" s="215"/>
      <c r="MJ6" s="215"/>
      <c r="MK6" s="215"/>
      <c r="ML6" s="215"/>
      <c r="MM6" s="215"/>
      <c r="MN6" s="215"/>
      <c r="MO6" s="215"/>
      <c r="MP6" s="215"/>
      <c r="MQ6" s="215"/>
      <c r="MR6" s="215"/>
      <c r="MS6" s="215"/>
      <c r="MT6" s="215"/>
      <c r="MU6" s="215"/>
      <c r="MV6" s="215"/>
      <c r="MW6" s="215"/>
      <c r="MX6" s="215"/>
      <c r="MY6" s="215"/>
      <c r="MZ6" s="215"/>
      <c r="NA6" s="215"/>
      <c r="NB6" s="215"/>
      <c r="NC6" s="215"/>
      <c r="ND6" s="215"/>
      <c r="NE6" s="215"/>
      <c r="NF6" s="215"/>
      <c r="NG6" s="215"/>
      <c r="NH6" s="215"/>
      <c r="NI6" s="215"/>
      <c r="NJ6" s="215"/>
      <c r="NK6" s="215"/>
      <c r="NL6" s="215"/>
      <c r="NM6" s="215"/>
      <c r="NN6" s="215"/>
      <c r="NO6" s="215"/>
      <c r="NP6" s="215"/>
      <c r="NQ6" s="215"/>
      <c r="NR6" s="215"/>
      <c r="NS6" s="215"/>
      <c r="NT6" s="215"/>
      <c r="NU6" s="215"/>
      <c r="NV6" s="215"/>
      <c r="NW6" s="215"/>
      <c r="NX6" s="215"/>
      <c r="NY6" s="215"/>
      <c r="NZ6" s="215"/>
      <c r="OA6" s="215"/>
      <c r="OB6" s="215"/>
      <c r="OC6" s="215"/>
      <c r="OD6" s="215"/>
      <c r="OE6" s="215"/>
      <c r="OF6" s="215"/>
      <c r="OG6" s="215"/>
      <c r="OH6" s="215"/>
      <c r="OI6" s="215"/>
      <c r="OJ6" s="215"/>
      <c r="OK6" s="215"/>
      <c r="OL6" s="215"/>
      <c r="OM6" s="215"/>
      <c r="ON6" s="215"/>
      <c r="OO6" s="215"/>
      <c r="OP6" s="215"/>
      <c r="OQ6" s="215"/>
      <c r="OR6" s="215"/>
      <c r="OS6" s="215"/>
      <c r="OT6" s="215"/>
      <c r="OU6" s="215"/>
      <c r="OV6" s="215"/>
      <c r="OW6" s="215"/>
      <c r="OX6" s="215"/>
      <c r="OY6" s="215"/>
      <c r="OZ6" s="215"/>
      <c r="PA6" s="215"/>
      <c r="PB6" s="215"/>
      <c r="PC6" s="215"/>
      <c r="PD6" s="215"/>
      <c r="PE6" s="215"/>
      <c r="PF6" s="215"/>
      <c r="PG6" s="215"/>
      <c r="PH6" s="215"/>
      <c r="PI6" s="215"/>
      <c r="PJ6" s="215"/>
      <c r="PK6" s="215"/>
      <c r="PL6" s="215"/>
      <c r="PM6" s="215"/>
      <c r="PN6" s="215"/>
      <c r="PO6" s="215"/>
      <c r="PP6" s="215"/>
      <c r="PQ6" s="215"/>
      <c r="PR6" s="215"/>
      <c r="PS6" s="215"/>
      <c r="PT6" s="215"/>
      <c r="PU6" s="215"/>
      <c r="PV6" s="215"/>
      <c r="PW6" s="215"/>
      <c r="PX6" s="215"/>
      <c r="PY6" s="215"/>
      <c r="PZ6" s="215"/>
      <c r="QA6" s="215"/>
      <c r="QB6" s="215"/>
      <c r="QC6" s="215"/>
      <c r="QD6" s="215"/>
      <c r="QE6" s="215"/>
      <c r="QF6" s="215"/>
      <c r="QG6" s="215"/>
      <c r="QH6" s="215"/>
      <c r="QI6" s="215"/>
      <c r="QJ6" s="215"/>
      <c r="QK6" s="215"/>
      <c r="QL6" s="215"/>
      <c r="QM6" s="215"/>
      <c r="QN6" s="215"/>
      <c r="QO6" s="215"/>
      <c r="QP6" s="215"/>
      <c r="QQ6" s="215"/>
      <c r="QR6" s="215"/>
      <c r="QS6" s="215"/>
      <c r="QT6" s="215"/>
      <c r="QU6" s="215"/>
      <c r="QV6" s="215"/>
      <c r="QW6" s="215"/>
      <c r="QX6" s="215"/>
      <c r="QY6" s="215"/>
      <c r="QZ6" s="215"/>
      <c r="RA6" s="215"/>
      <c r="RB6" s="215"/>
      <c r="RC6" s="215"/>
      <c r="RD6" s="215"/>
      <c r="RE6" s="215"/>
      <c r="RF6" s="215"/>
      <c r="RG6" s="215"/>
      <c r="RH6" s="215"/>
      <c r="RI6" s="215"/>
      <c r="RJ6" s="215"/>
      <c r="RK6" s="215"/>
      <c r="RL6" s="215"/>
      <c r="RM6" s="215"/>
      <c r="RN6" s="215"/>
      <c r="RO6" s="215"/>
      <c r="RP6" s="215"/>
      <c r="RQ6" s="215"/>
      <c r="RR6" s="215"/>
      <c r="RS6" s="215"/>
      <c r="RT6" s="215"/>
      <c r="RU6" s="215"/>
      <c r="RV6" s="215"/>
      <c r="RW6" s="215"/>
      <c r="RX6" s="215"/>
      <c r="RY6" s="215"/>
      <c r="RZ6" s="215"/>
      <c r="SA6" s="215"/>
      <c r="SB6" s="215"/>
      <c r="SC6" s="215"/>
      <c r="SD6" s="215"/>
      <c r="SE6" s="215"/>
      <c r="SF6" s="215"/>
      <c r="SG6" s="215"/>
      <c r="SH6" s="215"/>
      <c r="SI6" s="215"/>
      <c r="SJ6" s="215"/>
      <c r="SK6" s="215"/>
      <c r="SL6" s="215"/>
      <c r="SM6" s="215"/>
      <c r="SN6" s="215"/>
      <c r="SO6" s="215"/>
      <c r="SP6" s="215"/>
      <c r="SQ6" s="215"/>
      <c r="SR6" s="215"/>
      <c r="SS6" s="215"/>
      <c r="ST6" s="215"/>
      <c r="SU6" s="215"/>
      <c r="SV6" s="215"/>
      <c r="SW6" s="215"/>
      <c r="SX6" s="215"/>
      <c r="SY6" s="215"/>
      <c r="SZ6" s="215"/>
      <c r="TA6" s="215"/>
      <c r="TB6" s="215"/>
      <c r="TC6" s="215"/>
      <c r="TD6" s="215"/>
      <c r="TE6" s="215"/>
      <c r="TF6" s="215"/>
      <c r="TG6" s="215"/>
      <c r="TH6" s="215"/>
      <c r="TI6" s="215"/>
      <c r="TJ6" s="215"/>
      <c r="TK6" s="215"/>
      <c r="TL6" s="215"/>
      <c r="TM6" s="215"/>
      <c r="TN6" s="215"/>
      <c r="TO6" s="215"/>
      <c r="TP6" s="215"/>
      <c r="TQ6" s="215"/>
      <c r="TR6" s="215"/>
      <c r="TS6" s="215"/>
      <c r="TT6" s="215"/>
      <c r="TU6" s="215"/>
      <c r="TV6" s="215"/>
      <c r="TW6" s="215"/>
      <c r="TX6" s="215"/>
      <c r="TY6" s="215"/>
      <c r="TZ6" s="215"/>
      <c r="UA6" s="215"/>
      <c r="UB6" s="215"/>
      <c r="UC6" s="215"/>
      <c r="UD6" s="215"/>
      <c r="UE6" s="215"/>
      <c r="UF6" s="215"/>
      <c r="UG6" s="215"/>
      <c r="UH6" s="215"/>
      <c r="UI6" s="215"/>
      <c r="UJ6" s="215"/>
      <c r="UK6" s="215"/>
      <c r="UL6" s="215"/>
      <c r="UM6" s="215"/>
      <c r="UN6" s="215"/>
      <c r="UO6" s="215"/>
      <c r="UP6" s="215"/>
      <c r="UQ6" s="215"/>
      <c r="UR6" s="215"/>
      <c r="US6" s="215"/>
      <c r="UT6" s="215"/>
      <c r="UU6" s="215"/>
      <c r="UV6" s="215"/>
      <c r="UW6" s="215"/>
      <c r="UX6" s="215"/>
      <c r="UY6" s="215"/>
      <c r="UZ6" s="215"/>
      <c r="VA6" s="215"/>
      <c r="VB6" s="215"/>
      <c r="VC6" s="215"/>
      <c r="VD6" s="215"/>
      <c r="VE6" s="215"/>
      <c r="VF6" s="215"/>
      <c r="VG6" s="215"/>
      <c r="VH6" s="215"/>
      <c r="VI6" s="215"/>
      <c r="VJ6" s="215"/>
      <c r="VK6" s="215"/>
      <c r="VL6" s="215"/>
      <c r="VM6" s="215"/>
      <c r="VN6" s="215"/>
      <c r="VO6" s="215"/>
      <c r="VP6" s="215"/>
      <c r="VQ6" s="215"/>
      <c r="VR6" s="215"/>
      <c r="VS6" s="215"/>
      <c r="VT6" s="215"/>
      <c r="VU6" s="215"/>
      <c r="VV6" s="215"/>
      <c r="VW6" s="215"/>
      <c r="VX6" s="215"/>
      <c r="VY6" s="215"/>
      <c r="VZ6" s="215"/>
      <c r="WA6" s="215"/>
      <c r="WB6" s="215"/>
      <c r="WC6" s="215"/>
      <c r="WD6" s="215"/>
      <c r="WE6" s="215"/>
      <c r="WF6" s="215"/>
      <c r="WG6" s="215"/>
      <c r="WH6" s="215"/>
      <c r="WI6" s="215"/>
      <c r="WJ6" s="215"/>
      <c r="WK6" s="215"/>
      <c r="WL6" s="215"/>
      <c r="WM6" s="215"/>
      <c r="WN6" s="215"/>
      <c r="WO6" s="215"/>
      <c r="WP6" s="215"/>
      <c r="WQ6" s="215"/>
      <c r="WR6" s="215"/>
      <c r="WS6" s="215"/>
      <c r="WT6" s="215"/>
      <c r="WU6" s="215"/>
      <c r="WV6" s="215"/>
      <c r="WW6" s="215"/>
      <c r="WX6" s="215"/>
      <c r="WY6" s="215"/>
      <c r="WZ6" s="215"/>
      <c r="XA6" s="215"/>
    </row>
    <row r="7" spans="1:702" ht="15" thickBot="1" x14ac:dyDescent="0.4">
      <c r="A7" s="142" t="s">
        <v>665</v>
      </c>
      <c r="B7" s="143">
        <f>IFERROR(VLOOKUP(B4,orderHistory[],2,FALSE),"")</f>
        <v>45420</v>
      </c>
      <c r="D7" s="264"/>
      <c r="E7" s="264"/>
      <c r="F7" s="264"/>
      <c r="G7" s="264"/>
      <c r="H7" s="264"/>
      <c r="I7" s="264"/>
      <c r="J7" s="264"/>
      <c r="K7" s="264"/>
      <c r="M7" s="281" t="s">
        <v>662</v>
      </c>
      <c r="N7" s="818" t="s">
        <v>1431</v>
      </c>
      <c r="O7" s="819"/>
      <c r="T7" s="215">
        <f ca="1">YEAR(TODAY())</f>
        <v>2024</v>
      </c>
      <c r="U7" s="215">
        <f ca="1">YEAR(TODAY())-1</f>
        <v>2023</v>
      </c>
      <c r="V7" s="264"/>
      <c r="W7" s="264"/>
      <c r="X7" s="291"/>
      <c r="AR7" s="291"/>
      <c r="AS7" s="291"/>
      <c r="AT7" s="291"/>
      <c r="AY7" s="294"/>
      <c r="AZ7" s="264"/>
      <c r="BB7" s="294"/>
      <c r="BC7" s="264"/>
      <c r="CU7" s="215"/>
      <c r="DH7" s="215"/>
      <c r="EE7" s="282" t="s">
        <v>845</v>
      </c>
      <c r="EG7" s="294"/>
      <c r="EH7" s="584" t="s">
        <v>1163</v>
      </c>
      <c r="EI7" s="585">
        <v>45498</v>
      </c>
      <c r="EJ7" s="584" t="s">
        <v>1005</v>
      </c>
      <c r="EK7" s="586">
        <f>COUNTA($EE$10:$EE$250)-COUNTBLANK($EE$10:$EE$250)</f>
        <v>241</v>
      </c>
      <c r="ID7" s="215"/>
      <c r="IE7" s="215"/>
      <c r="IF7" s="215"/>
      <c r="IG7" s="215"/>
      <c r="IH7" s="215"/>
      <c r="II7" s="215"/>
      <c r="IJ7" s="215"/>
      <c r="IK7" s="215"/>
      <c r="IL7" s="215"/>
      <c r="IM7" s="215"/>
      <c r="IN7" s="215"/>
      <c r="IO7" s="215"/>
      <c r="IP7" s="215"/>
      <c r="IQ7" s="215"/>
      <c r="IR7" s="215"/>
      <c r="IS7" s="215"/>
      <c r="IT7" s="215"/>
      <c r="IU7" s="215"/>
      <c r="IV7" s="215"/>
      <c r="IW7" s="215"/>
      <c r="IX7" s="215"/>
      <c r="IY7" s="215"/>
      <c r="IZ7" s="215"/>
      <c r="JA7" s="215"/>
      <c r="JB7" s="215"/>
      <c r="JC7" s="215"/>
      <c r="JD7" s="215"/>
      <c r="JE7" s="215"/>
      <c r="JF7" s="215"/>
      <c r="JG7" s="215"/>
      <c r="JH7" s="215"/>
      <c r="JI7" s="215"/>
      <c r="JJ7" s="215"/>
      <c r="JK7" s="215"/>
      <c r="JL7" s="215"/>
      <c r="JM7" s="215"/>
      <c r="JN7" s="215"/>
      <c r="JO7" s="215"/>
      <c r="JP7" s="215"/>
      <c r="JQ7" s="215"/>
      <c r="JR7" s="215"/>
      <c r="JS7" s="215"/>
      <c r="JT7" s="215"/>
      <c r="JU7" s="215"/>
      <c r="JV7" s="215"/>
      <c r="JW7" s="215"/>
      <c r="JX7" s="215"/>
      <c r="JY7" s="215"/>
      <c r="JZ7" s="215"/>
      <c r="KA7" s="215"/>
      <c r="KB7" s="215"/>
      <c r="KC7" s="215"/>
      <c r="KD7" s="215"/>
      <c r="KE7" s="215"/>
      <c r="KF7" s="215"/>
      <c r="KG7" s="215"/>
      <c r="KH7" s="215"/>
      <c r="KI7" s="215"/>
      <c r="KJ7" s="215"/>
      <c r="KK7" s="215"/>
      <c r="KL7" s="215"/>
      <c r="KM7" s="215"/>
      <c r="KN7" s="215"/>
      <c r="KO7" s="215"/>
      <c r="KP7" s="215"/>
      <c r="KQ7" s="215"/>
      <c r="KR7" s="215"/>
      <c r="KS7" s="215"/>
      <c r="KT7" s="215"/>
      <c r="KU7" s="215"/>
      <c r="KV7" s="215"/>
      <c r="KW7" s="215"/>
      <c r="KX7" s="215"/>
      <c r="KY7" s="215"/>
      <c r="KZ7" s="215"/>
      <c r="LA7" s="215"/>
      <c r="LB7" s="215"/>
      <c r="LC7" s="215"/>
      <c r="LD7" s="215"/>
      <c r="LE7" s="215"/>
      <c r="LF7" s="215"/>
      <c r="LG7" s="215"/>
      <c r="LH7" s="215"/>
      <c r="LI7" s="215"/>
      <c r="LJ7" s="215"/>
      <c r="LK7" s="215"/>
      <c r="LL7" s="215"/>
      <c r="LM7" s="215"/>
      <c r="LN7" s="215"/>
      <c r="LO7" s="215"/>
      <c r="LP7" s="215"/>
      <c r="LQ7" s="215"/>
      <c r="LR7" s="215"/>
      <c r="LS7" s="215"/>
      <c r="LT7" s="215"/>
      <c r="LU7" s="215"/>
      <c r="LV7" s="215"/>
      <c r="LW7" s="215"/>
      <c r="LX7" s="215"/>
      <c r="LY7" s="215"/>
      <c r="LZ7" s="215"/>
      <c r="MA7" s="215"/>
      <c r="MB7" s="215"/>
      <c r="MC7" s="215"/>
      <c r="MD7" s="215"/>
      <c r="ME7" s="215"/>
      <c r="MF7" s="215"/>
      <c r="MG7" s="215"/>
      <c r="MH7" s="215"/>
      <c r="MI7" s="215"/>
      <c r="MJ7" s="215"/>
      <c r="MK7" s="215"/>
      <c r="ML7" s="215"/>
      <c r="MM7" s="215"/>
      <c r="MN7" s="215"/>
      <c r="MO7" s="215"/>
      <c r="MP7" s="215"/>
      <c r="MQ7" s="215"/>
      <c r="MR7" s="215"/>
      <c r="MS7" s="215"/>
      <c r="MT7" s="215"/>
      <c r="MU7" s="215"/>
      <c r="MV7" s="215"/>
      <c r="MW7" s="215"/>
      <c r="MX7" s="215"/>
      <c r="MY7" s="215"/>
      <c r="MZ7" s="215"/>
      <c r="NA7" s="215"/>
      <c r="NB7" s="215"/>
      <c r="NC7" s="215"/>
      <c r="ND7" s="215"/>
      <c r="NE7" s="215"/>
      <c r="NF7" s="215"/>
      <c r="NG7" s="215"/>
      <c r="NH7" s="215"/>
      <c r="NI7" s="215"/>
      <c r="NJ7" s="215"/>
      <c r="NK7" s="215"/>
      <c r="NL7" s="215"/>
      <c r="NM7" s="215"/>
      <c r="NN7" s="215"/>
      <c r="NO7" s="215"/>
      <c r="NP7" s="215"/>
      <c r="NQ7" s="215"/>
      <c r="NR7" s="215"/>
      <c r="NS7" s="215"/>
      <c r="NT7" s="215"/>
      <c r="NU7" s="215"/>
      <c r="NV7" s="215"/>
      <c r="NW7" s="215"/>
      <c r="NX7" s="215"/>
      <c r="NY7" s="215"/>
      <c r="NZ7" s="215"/>
      <c r="OA7" s="215"/>
      <c r="OB7" s="215"/>
      <c r="OC7" s="215"/>
      <c r="OD7" s="215"/>
      <c r="OE7" s="215"/>
      <c r="OF7" s="215"/>
      <c r="OG7" s="215"/>
      <c r="OH7" s="215"/>
      <c r="OI7" s="215"/>
      <c r="OJ7" s="215"/>
      <c r="OK7" s="215"/>
      <c r="OL7" s="215"/>
      <c r="OM7" s="215"/>
      <c r="ON7" s="215"/>
      <c r="OO7" s="215"/>
      <c r="OP7" s="215"/>
      <c r="OQ7" s="215"/>
      <c r="OR7" s="215"/>
      <c r="OS7" s="215"/>
      <c r="OT7" s="215"/>
      <c r="OU7" s="215"/>
      <c r="OV7" s="215"/>
      <c r="OW7" s="215"/>
      <c r="OX7" s="215"/>
      <c r="OY7" s="215"/>
      <c r="OZ7" s="215"/>
      <c r="PA7" s="215"/>
      <c r="PB7" s="215"/>
      <c r="PC7" s="215"/>
      <c r="PD7" s="215"/>
      <c r="PE7" s="215"/>
      <c r="PF7" s="215"/>
      <c r="PG7" s="215"/>
      <c r="PH7" s="215"/>
      <c r="PI7" s="215"/>
      <c r="PJ7" s="215"/>
      <c r="PK7" s="215"/>
      <c r="PL7" s="215"/>
      <c r="PM7" s="215"/>
      <c r="PN7" s="215"/>
      <c r="PO7" s="215"/>
      <c r="PP7" s="215"/>
      <c r="PQ7" s="215"/>
      <c r="PR7" s="215"/>
      <c r="PS7" s="215"/>
      <c r="PT7" s="215"/>
      <c r="PU7" s="215"/>
      <c r="PV7" s="215"/>
      <c r="PW7" s="215"/>
      <c r="PX7" s="215"/>
      <c r="PY7" s="215"/>
      <c r="PZ7" s="215"/>
      <c r="QA7" s="215"/>
      <c r="QB7" s="215"/>
      <c r="QC7" s="215"/>
      <c r="QD7" s="215"/>
      <c r="QE7" s="215"/>
      <c r="QF7" s="215"/>
      <c r="QG7" s="215"/>
      <c r="QH7" s="215"/>
      <c r="QI7" s="215"/>
      <c r="QJ7" s="215"/>
      <c r="QK7" s="215"/>
      <c r="QL7" s="215"/>
      <c r="QM7" s="215"/>
      <c r="QN7" s="215"/>
      <c r="QO7" s="215"/>
      <c r="QP7" s="215"/>
      <c r="QQ7" s="215"/>
      <c r="QR7" s="215"/>
      <c r="QS7" s="215"/>
      <c r="QT7" s="215"/>
      <c r="QU7" s="215"/>
      <c r="QV7" s="215"/>
      <c r="QW7" s="215"/>
      <c r="QX7" s="215"/>
      <c r="QY7" s="215"/>
      <c r="QZ7" s="215"/>
      <c r="RA7" s="215"/>
      <c r="RB7" s="215"/>
      <c r="RC7" s="215"/>
      <c r="RD7" s="215"/>
      <c r="RE7" s="215"/>
      <c r="RF7" s="215"/>
      <c r="RG7" s="215"/>
      <c r="RH7" s="215"/>
      <c r="RI7" s="215"/>
      <c r="RJ7" s="215"/>
      <c r="RK7" s="215"/>
      <c r="RL7" s="215"/>
      <c r="RM7" s="215"/>
      <c r="RN7" s="215"/>
      <c r="RO7" s="215"/>
      <c r="RP7" s="215"/>
      <c r="RQ7" s="215"/>
      <c r="RR7" s="215"/>
      <c r="RS7" s="215"/>
      <c r="RT7" s="215"/>
      <c r="RU7" s="215"/>
      <c r="RV7" s="215"/>
      <c r="RW7" s="215"/>
      <c r="RX7" s="215"/>
      <c r="RY7" s="215"/>
      <c r="RZ7" s="215"/>
      <c r="SA7" s="215"/>
      <c r="SB7" s="215"/>
      <c r="SC7" s="215"/>
      <c r="SD7" s="215"/>
      <c r="SE7" s="215"/>
      <c r="SF7" s="215"/>
      <c r="SG7" s="215"/>
      <c r="SH7" s="215"/>
      <c r="SI7" s="215"/>
      <c r="SJ7" s="215"/>
      <c r="SK7" s="215"/>
      <c r="SL7" s="215"/>
      <c r="SM7" s="215"/>
      <c r="SN7" s="215"/>
      <c r="SO7" s="215"/>
      <c r="SP7" s="215"/>
      <c r="SQ7" s="215"/>
      <c r="SR7" s="215"/>
      <c r="SS7" s="215"/>
      <c r="ST7" s="215"/>
      <c r="SU7" s="215"/>
      <c r="SV7" s="215"/>
      <c r="SW7" s="215"/>
      <c r="SX7" s="215"/>
      <c r="SY7" s="215"/>
      <c r="SZ7" s="215"/>
      <c r="TA7" s="215"/>
      <c r="TB7" s="215"/>
      <c r="TC7" s="215"/>
      <c r="TD7" s="215"/>
      <c r="TE7" s="215"/>
      <c r="TF7" s="215"/>
      <c r="TG7" s="215"/>
      <c r="TH7" s="215"/>
      <c r="TI7" s="215"/>
      <c r="TJ7" s="215"/>
      <c r="TK7" s="215"/>
      <c r="TL7" s="215"/>
      <c r="TM7" s="215"/>
      <c r="TN7" s="215"/>
      <c r="TO7" s="215"/>
      <c r="TP7" s="215"/>
      <c r="TQ7" s="215"/>
      <c r="TR7" s="215"/>
      <c r="TS7" s="215"/>
      <c r="TT7" s="215"/>
      <c r="TU7" s="215"/>
      <c r="TV7" s="215"/>
      <c r="TW7" s="215"/>
      <c r="TX7" s="215"/>
      <c r="TY7" s="215"/>
      <c r="TZ7" s="215"/>
      <c r="UA7" s="215"/>
      <c r="UB7" s="215"/>
      <c r="UC7" s="215"/>
      <c r="UD7" s="215"/>
      <c r="UE7" s="215"/>
      <c r="UF7" s="215"/>
      <c r="UG7" s="215"/>
      <c r="UH7" s="215"/>
      <c r="UI7" s="215"/>
      <c r="UJ7" s="215"/>
      <c r="UK7" s="215"/>
      <c r="UL7" s="215"/>
      <c r="UM7" s="215"/>
      <c r="UN7" s="215"/>
      <c r="UO7" s="215"/>
      <c r="UP7" s="215"/>
      <c r="UQ7" s="215"/>
      <c r="UR7" s="215"/>
      <c r="US7" s="215"/>
      <c r="UT7" s="215"/>
      <c r="UU7" s="215"/>
      <c r="UV7" s="215"/>
      <c r="UW7" s="215"/>
      <c r="UX7" s="215"/>
      <c r="UY7" s="215"/>
      <c r="UZ7" s="215"/>
      <c r="VA7" s="215"/>
      <c r="VB7" s="215"/>
      <c r="VC7" s="215"/>
      <c r="VD7" s="215"/>
      <c r="VE7" s="215"/>
      <c r="VF7" s="215"/>
      <c r="VG7" s="215"/>
      <c r="VH7" s="215"/>
      <c r="VI7" s="215"/>
      <c r="VJ7" s="215"/>
      <c r="VK7" s="215"/>
      <c r="VL7" s="215"/>
      <c r="VM7" s="215"/>
      <c r="VN7" s="215"/>
      <c r="VO7" s="215"/>
      <c r="VP7" s="215"/>
      <c r="VQ7" s="215"/>
      <c r="VR7" s="215"/>
      <c r="VS7" s="215"/>
      <c r="VT7" s="215"/>
      <c r="VU7" s="215"/>
      <c r="VV7" s="215"/>
      <c r="VW7" s="215"/>
      <c r="VX7" s="215"/>
      <c r="VY7" s="215"/>
      <c r="VZ7" s="215"/>
      <c r="WA7" s="215"/>
      <c r="WB7" s="215"/>
      <c r="WC7" s="215"/>
      <c r="WD7" s="215"/>
      <c r="WE7" s="215"/>
      <c r="WF7" s="215"/>
      <c r="WG7" s="215"/>
      <c r="WH7" s="215"/>
      <c r="WI7" s="215"/>
      <c r="WJ7" s="215"/>
      <c r="WK7" s="215"/>
      <c r="WL7" s="215"/>
      <c r="WM7" s="215"/>
      <c r="WN7" s="215"/>
      <c r="WO7" s="215"/>
      <c r="WP7" s="215"/>
      <c r="WQ7" s="215"/>
      <c r="WR7" s="215"/>
      <c r="WS7" s="215"/>
      <c r="WT7" s="215"/>
      <c r="WU7" s="215"/>
      <c r="WV7" s="215"/>
      <c r="WW7" s="215"/>
      <c r="WX7" s="215"/>
      <c r="WY7" s="215"/>
      <c r="WZ7" s="215"/>
      <c r="XA7" s="215"/>
    </row>
    <row r="8" spans="1:702" ht="15" customHeight="1" thickBot="1" x14ac:dyDescent="0.4">
      <c r="A8" s="142" t="s">
        <v>548</v>
      </c>
      <c r="B8" s="143">
        <v>0</v>
      </c>
      <c r="D8" s="265" t="s">
        <v>1262</v>
      </c>
      <c r="F8" s="266" t="s">
        <v>589</v>
      </c>
      <c r="L8" s="282" t="s">
        <v>666</v>
      </c>
      <c r="U8" s="291"/>
      <c r="X8" s="291"/>
      <c r="AO8" s="263"/>
      <c r="AQ8" s="266"/>
      <c r="AR8" s="291"/>
      <c r="AS8" s="291"/>
      <c r="AT8" s="291"/>
      <c r="AW8" s="266"/>
      <c r="BE8" s="266"/>
      <c r="BO8" s="295"/>
      <c r="BX8" s="263" t="s">
        <v>549</v>
      </c>
      <c r="BZ8" s="266" t="s">
        <v>550</v>
      </c>
      <c r="CU8" s="215"/>
      <c r="CW8" s="266" t="s">
        <v>551</v>
      </c>
      <c r="DB8" s="215"/>
      <c r="DH8" s="215"/>
      <c r="EC8" s="263" t="s">
        <v>933</v>
      </c>
      <c r="EE8" s="883" t="s">
        <v>846</v>
      </c>
      <c r="EF8" s="881" t="s">
        <v>978</v>
      </c>
      <c r="EG8" s="869" t="s">
        <v>1199</v>
      </c>
      <c r="EH8" s="869" t="s">
        <v>1008</v>
      </c>
      <c r="EI8" s="869" t="s">
        <v>1009</v>
      </c>
      <c r="EJ8" s="869" t="s">
        <v>1010</v>
      </c>
      <c r="EK8" s="871" t="s">
        <v>1011</v>
      </c>
      <c r="EM8" s="266"/>
      <c r="EN8" s="266"/>
      <c r="EO8" s="266"/>
      <c r="EP8" s="266"/>
      <c r="EQ8" s="266"/>
      <c r="ER8" s="266"/>
      <c r="FD8" s="282" t="s">
        <v>1069</v>
      </c>
      <c r="FF8" s="263"/>
      <c r="FG8" s="263"/>
      <c r="FH8" s="263"/>
      <c r="FI8" s="263"/>
      <c r="FJ8" s="282" t="s">
        <v>1079</v>
      </c>
      <c r="FL8" s="263"/>
      <c r="FM8" s="263"/>
      <c r="FN8" s="263"/>
      <c r="FO8" s="263"/>
      <c r="FP8" s="263"/>
      <c r="FQ8" s="263"/>
      <c r="FR8" s="263"/>
      <c r="FS8" s="263"/>
      <c r="FT8" s="263"/>
      <c r="FU8" s="263"/>
      <c r="FV8" s="263"/>
      <c r="FW8" s="263"/>
      <c r="FX8" s="263"/>
      <c r="FY8" s="263"/>
      <c r="FZ8" s="263"/>
      <c r="GA8" s="263"/>
      <c r="GB8" s="263"/>
      <c r="GC8" s="263"/>
      <c r="GD8" s="263"/>
      <c r="GE8" s="263"/>
      <c r="GF8" s="263"/>
      <c r="GG8" s="263"/>
      <c r="GH8" s="263"/>
      <c r="GI8" s="263"/>
      <c r="GJ8" s="263"/>
      <c r="GK8" s="263"/>
      <c r="GL8" s="263"/>
      <c r="GM8" s="263"/>
      <c r="GN8" s="263"/>
      <c r="GO8" s="263"/>
      <c r="GP8" s="263"/>
      <c r="GQ8" s="263"/>
      <c r="GR8" s="263"/>
      <c r="GS8" s="263"/>
      <c r="GT8" s="263"/>
      <c r="GU8" s="263"/>
      <c r="GV8" s="263"/>
      <c r="GW8" s="263"/>
      <c r="GX8" s="263"/>
      <c r="GY8" s="263"/>
      <c r="GZ8" s="263"/>
      <c r="HA8" s="263"/>
      <c r="HB8" s="263"/>
      <c r="HC8" s="263"/>
      <c r="HD8" s="263"/>
      <c r="HE8" s="263"/>
      <c r="HF8" s="263"/>
      <c r="HG8" s="263"/>
      <c r="HH8" s="263"/>
      <c r="HI8" s="263"/>
      <c r="HJ8" s="263"/>
      <c r="HK8" s="263"/>
      <c r="HL8" s="263"/>
      <c r="HM8" s="263"/>
      <c r="HN8" s="263"/>
      <c r="HO8" s="263"/>
      <c r="HP8" s="263"/>
      <c r="HQ8" s="263"/>
      <c r="HR8" s="263"/>
      <c r="HS8" s="263"/>
      <c r="HT8" s="263"/>
      <c r="ID8" s="215"/>
      <c r="IE8" s="215"/>
      <c r="IF8" s="215"/>
      <c r="IG8" s="215"/>
      <c r="IH8" s="215"/>
      <c r="II8" s="215"/>
      <c r="IJ8" s="215"/>
      <c r="IK8" s="215"/>
      <c r="IL8" s="215"/>
      <c r="IM8" s="215"/>
      <c r="IN8" s="215"/>
      <c r="IO8" s="215"/>
      <c r="IP8" s="215"/>
      <c r="IQ8" s="215"/>
      <c r="IR8" s="215"/>
      <c r="IS8" s="215"/>
      <c r="IT8" s="215"/>
      <c r="IU8" s="215"/>
      <c r="IV8" s="215"/>
      <c r="IW8" s="215"/>
      <c r="IX8" s="215"/>
      <c r="IY8" s="215"/>
      <c r="IZ8" s="215"/>
      <c r="JA8" s="215"/>
      <c r="JB8" s="215"/>
      <c r="JC8" s="215"/>
      <c r="JD8" s="215"/>
      <c r="JE8" s="215"/>
      <c r="JF8" s="215"/>
      <c r="JG8" s="215"/>
      <c r="JH8" s="215"/>
      <c r="JI8" s="215"/>
      <c r="JJ8" s="215"/>
      <c r="JK8" s="215"/>
      <c r="JL8" s="215"/>
      <c r="JM8" s="215"/>
      <c r="JN8" s="215"/>
      <c r="JO8" s="215"/>
      <c r="JP8" s="215"/>
      <c r="JQ8" s="215"/>
      <c r="JR8" s="215"/>
      <c r="JS8" s="215"/>
      <c r="JT8" s="215"/>
      <c r="JU8" s="215"/>
      <c r="JV8" s="215"/>
      <c r="JW8" s="215"/>
      <c r="JX8" s="215"/>
      <c r="JY8" s="215"/>
      <c r="JZ8" s="215"/>
      <c r="KA8" s="215"/>
      <c r="KB8" s="215"/>
      <c r="KC8" s="215"/>
      <c r="KD8" s="215"/>
      <c r="KE8" s="215"/>
      <c r="KF8" s="215"/>
      <c r="KG8" s="215"/>
      <c r="KH8" s="215"/>
      <c r="KI8" s="215"/>
      <c r="KJ8" s="215"/>
      <c r="KK8" s="215"/>
      <c r="KL8" s="215"/>
      <c r="KM8" s="215"/>
      <c r="KN8" s="215"/>
      <c r="KO8" s="215"/>
      <c r="KP8" s="215"/>
      <c r="KQ8" s="215"/>
      <c r="KR8" s="215"/>
      <c r="KS8" s="215"/>
      <c r="KT8" s="215"/>
      <c r="KU8" s="215"/>
      <c r="KV8" s="215"/>
      <c r="KW8" s="215"/>
      <c r="KX8" s="215"/>
      <c r="KY8" s="215"/>
      <c r="KZ8" s="215"/>
      <c r="LA8" s="215"/>
      <c r="LB8" s="215"/>
      <c r="LC8" s="215"/>
      <c r="LD8" s="215"/>
      <c r="LE8" s="215"/>
      <c r="LF8" s="215"/>
      <c r="LG8" s="215"/>
      <c r="LH8" s="215"/>
      <c r="LI8" s="215"/>
      <c r="LJ8" s="215"/>
      <c r="LK8" s="215"/>
      <c r="LL8" s="215"/>
      <c r="LM8" s="215"/>
      <c r="LN8" s="215"/>
      <c r="LO8" s="215"/>
      <c r="LP8" s="215"/>
      <c r="LQ8" s="215"/>
      <c r="LR8" s="215"/>
      <c r="LS8" s="215"/>
      <c r="LT8" s="215"/>
      <c r="LU8" s="215"/>
      <c r="LV8" s="215"/>
      <c r="LW8" s="215"/>
      <c r="LX8" s="215"/>
      <c r="LY8" s="215"/>
      <c r="LZ8" s="215"/>
      <c r="MA8" s="215"/>
      <c r="MB8" s="215"/>
      <c r="MC8" s="215"/>
      <c r="MD8" s="215"/>
      <c r="ME8" s="215"/>
      <c r="MF8" s="215"/>
      <c r="MG8" s="215"/>
      <c r="MH8" s="215"/>
      <c r="MI8" s="215"/>
      <c r="MJ8" s="215"/>
      <c r="MK8" s="215"/>
      <c r="ML8" s="215"/>
      <c r="MM8" s="215"/>
      <c r="MN8" s="215"/>
      <c r="MO8" s="215"/>
      <c r="MP8" s="215"/>
      <c r="MQ8" s="215"/>
      <c r="MR8" s="215"/>
      <c r="MS8" s="215"/>
      <c r="MT8" s="215"/>
      <c r="MU8" s="215"/>
      <c r="MV8" s="215"/>
      <c r="MW8" s="215"/>
      <c r="MX8" s="215"/>
      <c r="MY8" s="215"/>
      <c r="MZ8" s="215"/>
      <c r="NA8" s="215"/>
      <c r="NB8" s="215"/>
      <c r="NC8" s="215"/>
      <c r="ND8" s="215"/>
      <c r="NE8" s="215"/>
      <c r="NF8" s="215"/>
      <c r="NG8" s="215"/>
      <c r="NH8" s="215"/>
      <c r="NI8" s="215"/>
      <c r="NJ8" s="215"/>
      <c r="NK8" s="215"/>
      <c r="NL8" s="215"/>
      <c r="NM8" s="215"/>
      <c r="NN8" s="215"/>
      <c r="NO8" s="215"/>
      <c r="NP8" s="215"/>
      <c r="NQ8" s="215"/>
      <c r="NR8" s="215"/>
      <c r="NS8" s="215"/>
      <c r="NT8" s="215"/>
      <c r="NU8" s="215"/>
      <c r="NV8" s="215"/>
      <c r="NW8" s="215"/>
      <c r="NX8" s="215"/>
      <c r="NY8" s="215"/>
      <c r="NZ8" s="215"/>
      <c r="OA8" s="215"/>
      <c r="OB8" s="215"/>
      <c r="OC8" s="215"/>
      <c r="OD8" s="215"/>
      <c r="OE8" s="215"/>
      <c r="OF8" s="215"/>
      <c r="OG8" s="215"/>
      <c r="OH8" s="215"/>
      <c r="OI8" s="215"/>
      <c r="OJ8" s="215"/>
      <c r="OK8" s="215"/>
      <c r="OL8" s="215"/>
      <c r="OM8" s="215"/>
      <c r="ON8" s="215"/>
      <c r="OO8" s="215"/>
      <c r="OP8" s="215"/>
      <c r="OQ8" s="215"/>
      <c r="OR8" s="215"/>
      <c r="OS8" s="215"/>
      <c r="OT8" s="215"/>
      <c r="OU8" s="215"/>
      <c r="OV8" s="215"/>
      <c r="OW8" s="215"/>
      <c r="OX8" s="215"/>
      <c r="OY8" s="215"/>
      <c r="OZ8" s="215"/>
      <c r="PA8" s="215"/>
      <c r="PB8" s="215"/>
      <c r="PC8" s="215"/>
      <c r="PD8" s="215"/>
      <c r="PE8" s="215"/>
      <c r="PF8" s="215"/>
      <c r="PG8" s="215"/>
      <c r="PH8" s="215"/>
      <c r="PI8" s="215"/>
      <c r="PJ8" s="215"/>
      <c r="PK8" s="215"/>
      <c r="PL8" s="215"/>
      <c r="PM8" s="215"/>
      <c r="PN8" s="215"/>
      <c r="PO8" s="215"/>
      <c r="PP8" s="215"/>
      <c r="PQ8" s="215"/>
      <c r="PR8" s="215"/>
      <c r="PS8" s="215"/>
      <c r="PT8" s="215"/>
      <c r="PU8" s="215"/>
      <c r="PV8" s="215"/>
      <c r="PW8" s="215"/>
      <c r="PX8" s="215"/>
      <c r="PY8" s="215"/>
      <c r="PZ8" s="215"/>
      <c r="QA8" s="215"/>
      <c r="QB8" s="215"/>
      <c r="QC8" s="215"/>
      <c r="QD8" s="215"/>
      <c r="QE8" s="215"/>
      <c r="QF8" s="215"/>
      <c r="QG8" s="215"/>
      <c r="QH8" s="215"/>
      <c r="QI8" s="215"/>
      <c r="QJ8" s="215"/>
      <c r="QK8" s="215"/>
      <c r="QL8" s="215"/>
      <c r="QM8" s="215"/>
      <c r="QN8" s="215"/>
      <c r="QO8" s="215"/>
      <c r="QP8" s="215"/>
      <c r="QQ8" s="215"/>
      <c r="QR8" s="215"/>
      <c r="QS8" s="215"/>
      <c r="QT8" s="215"/>
      <c r="QU8" s="215"/>
      <c r="QV8" s="215"/>
      <c r="QW8" s="215"/>
      <c r="QX8" s="215"/>
      <c r="QY8" s="215"/>
      <c r="QZ8" s="215"/>
      <c r="RA8" s="215"/>
      <c r="RB8" s="215"/>
      <c r="RC8" s="215"/>
      <c r="RD8" s="215"/>
      <c r="RE8" s="215"/>
      <c r="RF8" s="215"/>
      <c r="RG8" s="215"/>
      <c r="RH8" s="215"/>
      <c r="RI8" s="215"/>
      <c r="RJ8" s="215"/>
      <c r="RK8" s="215"/>
      <c r="RL8" s="215"/>
      <c r="RM8" s="215"/>
      <c r="RN8" s="215"/>
      <c r="RO8" s="215"/>
      <c r="RP8" s="215"/>
      <c r="RQ8" s="215"/>
      <c r="RR8" s="215"/>
      <c r="RS8" s="215"/>
      <c r="RT8" s="215"/>
      <c r="RU8" s="215"/>
      <c r="RV8" s="215"/>
      <c r="RW8" s="215"/>
      <c r="RX8" s="215"/>
      <c r="RY8" s="215"/>
      <c r="RZ8" s="215"/>
      <c r="SA8" s="215"/>
      <c r="SB8" s="215"/>
      <c r="SC8" s="215"/>
      <c r="SD8" s="215"/>
      <c r="SE8" s="215"/>
      <c r="SF8" s="215"/>
      <c r="SG8" s="215"/>
      <c r="SH8" s="215"/>
      <c r="SI8" s="215"/>
      <c r="SJ8" s="215"/>
      <c r="SK8" s="215"/>
      <c r="SL8" s="215"/>
      <c r="SM8" s="215"/>
      <c r="SN8" s="215"/>
      <c r="SO8" s="215"/>
      <c r="SP8" s="215"/>
      <c r="SQ8" s="215"/>
      <c r="SR8" s="215"/>
      <c r="SS8" s="215"/>
      <c r="ST8" s="215"/>
      <c r="SU8" s="215"/>
      <c r="SV8" s="215"/>
      <c r="SW8" s="215"/>
      <c r="SX8" s="215"/>
      <c r="SY8" s="215"/>
      <c r="SZ8" s="215"/>
      <c r="TA8" s="215"/>
      <c r="TB8" s="215"/>
      <c r="TC8" s="215"/>
      <c r="TD8" s="215"/>
      <c r="TE8" s="215"/>
      <c r="TF8" s="215"/>
      <c r="TG8" s="215"/>
      <c r="TH8" s="215"/>
      <c r="TI8" s="215"/>
      <c r="TJ8" s="215"/>
      <c r="TK8" s="215"/>
      <c r="TL8" s="215"/>
      <c r="TM8" s="215"/>
      <c r="TN8" s="215"/>
      <c r="TO8" s="215"/>
      <c r="TP8" s="215"/>
      <c r="TQ8" s="215"/>
      <c r="TR8" s="215"/>
      <c r="TS8" s="215"/>
      <c r="TT8" s="215"/>
      <c r="TU8" s="215"/>
      <c r="TV8" s="215"/>
      <c r="TW8" s="215"/>
      <c r="TX8" s="215"/>
      <c r="TY8" s="215"/>
      <c r="TZ8" s="215"/>
      <c r="UA8" s="215"/>
      <c r="UB8" s="215"/>
      <c r="UC8" s="215"/>
      <c r="UD8" s="215"/>
      <c r="UE8" s="215"/>
      <c r="UF8" s="215"/>
      <c r="UG8" s="215"/>
      <c r="UH8" s="215"/>
      <c r="UI8" s="215"/>
      <c r="UJ8" s="215"/>
      <c r="UK8" s="215"/>
      <c r="UL8" s="215"/>
      <c r="UM8" s="215"/>
      <c r="UN8" s="215"/>
      <c r="UO8" s="215"/>
      <c r="UP8" s="215"/>
      <c r="UQ8" s="215"/>
      <c r="UR8" s="215"/>
      <c r="US8" s="215"/>
      <c r="UT8" s="215"/>
      <c r="UU8" s="215"/>
      <c r="UV8" s="215"/>
      <c r="UW8" s="215"/>
      <c r="UX8" s="215"/>
      <c r="UY8" s="215"/>
      <c r="UZ8" s="215"/>
      <c r="VA8" s="215"/>
      <c r="VB8" s="215"/>
      <c r="VC8" s="215"/>
      <c r="VD8" s="215"/>
      <c r="VE8" s="215"/>
      <c r="VF8" s="215"/>
      <c r="VG8" s="215"/>
      <c r="VH8" s="215"/>
      <c r="VI8" s="215"/>
      <c r="VJ8" s="215"/>
      <c r="VK8" s="215"/>
      <c r="VL8" s="215"/>
      <c r="VM8" s="215"/>
      <c r="VN8" s="215"/>
      <c r="VO8" s="215"/>
      <c r="VP8" s="215"/>
      <c r="VQ8" s="215"/>
      <c r="VR8" s="215"/>
      <c r="VS8" s="215"/>
      <c r="VT8" s="215"/>
      <c r="VU8" s="215"/>
      <c r="VV8" s="215"/>
      <c r="VW8" s="215"/>
      <c r="VX8" s="215"/>
      <c r="VY8" s="215"/>
      <c r="VZ8" s="215"/>
      <c r="WA8" s="215"/>
      <c r="WB8" s="215"/>
      <c r="WC8" s="215"/>
      <c r="WD8" s="215"/>
      <c r="WE8" s="215"/>
      <c r="WF8" s="215"/>
      <c r="WG8" s="215"/>
      <c r="WH8" s="215"/>
      <c r="WI8" s="215"/>
      <c r="WJ8" s="215"/>
      <c r="WK8" s="215"/>
      <c r="WL8" s="215"/>
      <c r="WM8" s="215"/>
      <c r="WN8" s="215"/>
      <c r="WO8" s="215"/>
      <c r="WP8" s="215"/>
      <c r="WQ8" s="215"/>
      <c r="WR8" s="215"/>
      <c r="WS8" s="215"/>
      <c r="WT8" s="215"/>
      <c r="WU8" s="215"/>
      <c r="WV8" s="215"/>
      <c r="WW8" s="215"/>
      <c r="WX8" s="215"/>
      <c r="WY8" s="215"/>
      <c r="WZ8" s="215"/>
      <c r="XA8" s="215"/>
      <c r="ZF8" s="266"/>
      <c r="ZQ8" s="266"/>
    </row>
    <row r="9" spans="1:702" ht="15" customHeight="1" thickBot="1" x14ac:dyDescent="0.4">
      <c r="A9" s="142" t="s">
        <v>668</v>
      </c>
      <c r="B9" s="143"/>
      <c r="D9" s="267"/>
      <c r="F9" s="85"/>
      <c r="G9" s="93" t="s">
        <v>552</v>
      </c>
      <c r="H9" s="74"/>
      <c r="I9" s="74"/>
      <c r="J9" s="75"/>
      <c r="L9" s="102" t="s">
        <v>357</v>
      </c>
      <c r="M9" s="81" t="s">
        <v>350</v>
      </c>
      <c r="N9" s="81" t="s">
        <v>667</v>
      </c>
      <c r="O9" s="81" t="s">
        <v>356</v>
      </c>
      <c r="P9" s="81" t="s">
        <v>365</v>
      </c>
      <c r="Q9" s="81" t="s">
        <v>366</v>
      </c>
      <c r="R9" s="81" t="s">
        <v>875</v>
      </c>
      <c r="S9" s="81" t="s">
        <v>1007</v>
      </c>
      <c r="T9" s="81" t="s">
        <v>369</v>
      </c>
      <c r="U9" s="141" t="s">
        <v>373</v>
      </c>
      <c r="V9" s="81" t="s">
        <v>364</v>
      </c>
      <c r="W9" s="82" t="s">
        <v>1386</v>
      </c>
      <c r="AO9" s="302"/>
      <c r="AQ9" s="303"/>
      <c r="AR9" s="304"/>
      <c r="AS9" s="304"/>
      <c r="AT9" s="304"/>
      <c r="AU9" s="270"/>
      <c r="AW9" s="305"/>
      <c r="AX9" s="268"/>
      <c r="AY9" s="269"/>
      <c r="AZ9" s="269"/>
      <c r="BA9" s="269"/>
      <c r="BB9" s="269"/>
      <c r="BC9" s="269"/>
      <c r="BD9" s="306"/>
      <c r="BE9" s="305"/>
      <c r="BF9" s="269"/>
      <c r="BG9" s="307"/>
      <c r="BH9" s="269"/>
      <c r="BI9" s="269"/>
      <c r="BJ9" s="270"/>
      <c r="BO9" s="362"/>
      <c r="BX9" s="302" t="str">
        <f>IF($B$6="",$D$9,$B$6)</f>
        <v>BLUE OCEAN UK</v>
      </c>
      <c r="BZ9" s="95" t="s">
        <v>0</v>
      </c>
      <c r="CA9" s="96" t="s">
        <v>5</v>
      </c>
      <c r="CB9" s="96" t="s">
        <v>351</v>
      </c>
      <c r="CC9" s="97" t="s">
        <v>876</v>
      </c>
      <c r="CD9" s="117" t="s">
        <v>352</v>
      </c>
      <c r="CE9" s="96" t="s">
        <v>353</v>
      </c>
      <c r="CF9" s="96" t="s">
        <v>354</v>
      </c>
      <c r="CG9" s="96" t="s">
        <v>553</v>
      </c>
      <c r="CH9" s="96" t="s">
        <v>869</v>
      </c>
      <c r="CI9" s="96" t="s">
        <v>554</v>
      </c>
      <c r="CJ9" s="96" t="s">
        <v>13</v>
      </c>
      <c r="CK9" s="96" t="s">
        <v>14</v>
      </c>
      <c r="CL9" s="96" t="s">
        <v>16</v>
      </c>
      <c r="CM9" s="96" t="s">
        <v>1</v>
      </c>
      <c r="CN9" s="117" t="s">
        <v>349</v>
      </c>
      <c r="CO9" s="117" t="s">
        <v>4</v>
      </c>
      <c r="CP9" s="117" t="s">
        <v>1059</v>
      </c>
      <c r="CQ9" s="117" t="s">
        <v>1002</v>
      </c>
      <c r="CR9" s="96" t="s">
        <v>355</v>
      </c>
      <c r="CS9" s="97" t="s">
        <v>877</v>
      </c>
      <c r="CT9" s="98" t="s">
        <v>878</v>
      </c>
      <c r="CU9" s="98" t="s">
        <v>1014</v>
      </c>
      <c r="CW9" s="100"/>
      <c r="CX9" s="74"/>
      <c r="CY9" s="74"/>
      <c r="CZ9" s="74"/>
      <c r="DA9" s="74"/>
      <c r="DB9" s="75"/>
      <c r="DH9" s="215"/>
      <c r="EC9" s="372"/>
      <c r="EE9" s="884"/>
      <c r="EF9" s="882"/>
      <c r="EG9" s="870"/>
      <c r="EH9" s="870"/>
      <c r="EI9" s="870"/>
      <c r="EJ9" s="870"/>
      <c r="EK9" s="872"/>
      <c r="FD9" s="492"/>
      <c r="FE9" s="493"/>
      <c r="FF9" s="494"/>
      <c r="FG9" s="494"/>
      <c r="FH9" s="495"/>
      <c r="FI9" s="263"/>
      <c r="FJ9" s="492"/>
      <c r="FK9" s="493"/>
      <c r="FL9" s="494"/>
      <c r="FM9" s="494"/>
      <c r="FN9" s="495"/>
      <c r="FO9" s="263"/>
      <c r="FP9" s="263"/>
      <c r="FQ9" s="263"/>
      <c r="FR9" s="263"/>
      <c r="FS9" s="263"/>
      <c r="FT9" s="263"/>
      <c r="FU9" s="263"/>
      <c r="FV9" s="263"/>
      <c r="FW9" s="263"/>
      <c r="FX9" s="263"/>
      <c r="FY9" s="263"/>
      <c r="FZ9" s="263"/>
      <c r="GA9" s="263"/>
      <c r="GB9" s="263"/>
      <c r="GC9" s="263"/>
      <c r="GD9" s="263"/>
      <c r="GE9" s="263"/>
      <c r="GF9" s="263"/>
      <c r="GG9" s="263"/>
      <c r="GH9" s="263"/>
      <c r="GI9" s="263"/>
      <c r="GJ9" s="263"/>
      <c r="GK9" s="263"/>
      <c r="GL9" s="263"/>
      <c r="GM9" s="263"/>
      <c r="GN9" s="263"/>
      <c r="GO9" s="263"/>
      <c r="GP9" s="263"/>
      <c r="GQ9" s="263"/>
      <c r="GR9" s="263"/>
      <c r="GS9" s="263"/>
      <c r="GT9" s="263"/>
      <c r="GU9" s="263"/>
      <c r="GV9" s="263"/>
      <c r="GW9" s="263"/>
      <c r="GX9" s="263"/>
      <c r="GY9" s="263"/>
      <c r="GZ9" s="263"/>
      <c r="HA9" s="263"/>
      <c r="HB9" s="263"/>
      <c r="HC9" s="263"/>
      <c r="HD9" s="263"/>
      <c r="HE9" s="263"/>
      <c r="HF9" s="263"/>
      <c r="HG9" s="263"/>
      <c r="HH9" s="263"/>
      <c r="HI9" s="263"/>
      <c r="HJ9" s="263"/>
      <c r="HK9" s="263"/>
      <c r="HL9" s="263"/>
      <c r="HM9" s="263"/>
      <c r="HN9" s="263"/>
      <c r="HO9" s="263"/>
      <c r="HP9" s="263"/>
      <c r="HQ9" s="263"/>
      <c r="HR9" s="263"/>
      <c r="HS9" s="263"/>
      <c r="HT9" s="263"/>
      <c r="ZF9" s="511"/>
      <c r="ZG9" s="511"/>
      <c r="ZH9" s="511"/>
      <c r="ZI9" s="511"/>
      <c r="ZJ9" s="511"/>
      <c r="ZK9" s="511"/>
      <c r="ZL9" s="511"/>
      <c r="ZM9" s="511"/>
      <c r="ZN9" s="511"/>
      <c r="ZO9" s="511"/>
      <c r="ZQ9" s="511"/>
      <c r="ZR9" s="511"/>
      <c r="ZS9" s="511"/>
      <c r="ZT9" s="511"/>
      <c r="ZU9" s="511"/>
      <c r="ZV9" s="511"/>
      <c r="ZW9" s="511"/>
      <c r="ZX9" s="511"/>
      <c r="ZY9" s="511"/>
      <c r="ZZ9" s="511"/>
    </row>
    <row r="10" spans="1:702" ht="15" customHeight="1" x14ac:dyDescent="0.35">
      <c r="B10" s="140"/>
      <c r="D10" s="265" t="s">
        <v>555</v>
      </c>
      <c r="F10" s="86"/>
      <c r="G10" s="848" t="str">
        <f>IF($D$9="",IF($B$6="","Filter the orders by client or select an order from the list",INDEX(clientData[company_name1],MATCH($B$6,clientData[cod_cliente],0))),INDEX(clientData[company_name1],MATCH($D$9,clientData[cod_cliente],0)))</f>
        <v>BLUE OCEAN STRATEGIES, LLC</v>
      </c>
      <c r="H10" s="849"/>
      <c r="I10" s="850"/>
      <c r="J10" s="77"/>
      <c r="L10" s="373" t="str">
        <f t="array" ref="L10">IFERROR(IF($D$9="",IF($D$11="",IF($D$13="",IF($D$15="",INDEX(orderHistory[customer],SMALL(MATCH(ROW(orderHistory[customer]),ROW(orderHistory[customer])),ROWS($A$15:A15)+$B$3)),INDEX(orderHistory[customer],SMALL(IF(ISNUMBER(MATCH(YEAR(orderHistory[invoice_date]),$D$15,0)),MATCH(ROW(orderHistory[customer]),ROW(orderHistory[customer])),""),ROWS($A$15:A15)+$B$3))),IF($D$15="",INDEX(orderHistory[customer],SMALL(IF(ISNUMBER(MATCH(orderHistory[order_type],$D$13,0)),MATCH(ROW(orderHistory[customer]),ROW(orderHistory[customer])),""),ROWS($A$15:A15)+$B$3)),INDEX(orderHistory[customer],SMALL(IF(ISNUMBER(MATCH(orderHistory[order_type],$D$13,0)*MATCH(YEAR(orderHistory[invoice_date]),$D$15,0)),MATCH(ROW(orderHistory[customer]),ROW(orderHistory[customer])),""),ROWS($A$15:A15)+$B$3)))),IF($D$13="",IF($D$15="",INDEX(orderHistory[customer],SMALL(IF(ISNUMBER(MATCH(orderHistory[status],$D$11,0)),MATCH(ROW(orderHistory[customer]),ROW(orderHistory[customer])),""),ROWS($A$15:A15)+$B$3)),INDEX(orderHistory[customer],SMALL(IF(ISNUMBER(MATCH(orderHistory[status],$D$11,0)*MATCH(YEAR(orderHistory[invoice_date]),$D$15,0)),MATCH(ROW(orderHistory[customer]),ROW(orderHistory[customer])),""),ROWS($A$15:A15)+$B$3))),IF($D$15="",INDEX(orderHistory[customer],SMALL(IF(ISNUMBER(MATCH(orderHistory[status],$D$11,0)*MATCH(orderHistory[order_type],$D$13,0)),MATCH(ROW(orderHistory[customer]),ROW(orderHistory[customer])),""),ROWS($A$15:A15)+$B$3)),INDEX(orderHistory[customer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customer],SMALL(IF(ISNUMBER(MATCH(orderHistory[customer],$D$9,0)),MATCH(ROW(orderHistory[customer]),ROW(orderHistory[customer])),""),ROWS($A$15:A15)+$B$3)),INDEX(orderHistory[customer],SMALL(IF(ISNUMBER(MATCH(orderHistory[customer],$D$9,0)*MATCH(YEAR(orderHistory[invoice_date]),$D$15,0)),MATCH(ROW(orderHistory[customer]),ROW(orderHistory[customer])),""),ROWS($A$15:A15)+$B$3))),IF($D$15="",INDEX(orderHistory[customer],SMALL(IF(ISNUMBER(MATCH(orderHistory[customer],$D$9,0)*MATCH(orderHistory[order_type],$D$13,0)),MATCH(ROW(orderHistory[customer]),ROW(orderHistory[customer])),""),ROWS($A$15:A15)+$B$3)),INDEX(orderHistory[customer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customer],SMALL(IF(ISNUMBER(MATCH(orderHistory[customer],$D$9,0)*MATCH(orderHistory[status],$D$11,0)),MATCH(ROW(orderHistory[customer]),ROW(orderHistory[customer])),""),ROWS($A$15:A15)+$B$3)),INDEX(orderHistory[customer],SMALL(IF(ISNUMBER(MATCH(orderHistory[customer],$D$9,0)*MATCH(orderHistory[status],$D$11,0)*MATCH(YEAR(orderHistory[invoice_date]),$D$15,0)),MATCH(ROW(orderHistory[customer]),ROW(orderHistory[customer])),""),ROWS($A$15:A15)+$B$3))),IF($D$15="",INDEX(orderHistory[customer],SMALL(IF(ISNUMBER(MATCH(orderHistory[customer],$D$9,0)*MATCH(orderHistory[status],$D$11,0)*MATCH(orderHistory[order_type],$D$13,0)),MATCH(ROW(orderHistory[customer]),ROW(orderHistory[customer])),""),ROWS($A$15:A15)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BRANDSHAPERS</v>
      </c>
      <c r="M10" s="374">
        <f t="array" ref="M10">IFERROR(IF($D$9="",IF($D$11="",IF($D$13="",IF($D$15="",INDEX(orderHistory[order_no],SMALL(MATCH(ROW(orderHistory[customer]),ROW(orderHistory[customer])),ROWS($A$15:A15)+$B$3)),INDEX(orderHistory[order_no],SMALL(IF(ISNUMBER(MATCH(YEAR(orderHistory[invoice_date]),$D$15,0)),MATCH(ROW(orderHistory[customer]),ROW(orderHistory[customer])),""),ROWS($A$15:A15)+$B$3))),IF($D$15="",INDEX(orderHistory[order_no],SMALL(IF(ISNUMBER(MATCH(orderHistory[order_type],$D$13,0)),MATCH(ROW(orderHistory[customer]),ROW(orderHistory[customer])),""),ROWS($A$15:A15)+$B$3)),INDEX(orderHistory[order_no],SMALL(IF(ISNUMBER(MATCH(orderHistory[order_type],$D$13,0)*MATCH(YEAR(orderHistory[invoice_date]),$D$15,0)),MATCH(ROW(orderHistory[customer]),ROW(orderHistory[customer])),""),ROWS($A$15:A15)+$B$3)))),IF($D$13="",IF($D$15="",INDEX(orderHistory[order_no],SMALL(IF(ISNUMBER(MATCH(orderHistory[status],$D$11,0)),MATCH(ROW(orderHistory[customer]),ROW(orderHistory[customer])),""),ROWS($A$15:A15)+$B$3)),INDEX(orderHistory[order_no],SMALL(IF(ISNUMBER(MATCH(orderHistory[status],$D$11,0)*MATCH(YEAR(orderHistory[invoice_date]),$D$15,0)),MATCH(ROW(orderHistory[customer]),ROW(orderHistory[customer])),""),ROWS($A$15:A15)+$B$3))),IF($D$15="",INDEX(orderHistory[order_no],SMALL(IF(ISNUMBER(MATCH(orderHistory[status],$D$11,0)*MATCH(orderHistory[order_type],$D$13,0)),MATCH(ROW(orderHistory[customer]),ROW(orderHistory[customer])),""),ROWS($A$15:A15)+$B$3)),INDEX(orderHistory[order_no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order_no],SMALL(IF(ISNUMBER(MATCH(orderHistory[customer],$D$9,0)),MATCH(ROW(orderHistory[customer]),ROW(orderHistory[customer])),""),ROWS($A$15:A15)+$B$3)),INDEX(orderHistory[order_no],SMALL(IF(ISNUMBER(MATCH(orderHistory[customer],$D$9,0)*MATCH(YEAR(orderHistory[invoice_date]),$D$15,0)),MATCH(ROW(orderHistory[customer]),ROW(orderHistory[customer])),""),ROWS($A$15:A15)+$B$3))),IF($D$15="",INDEX(orderHistory[order_no],SMALL(IF(ISNUMBER(MATCH(orderHistory[customer],$D$9,0)*MATCH(orderHistory[order_type],$D$13,0)),MATCH(ROW(orderHistory[customer]),ROW(orderHistory[customer])),""),ROWS($A$15:A15)+$B$3)),INDEX(orderHistory[order_no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order_no],SMALL(IF(ISNUMBER(MATCH(orderHistory[customer],$D$9,0)*MATCH(orderHistory[status],$D$11,0)),MATCH(ROW(orderHistory[customer]),ROW(orderHistory[customer])),""),ROWS($A$15:A15)+$B$3)),INDEX(orderHistory[order_no],SMALL(IF(ISNUMBER(MATCH(orderHistory[customer],$D$9,0)*MATCH(orderHistory[status],$D$11,0)*MATCH(YEAR(orderHistory[invoice_date]),$D$15,0)),MATCH(ROW(orderHistory[customer]),ROW(orderHistory[customer])),""),ROWS($A$15:A15)+$B$3))),IF($D$15="",INDEX(orderHistory[order_no],SMALL(IF(ISNUMBER(MATCH(orderHistory[customer],$D$9,0)*MATCH(orderHistory[status],$D$11,0)*MATCH(orderHistory[order_type],$D$13,0)),MATCH(ROW(orderHistory[customer]),ROW(orderHistory[customer])),""),ROWS($A$15:A15)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126</v>
      </c>
      <c r="N10" s="375" t="str">
        <f t="array" ref="N10">IFERROR(IF($D$9="",IF($D$11="",IF($D$13="",IF($D$15="",INDEX(orderHistory[order_type],SMALL(MATCH(ROW(orderHistory[customer]),ROW(orderHistory[customer])),ROWS($A$15:A15)+$B$3)),INDEX(orderHistory[order_type],SMALL(IF(ISNUMBER(MATCH(YEAR(orderHistory[invoice_date]),$D$15,0)),MATCH(ROW(orderHistory[customer]),ROW(orderHistory[customer])),""),ROWS($A$15:A15)+$B$3))),IF($D$15="",INDEX(orderHistory[order_type],SMALL(IF(ISNUMBER(MATCH(orderHistory[order_type],$D$13,0)),MATCH(ROW(orderHistory[customer]),ROW(orderHistory[customer])),""),ROWS($A$15:A15)+$B$3)),INDEX(orderHistory[order_type],SMALL(IF(ISNUMBER(MATCH(orderHistory[order_type],$D$13,0)*MATCH(YEAR(orderHistory[invoice_date]),$D$15,0)),MATCH(ROW(orderHistory[customer]),ROW(orderHistory[customer])),""),ROWS($A$15:A15)+$B$3)))),IF($D$13="",IF($D$15="",INDEX(orderHistory[order_type],SMALL(IF(ISNUMBER(MATCH(orderHistory[status],$D$11,0)),MATCH(ROW(orderHistory[customer]),ROW(orderHistory[customer])),""),ROWS($A$15:A15)+$B$3)),INDEX(orderHistory[order_type],SMALL(IF(ISNUMBER(MATCH(orderHistory[status],$D$11,0)*MATCH(YEAR(orderHistory[invoice_date]),$D$15,0)),MATCH(ROW(orderHistory[customer]),ROW(orderHistory[customer])),""),ROWS($A$15:A15)+$B$3))),IF($D$15="",INDEX(orderHistory[order_type],SMALL(IF(ISNUMBER(MATCH(orderHistory[status],$D$11,0)*MATCH(orderHistory[order_type],$D$13,0)),MATCH(ROW(orderHistory[customer]),ROW(orderHistory[customer])),""),ROWS($A$15:A15)+$B$3)),INDEX(orderHistory[order_type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order_type],SMALL(IF(ISNUMBER(MATCH(orderHistory[customer],$D$9,0)),MATCH(ROW(orderHistory[customer]),ROW(orderHistory[customer])),""),ROWS($A$15:A15)+$B$3)),INDEX(orderHistory[order_type],SMALL(IF(ISNUMBER(MATCH(orderHistory[customer],$D$9,0)*MATCH(YEAR(orderHistory[invoice_date]),$D$15,0)),MATCH(ROW(orderHistory[customer]),ROW(orderHistory[customer])),""),ROWS($A$15:A15)+$B$3))),IF($D$15="",INDEX(orderHistory[order_type],SMALL(IF(ISNUMBER(MATCH(orderHistory[customer],$D$9,0)*MATCH(orderHistory[order_type],$D$13,0)),MATCH(ROW(orderHistory[customer]),ROW(orderHistory[customer])),""),ROWS($A$15:A15)+$B$3)),INDEX(orderHistory[order_type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order_type],SMALL(IF(ISNUMBER(MATCH(orderHistory[customer],$D$9,0)*MATCH(orderHistory[status],$D$11,0)),MATCH(ROW(orderHistory[customer]),ROW(orderHistory[customer])),""),ROWS($A$15:A15)+$B$3)),INDEX(orderHistory[order_type],SMALL(IF(ISNUMBER(MATCH(orderHistory[customer],$D$9,0)*MATCH(orderHistory[status],$D$11,0)*MATCH(YEAR(orderHistory[invoice_date]),$D$15,0)),MATCH(ROW(orderHistory[customer]),ROW(orderHistory[customer])),""),ROWS($A$15:A15)+$B$3))),IF($D$15="",INDEX(orderHistory[order_type],SMALL(IF(ISNUMBER(MATCH(orderHistory[customer],$D$9,0)*MATCH(orderHistory[status],$D$11,0)*MATCH(orderHistory[order_type],$D$13,0)),MATCH(ROW(orderHistory[customer]),ROW(orderHistory[customer])),""),ROWS($A$15:A15)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SALE</v>
      </c>
      <c r="O10" s="376">
        <f t="array" ref="O10">IFERROR(IF($D$9="",IF($D$11="",IF($D$13="",IF($D$15="",INDEX(orderHistory[order_date],SMALL(MATCH(ROW(orderHistory[customer]),ROW(orderHistory[customer])),ROWS($A$15:A15)+$B$3)),INDEX(orderHistory[order_date],SMALL(IF(ISNUMBER(MATCH(YEAR(orderHistory[invoice_date]),$D$15,0)),MATCH(ROW(orderHistory[customer]),ROW(orderHistory[customer])),""),ROWS($A$15:A15)+$B$3))),IF($D$15="",INDEX(orderHistory[order_date],SMALL(IF(ISNUMBER(MATCH(orderHistory[order_type],$D$13,0)),MATCH(ROW(orderHistory[customer]),ROW(orderHistory[customer])),""),ROWS($A$15:A15)+$B$3)),INDEX(orderHistory[order_date],SMALL(IF(ISNUMBER(MATCH(orderHistory[order_type],$D$13,0)*MATCH(YEAR(orderHistory[invoice_date]),$D$15,0)),MATCH(ROW(orderHistory[customer]),ROW(orderHistory[customer])),""),ROWS($A$15:A15)+$B$3)))),IF($D$13="",IF($D$15="",INDEX(orderHistory[order_date],SMALL(IF(ISNUMBER(MATCH(orderHistory[status],$D$11,0)),MATCH(ROW(orderHistory[customer]),ROW(orderHistory[customer])),""),ROWS($A$15:A15)+$B$3)),INDEX(orderHistory[order_date],SMALL(IF(ISNUMBER(MATCH(orderHistory[status],$D$11,0)*MATCH(YEAR(orderHistory[invoice_date]),$D$15,0)),MATCH(ROW(orderHistory[customer]),ROW(orderHistory[customer])),""),ROWS($A$15:A15)+$B$3))),IF($D$15="",INDEX(orderHistory[order_date],SMALL(IF(ISNUMBER(MATCH(orderHistory[status],$D$11,0)*MATCH(orderHistory[order_type],$D$13,0)),MATCH(ROW(orderHistory[customer]),ROW(orderHistory[customer])),""),ROWS($A$15:A15)+$B$3)),INDEX(orderHistory[order_date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order_date],SMALL(IF(ISNUMBER(MATCH(orderHistory[customer],$D$9,0)),MATCH(ROW(orderHistory[customer]),ROW(orderHistory[customer])),""),ROWS($A$15:A15)+$B$3)),INDEX(orderHistory[order_date],SMALL(IF(ISNUMBER(MATCH(orderHistory[customer],$D$9,0)*MATCH(YEAR(orderHistory[invoice_date]),$D$15,0)),MATCH(ROW(orderHistory[customer]),ROW(orderHistory[customer])),""),ROWS($A$15:A15)+$B$3))),IF($D$15="",INDEX(orderHistory[order_date],SMALL(IF(ISNUMBER(MATCH(orderHistory[customer],$D$9,0)*MATCH(orderHistory[order_type],$D$13,0)),MATCH(ROW(orderHistory[customer]),ROW(orderHistory[customer])),""),ROWS($A$15:A15)+$B$3)),INDEX(orderHistory[order_date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order_date],SMALL(IF(ISNUMBER(MATCH(orderHistory[customer],$D$9,0)*MATCH(orderHistory[status],$D$11,0)),MATCH(ROW(orderHistory[customer]),ROW(orderHistory[customer])),""),ROWS($A$15:A15)+$B$3)),INDEX(orderHistory[order_date],SMALL(IF(ISNUMBER(MATCH(orderHistory[customer],$D$9,0)*MATCH(orderHistory[status],$D$11,0)*MATCH(YEAR(orderHistory[invoice_date]),$D$15,0)),MATCH(ROW(orderHistory[customer]),ROW(orderHistory[customer])),""),ROWS($A$15:A15)+$B$3))),IF($D$15="",INDEX(orderHistory[order_date],SMALL(IF(ISNUMBER(MATCH(orderHistory[customer],$D$9,0)*MATCH(orderHistory[status],$D$11,0)*MATCH(orderHistory[order_type],$D$13,0)),MATCH(ROW(orderHistory[customer]),ROW(orderHistory[customer])),""),ROWS($A$15:A15)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45561</v>
      </c>
      <c r="P10" s="377" t="str">
        <f t="array" ref="P10">IFERROR(IF($D$9="",IF($D$11="",IF($D$13="",IF($D$15="",INDEX(orderHistory[invoice_no],SMALL(MATCH(ROW(orderHistory[customer]),ROW(orderHistory[customer])),ROWS($A$15:A15)+$B$3)),INDEX(orderHistory[invoice_no],SMALL(IF(ISNUMBER(MATCH(YEAR(orderHistory[invoice_date]),$D$15,0)),MATCH(ROW(orderHistory[customer]),ROW(orderHistory[customer])),""),ROWS($A$15:A15)+$B$3))),IF($D$15="",INDEX(orderHistory[invoice_no],SMALL(IF(ISNUMBER(MATCH(orderHistory[order_type],$D$13,0)),MATCH(ROW(orderHistory[customer]),ROW(orderHistory[customer])),""),ROWS($A$15:A15)+$B$3)),INDEX(orderHistory[invoice_no],SMALL(IF(ISNUMBER(MATCH(orderHistory[order_type],$D$13,0)*MATCH(YEAR(orderHistory[invoice_date]),$D$15,0)),MATCH(ROW(orderHistory[customer]),ROW(orderHistory[customer])),""),ROWS($A$15:A15)+$B$3)))),IF($D$13="",IF($D$15="",INDEX(orderHistory[invoice_no],SMALL(IF(ISNUMBER(MATCH(orderHistory[status],$D$11,0)),MATCH(ROW(orderHistory[customer]),ROW(orderHistory[customer])),""),ROWS($A$15:A15)+$B$3)),INDEX(orderHistory[invoice_no],SMALL(IF(ISNUMBER(MATCH(orderHistory[status],$D$11,0)*MATCH(YEAR(orderHistory[invoice_date]),$D$15,0)),MATCH(ROW(orderHistory[customer]),ROW(orderHistory[customer])),""),ROWS($A$15:A15)+$B$3))),IF($D$15="",INDEX(orderHistory[invoice_no],SMALL(IF(ISNUMBER(MATCH(orderHistory[status],$D$11,0)*MATCH(orderHistory[order_type],$D$13,0)),MATCH(ROW(orderHistory[customer]),ROW(orderHistory[customer])),""),ROWS($A$15:A15)+$B$3)),INDEX(orderHistory[invoice_no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invoice_no],SMALL(IF(ISNUMBER(MATCH(orderHistory[customer],$D$9,0)),MATCH(ROW(orderHistory[customer]),ROW(orderHistory[customer])),""),ROWS($A$15:A15)+$B$3)),INDEX(orderHistory[invoice_no],SMALL(IF(ISNUMBER(MATCH(orderHistory[customer],$D$9,0)*MATCH(YEAR(orderHistory[invoice_date]),$D$15,0)),MATCH(ROW(orderHistory[customer]),ROW(orderHistory[customer])),""),ROWS($A$15:A15)+$B$3))),IF($D$15="",INDEX(orderHistory[invoice_no],SMALL(IF(ISNUMBER(MATCH(orderHistory[customer],$D$9,0)*MATCH(orderHistory[order_type],$D$13,0)),MATCH(ROW(orderHistory[customer]),ROW(orderHistory[customer])),""),ROWS($A$15:A15)+$B$3)),INDEX(orderHistory[invoice_no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invoice_no],SMALL(IF(ISNUMBER(MATCH(orderHistory[customer],$D$9,0)*MATCH(orderHistory[status],$D$11,0)),MATCH(ROW(orderHistory[customer]),ROW(orderHistory[customer])),""),ROWS($A$15:A15)+$B$3)),INDEX(orderHistory[invoice_no],SMALL(IF(ISNUMBER(MATCH(orderHistory[customer],$D$9,0)*MATCH(orderHistory[status],$D$11,0)*MATCH(YEAR(orderHistory[invoice_date]),$D$15,0)),MATCH(ROW(orderHistory[customer]),ROW(orderHistory[customer])),""),ROWS($A$15:A15)+$B$3))),IF($D$15="",INDEX(orderHistory[invoice_no],SMALL(IF(ISNUMBER(MATCH(orderHistory[customer],$D$9,0)*MATCH(orderHistory[status],$D$11,0)*MATCH(orderHistory[order_type],$D$13,0)),MATCH(ROW(orderHistory[customer]),ROW(orderHistory[customer])),""),ROWS($A$15:A15)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382</v>
      </c>
      <c r="Q10" s="378">
        <f t="array" ref="Q10">IFERROR(IF($D$9="",IF($D$11="",IF($D$13="",IF($D$15="",INDEX(orderHistory[invoice_date],SMALL(MATCH(ROW(orderHistory[customer]),ROW(orderHistory[customer])),ROWS($A$15:A15)+$B$3)),INDEX(orderHistory[invoice_date],SMALL(IF(ISNUMBER(MATCH(YEAR(orderHistory[invoice_date]),$D$15,0)),MATCH(ROW(orderHistory[customer]),ROW(orderHistory[customer])),""),ROWS($A$15:A15)+$B$3))),IF($D$15="",INDEX(orderHistory[invoice_date],SMALL(IF(ISNUMBER(MATCH(orderHistory[order_type],$D$13,0)),MATCH(ROW(orderHistory[customer]),ROW(orderHistory[customer])),""),ROWS($A$15:A15)+$B$3)),INDEX(orderHistory[invoice_date],SMALL(IF(ISNUMBER(MATCH(orderHistory[order_type],$D$13,0)*MATCH(YEAR(orderHistory[invoice_date]),$D$15,0)),MATCH(ROW(orderHistory[customer]),ROW(orderHistory[customer])),""),ROWS($A$15:A15)+$B$3)))),IF($D$13="",IF($D$15="",INDEX(orderHistory[invoice_date],SMALL(IF(ISNUMBER(MATCH(orderHistory[status],$D$11,0)),MATCH(ROW(orderHistory[customer]),ROW(orderHistory[customer])),""),ROWS($A$15:A15)+$B$3)),INDEX(orderHistory[invoice_date],SMALL(IF(ISNUMBER(MATCH(orderHistory[status],$D$11,0)*MATCH(YEAR(orderHistory[invoice_date]),$D$15,0)),MATCH(ROW(orderHistory[customer]),ROW(orderHistory[customer])),""),ROWS($A$15:A15)+$B$3))),IF($D$15="",INDEX(orderHistory[invoice_date],SMALL(IF(ISNUMBER(MATCH(orderHistory[status],$D$11,0)*MATCH(orderHistory[order_type],$D$13,0)),MATCH(ROW(orderHistory[customer]),ROW(orderHistory[customer])),""),ROWS($A$15:A15)+$B$3)),INDEX(orderHistory[invoice_date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invoice_date],SMALL(IF(ISNUMBER(MATCH(orderHistory[customer],$D$9,0)),MATCH(ROW(orderHistory[customer]),ROW(orderHistory[customer])),""),ROWS($A$15:A15)+$B$3)),INDEX(orderHistory[invoice_date],SMALL(IF(ISNUMBER(MATCH(orderHistory[customer],$D$9,0)*MATCH(YEAR(orderHistory[invoice_date]),$D$15,0)),MATCH(ROW(orderHistory[customer]),ROW(orderHistory[customer])),""),ROWS($A$15:A15)+$B$3))),IF($D$15="",INDEX(orderHistory[invoice_date],SMALL(IF(ISNUMBER(MATCH(orderHistory[customer],$D$9,0)*MATCH(orderHistory[order_type],$D$13,0)),MATCH(ROW(orderHistory[customer]),ROW(orderHistory[customer])),""),ROWS($A$15:A15)+$B$3)),INDEX(orderHistory[invoice_date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invoice_date],SMALL(IF(ISNUMBER(MATCH(orderHistory[customer],$D$9,0)*MATCH(orderHistory[status],$D$11,0)),MATCH(ROW(orderHistory[customer]),ROW(orderHistory[customer])),""),ROWS($A$15:A15)+$B$3)),INDEX(orderHistory[invoice_date],SMALL(IF(ISNUMBER(MATCH(orderHistory[customer],$D$9,0)*MATCH(orderHistory[status],$D$11,0)*MATCH(YEAR(orderHistory[invoice_date]),$D$15,0)),MATCH(ROW(orderHistory[customer]),ROW(orderHistory[customer])),""),ROWS($A$15:A15)+$B$3))),IF($D$15="",INDEX(orderHistory[invoice_date],SMALL(IF(ISNUMBER(MATCH(orderHistory[customer],$D$9,0)*MATCH(orderHistory[status],$D$11,0)*MATCH(orderHistory[order_type],$D$13,0)),MATCH(ROW(orderHistory[customer]),ROW(orderHistory[customer])),""),ROWS($A$15:A15)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45587</v>
      </c>
      <c r="R10" s="379">
        <f t="array" ref="R10">IFERROR(IF($D$9="",IF($D$11="",IF($D$13="",IF($D$15="",INDEX(orderHistory[inv_amount],SMALL(MATCH(ROW(orderHistory[customer]),ROW(orderHistory[customer])),ROWS($A$15:A15)+$B$3)),INDEX(orderHistory[inv_amount],SMALL(IF(ISNUMBER(MATCH(YEAR(orderHistory[invoice_date]),$D$15,0)),MATCH(ROW(orderHistory[customer]),ROW(orderHistory[customer])),""),ROWS($A$15:A15)+$B$3))),IF($D$15="",INDEX(orderHistory[inv_amount],SMALL(IF(ISNUMBER(MATCH(orderHistory[order_type],$D$13,0)),MATCH(ROW(orderHistory[customer]),ROW(orderHistory[customer])),""),ROWS($A$15:A15)+$B$3)),INDEX(orderHistory[inv_amount],SMALL(IF(ISNUMBER(MATCH(orderHistory[order_type],$D$13,0)*MATCH(YEAR(orderHistory[invoice_date]),$D$15,0)),MATCH(ROW(orderHistory[customer]),ROW(orderHistory[customer])),""),ROWS($A$15:A15)+$B$3)))),IF($D$13="",IF($D$15="",INDEX(orderHistory[inv_amount],SMALL(IF(ISNUMBER(MATCH(orderHistory[status],$D$11,0)),MATCH(ROW(orderHistory[customer]),ROW(orderHistory[customer])),""),ROWS($A$15:A15)+$B$3)),INDEX(orderHistory[inv_amount],SMALL(IF(ISNUMBER(MATCH(orderHistory[status],$D$11,0)*MATCH(YEAR(orderHistory[invoice_date]),$D$15,0)),MATCH(ROW(orderHistory[customer]),ROW(orderHistory[customer])),""),ROWS($A$15:A15)+$B$3))),IF($D$15="",INDEX(orderHistory[inv_amount],SMALL(IF(ISNUMBER(MATCH(orderHistory[status],$D$11,0)*MATCH(orderHistory[order_type],$D$13,0)),MATCH(ROW(orderHistory[customer]),ROW(orderHistory[customer])),""),ROWS($A$15:A15)+$B$3)),INDEX(orderHistory[inv_amount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inv_amount],SMALL(IF(ISNUMBER(MATCH(orderHistory[customer],$D$9,0)),MATCH(ROW(orderHistory[customer]),ROW(orderHistory[customer])),""),ROWS($A$15:A15)+$B$3)),INDEX(orderHistory[inv_amount],SMALL(IF(ISNUMBER(MATCH(orderHistory[customer],$D$9,0)*MATCH(YEAR(orderHistory[invoice_date]),$D$15,0)),MATCH(ROW(orderHistory[customer]),ROW(orderHistory[customer])),""),ROWS($A$15:A15)+$B$3))),IF($D$15="",INDEX(orderHistory[inv_amount],SMALL(IF(ISNUMBER(MATCH(orderHistory[customer],$D$9,0)*MATCH(orderHistory[order_type],$D$13,0)),MATCH(ROW(orderHistory[customer]),ROW(orderHistory[customer])),""),ROWS($A$15:A15)+$B$3)),INDEX(orderHistory[inv_amount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inv_amount],SMALL(IF(ISNUMBER(MATCH(orderHistory[customer],$D$9,0)*MATCH(orderHistory[status],$D$11,0)),MATCH(ROW(orderHistory[customer]),ROW(orderHistory[customer])),""),ROWS($A$15:A15)+$B$3)),INDEX(orderHistory[inv_amount],SMALL(IF(ISNUMBER(MATCH(orderHistory[customer],$D$9,0)*MATCH(orderHistory[status],$D$11,0)*MATCH(YEAR(orderHistory[inv_amount]),$D$15,0)),MATCH(ROW(orderHistory[customer]),ROW(orderHistory[customer])),""),ROWS($A$15:A15)+$B$3))),IF($D$15="",INDEX(orderHistory[inv_amount],SMALL(IF(ISNUMBER(MATCH(orderHistory[customer],$D$9,0)*MATCH(orderHistory[status],$D$11,0)*MATCH(orderHistory[order_type],$D$13,0)),MATCH(ROW(orderHistory[customer]),ROW(orderHistory[customer])),""),ROWS($A$15:A15)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33405.119999999995</v>
      </c>
      <c r="S10" s="464" t="str">
        <f t="array" ref="S10">IFERROR(IF($D$9="",IF($D$11="",IF($D$13="",IF($D$15="",INDEX(orderHistory[lock_goods],SMALL(MATCH(ROW(orderHistory[customer]),ROW(orderHistory[customer])),ROWS($A$15:A15)+$B$3)),INDEX(orderHistory[lock_goods],SMALL(IF(ISNUMBER(MATCH(YEAR(orderHistory[invoice_date]),$D$15,0)),MATCH(ROW(orderHistory[customer]),ROW(orderHistory[customer])),""),ROWS($A$15:A15)+$B$3))),IF($D$15="",INDEX(orderHistory[lock_goods],SMALL(IF(ISNUMBER(MATCH(orderHistory[order_type],$D$13,0)),MATCH(ROW(orderHistory[customer]),ROW(orderHistory[customer])),""),ROWS($A$15:A15)+$B$3)),INDEX(orderHistory[lock_goods],SMALL(IF(ISNUMBER(MATCH(orderHistory[order_type],$D$13,0)*MATCH(YEAR(orderHistory[invoice_date]),$D$15,0)),MATCH(ROW(orderHistory[customer]),ROW(orderHistory[customer])),""),ROWS($A$15:A15)+$B$3)))),IF($D$13="",IF($D$15="",INDEX(orderHistory[lock_goods],SMALL(IF(ISNUMBER(MATCH(orderHistory[status],$D$11,0)),MATCH(ROW(orderHistory[customer]),ROW(orderHistory[customer])),""),ROWS($A$15:A15)+$B$3)),INDEX(orderHistory[lock_goods],SMALL(IF(ISNUMBER(MATCH(orderHistory[status],$D$11,0)*MATCH(YEAR(orderHistory[invoice_date]),$D$15,0)),MATCH(ROW(orderHistory[customer]),ROW(orderHistory[customer])),""),ROWS($A$15:A15)+$B$3))),IF($D$15="",INDEX(orderHistory[lock_goods],SMALL(IF(ISNUMBER(MATCH(orderHistory[status],$D$11,0)*MATCH(orderHistory[order_type],$D$13,0)),MATCH(ROW(orderHistory[customer]),ROW(orderHistory[customer])),""),ROWS($A$15:A15)+$B$3)),INDEX(orderHistory[lock_goods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lock_goods],SMALL(IF(ISNUMBER(MATCH(orderHistory[customer],$D$9,0)),MATCH(ROW(orderHistory[customer]),ROW(orderHistory[customer])),""),ROWS($A$15:A15)+$B$3)),INDEX(orderHistory[lock_goods],SMALL(IF(ISNUMBER(MATCH(orderHistory[customer],$D$9,0)*MATCH(YEAR(orderHistory[invoice_date]),$D$15,0)),MATCH(ROW(orderHistory[customer]),ROW(orderHistory[customer])),""),ROWS($A$15:A15)+$B$3))),IF($D$15="",INDEX(orderHistory[lock_goods],SMALL(IF(ISNUMBER(MATCH(orderHistory[customer],$D$9,0)*MATCH(orderHistory[order_type],$D$13,0)),MATCH(ROW(orderHistory[customer]),ROW(orderHistory[customer])),""),ROWS($A$15:A15)+$B$3)),INDEX(orderHistory[lock_goods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lock_goods],SMALL(IF(ISNUMBER(MATCH(orderHistory[customer],$D$9,0)*MATCH(orderHistory[status],$D$11,0)),MATCH(ROW(orderHistory[customer]),ROW(orderHistory[customer])),""),ROWS($A$15:A15)+$B$3)),INDEX(orderHistory[lock_goods],SMALL(IF(ISNUMBER(MATCH(orderHistory[customer],$D$9,0)*MATCH(orderHistory[status],$D$11,0)*MATCH(YEAR(orderHistory[payed]),$D$15,0)),MATCH(ROW(orderHistory[customer]),ROW(orderHistory[customer])),""),ROWS($A$15:A15)+$B$3))),IF($D$15="",INDEX(orderHistory[lock_goods],SMALL(IF(ISNUMBER(MATCH(orderHistory[customer],$D$9,0)*MATCH(orderHistory[status],$D$11,0)*MATCH(orderHistory[order_type],$D$13,0)),MATCH(ROW(orderHistory[customer]),ROW(orderHistory[customer])),""),ROWS($A$15:A15)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GOODS SENT</v>
      </c>
      <c r="T10" s="380" t="b">
        <f t="array" ref="T10">IFERROR(IF($D$9="",IF($D$11="",IF($D$13="",IF($D$15="",INDEX(orderHistory[payed],SMALL(MATCH(ROW(orderHistory[customer]),ROW(orderHistory[customer])),ROWS($A$15:A15)+$B$3)),INDEX(orderHistory[payed],SMALL(IF(ISNUMBER(MATCH(YEAR(orderHistory[invoice_date]),$D$15,0)),MATCH(ROW(orderHistory[customer]),ROW(orderHistory[customer])),""),ROWS($A$15:A15)+$B$3))),IF($D$15="",INDEX(orderHistory[payed],SMALL(IF(ISNUMBER(MATCH(orderHistory[order_type],$D$13,0)),MATCH(ROW(orderHistory[customer]),ROW(orderHistory[customer])),""),ROWS($A$15:A15)+$B$3)),INDEX(orderHistory[payed],SMALL(IF(ISNUMBER(MATCH(orderHistory[order_type],$D$13,0)*MATCH(YEAR(orderHistory[invoice_date]),$D$15,0)),MATCH(ROW(orderHistory[customer]),ROW(orderHistory[customer])),""),ROWS($A$15:A15)+$B$3)))),IF($D$13="",IF($D$15="",INDEX(orderHistory[payed],SMALL(IF(ISNUMBER(MATCH(orderHistory[status],$D$11,0)),MATCH(ROW(orderHistory[customer]),ROW(orderHistory[customer])),""),ROWS($A$15:A15)+$B$3)),INDEX(orderHistory[payed],SMALL(IF(ISNUMBER(MATCH(orderHistory[status],$D$11,0)*MATCH(YEAR(orderHistory[invoice_date]),$D$15,0)),MATCH(ROW(orderHistory[customer]),ROW(orderHistory[customer])),""),ROWS($A$15:A15)+$B$3))),IF($D$15="",INDEX(orderHistory[payed],SMALL(IF(ISNUMBER(MATCH(orderHistory[status],$D$11,0)*MATCH(orderHistory[order_type],$D$13,0)),MATCH(ROW(orderHistory[customer]),ROW(orderHistory[customer])),""),ROWS($A$15:A15)+$B$3)),INDEX(orderHistory[payed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payed],SMALL(IF(ISNUMBER(MATCH(orderHistory[customer],$D$9,0)),MATCH(ROW(orderHistory[customer]),ROW(orderHistory[customer])),""),ROWS($A$15:A15)+$B$3)),INDEX(orderHistory[payed],SMALL(IF(ISNUMBER(MATCH(orderHistory[customer],$D$9,0)*MATCH(YEAR(orderHistory[invoice_date]),$D$15,0)),MATCH(ROW(orderHistory[customer]),ROW(orderHistory[customer])),""),ROWS($A$15:A15)+$B$3))),IF($D$15="",INDEX(orderHistory[payed],SMALL(IF(ISNUMBER(MATCH(orderHistory[customer],$D$9,0)*MATCH(orderHistory[order_type],$D$13,0)),MATCH(ROW(orderHistory[customer]),ROW(orderHistory[customer])),""),ROWS($A$15:A15)+$B$3)),INDEX(orderHistory[payed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payed],SMALL(IF(ISNUMBER(MATCH(orderHistory[customer],$D$9,0)*MATCH(orderHistory[status],$D$11,0)),MATCH(ROW(orderHistory[customer]),ROW(orderHistory[customer])),""),ROWS($A$15:A15)+$B$3)),INDEX(orderHistory[payed],SMALL(IF(ISNUMBER(MATCH(orderHistory[customer],$D$9,0)*MATCH(orderHistory[status],$D$11,0)*MATCH(YEAR(orderHistory[payed]),$D$15,0)),MATCH(ROW(orderHistory[customer]),ROW(orderHistory[customer])),""),ROWS($A$15:A15)+$B$3))),IF($D$15="",INDEX(orderHistory[payed],SMALL(IF(ISNUMBER(MATCH(orderHistory[customer],$D$9,0)*MATCH(orderHistory[status],$D$11,0)*MATCH(orderHistory[order_type],$D$13,0)),MATCH(ROW(orderHistory[customer]),ROW(orderHistory[customer])),""),ROWS($A$15:A15)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U10" s="375" t="str">
        <f t="array" ref="U10">IFERROR(IF($D$9="",IF($D$11="",IF($D$13="",IF($D$15="",INDEX(orderHistory[shipping_method],SMALL(MATCH(ROW(orderHistory[customer]),ROW(orderHistory[customer])),ROWS($A$15:A15)+$B$3)),INDEX(orderHistory[shipping_method],SMALL(IF(ISNUMBER(MATCH(YEAR(orderHistory[invoice_date]),$D$15,0)),MATCH(ROW(orderHistory[customer]),ROW(orderHistory[customer])),""),ROWS($A$15:A15)+$B$3))),IF($D$15="",INDEX(orderHistory[shipping_method],SMALL(IF(ISNUMBER(MATCH(orderHistory[order_type],$D$13,0)),MATCH(ROW(orderHistory[customer]),ROW(orderHistory[customer])),""),ROWS($A$15:A15)+$B$3)),INDEX(orderHistory[shipping_method],SMALL(IF(ISNUMBER(MATCH(orderHistory[order_type],$D$13,0)*MATCH(YEAR(orderHistory[invoice_date]),$D$15,0)),MATCH(ROW(orderHistory[customer]),ROW(orderHistory[customer])),""),ROWS($A$15:A15)+$B$3)))),IF($D$13="",IF($D$15="",INDEX(orderHistory[shipping_method],SMALL(IF(ISNUMBER(MATCH(orderHistory[status],$D$11,0)),MATCH(ROW(orderHistory[customer]),ROW(orderHistory[customer])),""),ROWS($A$15:A15)+$B$3)),INDEX(orderHistory[shipping_method],SMALL(IF(ISNUMBER(MATCH(orderHistory[status],$D$11,0)*MATCH(YEAR(orderHistory[invoice_date]),$D$15,0)),MATCH(ROW(orderHistory[customer]),ROW(orderHistory[customer])),""),ROWS($A$15:A15)+$B$3))),IF($D$15="",INDEX(orderHistory[shipping_method],SMALL(IF(ISNUMBER(MATCH(orderHistory[status],$D$11,0)*MATCH(orderHistory[order_type],$D$13,0)),MATCH(ROW(orderHistory[customer]),ROW(orderHistory[customer])),""),ROWS($A$15:A15)+$B$3)),INDEX(orderHistory[shipping_method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shipping_method],SMALL(IF(ISNUMBER(MATCH(orderHistory[customer],$D$9,0)),MATCH(ROW(orderHistory[customer]),ROW(orderHistory[customer])),""),ROWS($A$15:A15)+$B$3)),INDEX(orderHistory[shipping_method],SMALL(IF(ISNUMBER(MATCH(orderHistory[customer],$D$9,0)*MATCH(YEAR(orderHistory[invoice_date]),$D$15,0)),MATCH(ROW(orderHistory[customer]),ROW(orderHistory[customer])),""),ROWS($A$15:A15)+$B$3))),IF($D$15="",INDEX(orderHistory[shipping_method],SMALL(IF(ISNUMBER(MATCH(orderHistory[customer],$D$9,0)*MATCH(orderHistory[order_type],$D$13,0)),MATCH(ROW(orderHistory[customer]),ROW(orderHistory[customer])),""),ROWS($A$15:A15)+$B$3)),INDEX(orderHistory[shipping_method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shipping_method],SMALL(IF(ISNUMBER(MATCH(orderHistory[customer],$D$9,0)*MATCH(orderHistory[status],$D$11,0)),MATCH(ROW(orderHistory[customer]),ROW(orderHistory[customer])),""),ROWS($A$15:A15)+$B$3)),INDEX(orderHistory[shipping_method],SMALL(IF(ISNUMBER(MATCH(orderHistory[customer],$D$9,0)*MATCH(orderHistory[status],$D$11,0)*MATCH(YEAR(orderHistory[shipping_method]),$D$15,0)),MATCH(ROW(orderHistory[customer]),ROW(orderHistory[customer])),""),ROWS($A$15:A15)+$B$3))),IF($D$15="",INDEX(orderHistory[shipping_method],SMALL(IF(ISNUMBER(MATCH(orderHistory[customer],$D$9,0)*MATCH(orderHistory[status],$D$11,0)*MATCH(orderHistory[order_type],$D$13,0)),MATCH(ROW(orderHistory[customer]),ROW(orderHistory[customer])),""),ROWS($A$15:A15)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BY ROAD</v>
      </c>
      <c r="V10" s="380" t="str">
        <f t="array" ref="V10">IFERROR(IF($D$9="",IF($D$11="",IF($D$13="",IF($D$15="",INDEX(orderHistory[status],SMALL(MATCH(ROW(orderHistory[customer]),ROW(orderHistory[customer])),ROWS($A$15:A15)+$B$3)),INDEX(orderHistory[status],SMALL(IF(ISNUMBER(MATCH(YEAR(orderHistory[invoice_date]),$D$15,0)),MATCH(ROW(orderHistory[customer]),ROW(orderHistory[customer])),""),ROWS($A$15:A15)+$B$3))),IF($D$15="",INDEX(orderHistory[status],SMALL(IF(ISNUMBER(MATCH(orderHistory[order_type],$D$13,0)),MATCH(ROW(orderHistory[customer]),ROW(orderHistory[customer])),""),ROWS($A$15:A15)+$B$3)),INDEX(orderHistory[status],SMALL(IF(ISNUMBER(MATCH(orderHistory[order_type],$D$13,0)*MATCH(YEAR(orderHistory[invoice_date]),$D$15,0)),MATCH(ROW(orderHistory[customer]),ROW(orderHistory[customer])),""),ROWS($A$15:A15)+$B$3)))),IF($D$13="",IF($D$15="",INDEX(orderHistory[status],SMALL(IF(ISNUMBER(MATCH(orderHistory[status],$D$11,0)),MATCH(ROW(orderHistory[customer]),ROW(orderHistory[customer])),""),ROWS($A$15:A15)+$B$3)),INDEX(orderHistory[status],SMALL(IF(ISNUMBER(MATCH(orderHistory[status],$D$11,0)*MATCH(YEAR(orderHistory[invoice_date]),$D$15,0)),MATCH(ROW(orderHistory[customer]),ROW(orderHistory[customer])),""),ROWS($A$15:A15)+$B$3))),IF($D$15="",INDEX(orderHistory[status],SMALL(IF(ISNUMBER(MATCH(orderHistory[status],$D$11,0)*MATCH(orderHistory[order_type],$D$13,0)),MATCH(ROW(orderHistory[customer]),ROW(orderHistory[customer])),""),ROWS($A$15:A15)+$B$3)),INDEX(orderHistory[status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status],SMALL(IF(ISNUMBER(MATCH(orderHistory[customer],$D$9,0)),MATCH(ROW(orderHistory[customer]),ROW(orderHistory[customer])),""),ROWS($A$15:A15)+$B$3)),INDEX(orderHistory[status],SMALL(IF(ISNUMBER(MATCH(orderHistory[customer],$D$9,0)*MATCH(YEAR(orderHistory[invoice_date]),$D$15,0)),MATCH(ROW(orderHistory[customer]),ROW(orderHistory[customer])),""),ROWS($A$15:A15)+$B$3))),IF($D$15="",INDEX(orderHistory[status],SMALL(IF(ISNUMBER(MATCH(orderHistory[customer],$D$9,0)*MATCH(orderHistory[order_type],$D$13,0)),MATCH(ROW(orderHistory[customer]),ROW(orderHistory[customer])),""),ROWS($A$15:A15)+$B$3)),INDEX(orderHistory[status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status],SMALL(IF(ISNUMBER(MATCH(orderHistory[customer],$D$9,0)*MATCH(orderHistory[status],$D$11,0)),MATCH(ROW(orderHistory[customer]),ROW(orderHistory[customer])),""),ROWS($A$15:A15)+$B$3)),INDEX(orderHistory[status],SMALL(IF(ISNUMBER(MATCH(orderHistory[customer],$D$9,0)*MATCH(orderHistory[status],$D$11,0)*MATCH(YEAR(orderHistory[status]),$D$15,0)),MATCH(ROW(orderHistory[customer]),ROW(orderHistory[customer])),""),ROWS($A$15:A15)+$B$3))),IF($D$15="",INDEX(orderHistory[status],SMALL(IF(ISNUMBER(MATCH(orderHistory[customer],$D$9,0)*MATCH(orderHistory[status],$D$11,0)*MATCH(orderHistory[order_type],$D$13,0)),MATCH(ROW(orderHistory[customer]),ROW(orderHistory[customer])),""),ROWS($A$15:A15)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SHIPPED</v>
      </c>
      <c r="W10" s="546" t="str">
        <f t="array" ref="W10">IFERROR(IF($D$9="",IF($D$11="",IF($D$13="",IF($D$15="",INDEX(orderHistory[custom_docs],SMALL(MATCH(ROW(orderHistory[customer]),ROW(orderHistory[customer])),ROWS($A$15:A15)+$B$3)),INDEX(orderHistory[custom_docs],SMALL(IF(ISNUMBER(MATCH(YEAR(orderHistory[invoice_date]),$D$15,0)),MATCH(ROW(orderHistory[customer]),ROW(orderHistory[customer])),""),ROWS($A$15:A15)+$B$3))),IF($D$15="",INDEX(orderHistory[custom_docs],SMALL(IF(ISNUMBER(MATCH(orderHistory[order_type],$D$13,0)),MATCH(ROW(orderHistory[customer]),ROW(orderHistory[customer])),""),ROWS($A$15:A15)+$B$3)),INDEX(orderHistory[custom_docs],SMALL(IF(ISNUMBER(MATCH(orderHistory[order_type],$D$13,0)*MATCH(YEAR(orderHistory[invoice_date]),$D$15,0)),MATCH(ROW(orderHistory[customer]),ROW(orderHistory[customer])),""),ROWS($A$15:A15)+$B$3)))),IF($D$13="",IF($D$15="",INDEX(orderHistory[custom_docs],SMALL(IF(ISNUMBER(MATCH(orderHistory[status],$D$11,0)),MATCH(ROW(orderHistory[customer]),ROW(orderHistory[customer])),""),ROWS($A$15:A15)+$B$3)),INDEX(orderHistory[custom_docs],SMALL(IF(ISNUMBER(MATCH(orderHistory[status],$D$11,0)*MATCH(YEAR(orderHistory[invoice_date]),$D$15,0)),MATCH(ROW(orderHistory[customer]),ROW(orderHistory[customer])),""),ROWS($A$15:A15)+$B$3))),IF($D$15="",INDEX(orderHistory[custom_docs],SMALL(IF(ISNUMBER(MATCH(orderHistory[status],$D$11,0)*MATCH(orderHistory[order_type],$D$13,0)),MATCH(ROW(orderHistory[customer]),ROW(orderHistory[customer])),""),ROWS($A$15:A15)+$B$3)),INDEX(orderHistory[custom_docs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custom_docs],SMALL(IF(ISNUMBER(MATCH(orderHistory[customer],$D$9,0)),MATCH(ROW(orderHistory[customer]),ROW(orderHistory[customer])),""),ROWS($A$15:A15)+$B$3)),INDEX(orderHistory[custom_docs],SMALL(IF(ISNUMBER(MATCH(orderHistory[customer],$D$9,0)*MATCH(YEAR(orderHistory[invoice_date]),$D$15,0)),MATCH(ROW(orderHistory[customer]),ROW(orderHistory[customer])),""),ROWS($A$15:A15)+$B$3))),IF($D$15="",INDEX(orderHistory[custom_docs],SMALL(IF(ISNUMBER(MATCH(orderHistory[customer],$D$9,0)*MATCH(orderHistory[order_type],$D$13,0)),MATCH(ROW(orderHistory[customer]),ROW(orderHistory[customer])),""),ROWS($A$15:A15)+$B$3)),INDEX(orderHistory[custom_docs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custom_docs],SMALL(IF(ISNUMBER(MATCH(orderHistory[customer],$D$9,0)*MATCH(orderHistory[status],$D$11,0)),MATCH(ROW(orderHistory[customer]),ROW(orderHistory[customer])),""),ROWS($A$15:A15)+$B$3)),INDEX(orderHistory[custom_docs],SMALL(IF(ISNUMBER(MATCH(orderHistory[customer],$D$9,0)*MATCH(orderHistory[status],$D$11,0)*MATCH(YEAR(orderHistory[status]),$D$15,0)),MATCH(ROW(orderHistory[customer]),ROW(orderHistory[customer])),""),ROWS($A$15:A15)+$B$3))),IF($D$15="",INDEX(orderHistory[custom_docs],SMALL(IF(ISNUMBER(MATCH(orderHistory[customer],$D$9,0)*MATCH(orderHistory[status],$D$11,0)*MATCH(orderHistory[order_type],$D$13,0)),MATCH(ROW(orderHistory[customer]),ROW(orderHistory[customer])),""),ROWS($A$15:A15)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OK</v>
      </c>
      <c r="AO10" s="263"/>
      <c r="AQ10" s="308"/>
      <c r="AR10" s="309"/>
      <c r="AS10" s="310"/>
      <c r="AT10" s="311"/>
      <c r="AU10" s="271"/>
      <c r="AW10" s="308"/>
      <c r="AX10" s="273"/>
      <c r="AZ10" s="264"/>
      <c r="BD10" s="306"/>
      <c r="BE10" s="306"/>
      <c r="BF10" s="312"/>
      <c r="BJ10" s="271"/>
      <c r="BK10" s="313"/>
      <c r="BL10" s="314"/>
      <c r="BM10" s="363"/>
      <c r="BN10" s="314"/>
      <c r="BO10" s="363"/>
      <c r="BX10" s="263" t="s">
        <v>556</v>
      </c>
      <c r="BZ10" s="412" t="s">
        <v>107</v>
      </c>
      <c r="CA10" s="426" t="str">
        <f>IFERROR(IF(BZ10="","",INDEX(bhpc_data[description],MATCH(BZ10,bhpc_data[sku],0))),"")</f>
        <v>BHPC PRESTIGE TROPHY 100ML EDP MEN</v>
      </c>
      <c r="CB10" s="403">
        <v>48</v>
      </c>
      <c r="CC10" s="885">
        <v>15.849721162312886</v>
      </c>
      <c r="CD10" s="411"/>
      <c r="CE10" s="890"/>
      <c r="CF10" s="404"/>
      <c r="CG10" s="405">
        <f>IFERROR(ROUNDUP(CB10/INDEX(bhpc_data[units_per_carton],MATCH(BZ10,bhpc_data[sku],0)),0),"")</f>
        <v>2</v>
      </c>
      <c r="CH10" s="406">
        <f>IFERROR(ROUNDUP(CD10/INDEX(bhpc_data[units_per_carton],MATCH(BZ10,bhpc_data[sku],0)),0),"")</f>
        <v>0</v>
      </c>
      <c r="CI10" s="406" t="str">
        <f>IFERROR(ROUNDUP(CF10/INDEX(bhpc_data[units_per_carton],MATCH(BZ10,bhpc_data[sku])),0),"")</f>
        <v/>
      </c>
      <c r="CJ10" s="406">
        <f>IFERROR(((CB10+CD10+CF10)/INDEX(bhpc_data[units_per_carton],MATCH(BZ10,bhpc_data[sku],0)))*INDEX(bhpc_data[net_weight],MATCH(BZ10,bhpc_data[sku],0)),"")</f>
        <v>18.96</v>
      </c>
      <c r="CK10" s="406">
        <f>IFERROR(((CB10+CD10+CF10)/INDEX(bhpc_data[units_per_carton],MATCH(BZ10,bhpc_data[sku],0)))*INDEX(bhpc_data[gross_weight],MATCH(BZ10,bhpc_data[sku],0)),"")</f>
        <v>19.8</v>
      </c>
      <c r="CL10" s="602">
        <f>IFERROR((CB10+CD10+CF10)/INDEX(bhpc_data[units_per_carton],MATCH(BZ10,bhpc_data[sku],0))*INDEX(bhpc_data[length],MATCH(BZ10,bhpc_data[sku],0))*INDEX(bhpc_data[width],MATCH(BZ10,bhpc_data[sku],0))*INDEX(bhpc_data[height],MATCH(BZ10,bhpc_data[sku],0))/1000000000,"")</f>
        <v>3.4595000000000001E-2</v>
      </c>
      <c r="CM10" s="407" t="str">
        <f>IFERROR(INDEX(bhpc_data[category],MATCH(BZ10,bhpc_data[sku],0)),"")</f>
        <v>PRESTIGE</v>
      </c>
      <c r="CN10" s="407">
        <f>IFERROR(INDEX(bhpc_data[size],MATCH(BZ10,bhpc_data[sku],0)),"")</f>
        <v>100</v>
      </c>
      <c r="CO10" s="408" t="str">
        <f>IFERROR(INDEX(bhpc_data[hs_code],MATCH(BZ10,bhpc_data[sku],0)),"")</f>
        <v>33030010</v>
      </c>
      <c r="CP10" s="489" t="str">
        <f>IFERROR(INDEX(bhpc_data[sku_geko],MATCH(BZ10,bhpc_data[sku],0)),"")</f>
        <v>P06000</v>
      </c>
      <c r="CQ10" s="404"/>
      <c r="CR10" s="616">
        <f>IFERROR(IF(BZ10="","",IF($BX$15="SALE",INDEX(inventory[COSTO UNITARIO],MATCH(BZ10,inventory[SKU],0)),IF($BX$15="SAMPLING",INDEX(inventory[COSTO UNITARIO],MATCH(BZ10,inventory[SKU],0)),""))),"")</f>
        <v>11.68</v>
      </c>
      <c r="CS10" s="616">
        <f>IFERROR(IF(BZ10="","",(CB10+CD10)*CR10),"")</f>
        <v>560.64</v>
      </c>
      <c r="CT10" s="895">
        <f>IF(BZ10="","",CB10*CC10+CD10*CE10)</f>
        <v>760.78661579101845</v>
      </c>
      <c r="CU10" s="468" t="str">
        <f>IF(BZ10="","",IF(OR($BX$15="PRODUCTION",$BX$15="SUPPLY"),"",IF(OR($CY$32=TRUE,$CY$32="GOODS SENT"),"OK",VLOOKUP(BZ10,$EE$8:$EK$400,7,FALSE)+IF(OR($BX$15="SALE",$BX$15="SAMPLING"),-(CB10+CD10+CF10),(CB10+CD10+CF10)))))</f>
        <v>OK</v>
      </c>
      <c r="CW10" s="80"/>
      <c r="CX10" s="84" t="s">
        <v>557</v>
      </c>
      <c r="CY10" s="209">
        <f>COUNTA($BZ$10:$BZ$110)</f>
        <v>10</v>
      </c>
      <c r="CZ10" s="76"/>
      <c r="DA10" s="76"/>
      <c r="DB10" s="77"/>
      <c r="DH10" s="215"/>
      <c r="EC10" s="263" t="s">
        <v>843</v>
      </c>
      <c r="EE10" s="433" t="str" cm="1">
        <f t="array" ref="EE10">IFERROR(IF($EC$9="",IF($EC$11="",IF($EC$13="",INDEX(bhpc_data[sku],SMALL(MATCH(ROW(bhpc_data[sku]),ROW(bhpc_data[sku])),ROWS($A$15:A15)+$B$3)),INDEX(bhpc_data[sku],SMALL(IF(ISNUMBER(MATCH(bhpc_data[size],$EC$13,0)),MATCH(ROW(bhpc_data[sku]),ROW(bhpc_data[sku])),""),ROWS($A$15:A15)+$B$3))),IF($EC$13="",INDEX(bhpc_data[sku],SMALL(IF(ISNUMBER(MATCH(bhpc_data[sex],$EC$11,0)),MATCH(ROW(bhpc_data[sku]),ROW(bhpc_data[sku])),""),ROWS($A$15:A15)+$B$3)),INDEX(bhpc_data[sku],SMALL(IF(ISNUMBER(MATCH(bhpc_data[sex],$EC$11,0)*MATCH(bhpc_data[size],$EC$13,0)),MATCH(ROW(bhpc_data[sku]),ROW(bhpc_data[sku])),""),ROWS($A$15:A15)+$B$3)))),IF($EC$11="",IF($EC$13="",INDEX(bhpc_data[sku],SMALL(IF(ISNUMBER(MATCH(bhpc_data[category],$EC$9,0)),MATCH(ROW(bhpc_data[sku]),ROW(bhpc_data[sku])),""),ROWS($A$15:A15)+$B$3)),INDEX(bhpc_data[sku],SMALL(IF(ISNUMBER(MATCH(bhpc_data[category],$EC$9,0)*MATCH(bhpc_data[size],$EC$13,0)),MATCH(ROW(bhpc_data[sku]),ROW(bhpc_data[sku])),""),ROWS($A$15:A15)+$B$3))),IF($EC$13="",INDEX(bhpc_data[sku],SMALL(IF(ISNUMBER(MATCH(bhpc_data[category],$EC$9,0)*MATCH(bhpc_data[sex],$EC$11,0)),MATCH(ROW(bhpc_data[sku]),ROW(bhpc_data[sku])),""),ROWS($A$15:A15)+$B$3)),INDEX(bhpc_data[sku],SMALL(IF(ISNUMBER(MATCH(bhpc_data[category],$EC$9,0)*MATCH(bhpc_data[sex],$EC$11,0)*MATCH(bhpc_data[size],$EC$13,0)),MATCH(ROW(bhpc_data[sku]),ROW(bhpc_data[sku])),""),ROWS($A$15:A15)+$B$3))))),"")</f>
        <v>P05008</v>
      </c>
      <c r="EF10" s="434" t="str" cm="1">
        <f t="array" ref="EF10">IFERROR(IF($EC$9="",IF($EC$11="",IF($EC$13="",INDEX(bhpc_data[description],SMALL(MATCH(ROW(bhpc_data[sku]),ROW(bhpc_data[sku])),ROWS($A$15:A15)+$B$3)),INDEX(bhpc_data[description],SMALL(IF(ISNUMBER(MATCH(bhpc_data[size],$EC$13,0)),MATCH(ROW(bhpc_data[sku]),ROW(bhpc_data[sku])),""),ROWS($A$15:A15)+$B$3))),IF($EC$13="",INDEX(bhpc_data[description],SMALL(IF(ISNUMBER(MATCH(bhpc_data[sex],$EC$11,0)),MATCH(ROW(bhpc_data[sku]),ROW(bhpc_data[sku])),""),ROWS($A$15:A15)+$B$3)),INDEX(bhpc_data[description],SMALL(IF(ISNUMBER(MATCH(bhpc_data[sex],$EC$11,0)*MATCH(bhpc_data[size],$EC$13,0)),MATCH(ROW(bhpc_data[sku]),ROW(bhpc_data[sku])),""),ROWS($A$15:A15)+$B$3)))),IF($EC$11="",IF($EC$13="",INDEX(bhpc_data[description],SMALL(IF(ISNUMBER(MATCH(bhpc_data[category],$EC$9,0)),MATCH(ROW(bhpc_data[sku]),ROW(bhpc_data[sku])),""),ROWS($A$15:A15)+$B$3)),INDEX(bhpc_data[description],SMALL(IF(ISNUMBER(MATCH(bhpc_data[category],$EC$9,0)*MATCH(bhpc_data[size],$EC$13,0)),MATCH(ROW(bhpc_data[sku]),ROW(bhpc_data[sku])),""),ROWS($A$15:A15)+$B$3))),IF($EC$13="",INDEX(bhpc_data[description],SMALL(IF(ISNUMBER(MATCH(bhpc_data[category],$EC$9,0)*MATCH(bhpc_data[sex],$EC$11,0)),MATCH(ROW(bhpc_data[sku]),ROW(bhpc_data[sku])),""),ROWS($A$15:A15)+$B$3)),INDEX(bhpc_data[description],SMALL(IF(ISNUMBER(MATCH(bhpc_data[category],$EC$9,0)*MATCH(bhpc_data[sex],$EC$11,0)*MATCH(bhpc_data[size],$EC$13,0)),MATCH(ROW(bhpc_data[sku]),ROW(bhpc_data[sku])),""),ROWS($A$15:A15)+$B$3))))),"")</f>
        <v>BHPC SPORT MEN 1 EDT 50ML</v>
      </c>
      <c r="EG10" s="435">
        <f>IFERROR(IF('BHPC MANAGER'!$EE10="","",INDEX(inventory[ESISTENZA],MATCH('BHPC MANAGER'!$EE10,inventory[SKU],0))),0)</f>
        <v>0</v>
      </c>
      <c r="EH10" s="436">
        <v>0</v>
      </c>
      <c r="EI10" s="436">
        <f>IF(EE10="","",IFERROR(EG10+EH10,EG10))</f>
        <v>0</v>
      </c>
      <c r="EJ10" s="437">
        <v>0</v>
      </c>
      <c r="EK10" s="438">
        <f>IF(EE10="","",IFERROR(EI10+EJ10,EI10))</f>
        <v>0</v>
      </c>
      <c r="FD10" s="496"/>
      <c r="FE10" s="215" t="s">
        <v>1070</v>
      </c>
      <c r="FF10" s="502">
        <v>45444</v>
      </c>
      <c r="FG10" s="263"/>
      <c r="FH10" s="497"/>
      <c r="FI10" s="263"/>
      <c r="FJ10" s="496"/>
      <c r="FK10" s="215" t="s">
        <v>1070</v>
      </c>
      <c r="FL10" s="502">
        <v>45292</v>
      </c>
      <c r="FM10" s="263"/>
      <c r="FN10" s="497"/>
      <c r="FO10" s="263"/>
      <c r="FP10" s="263"/>
      <c r="FQ10" s="263"/>
      <c r="FR10" s="263"/>
      <c r="FS10" s="263"/>
      <c r="FT10" s="263"/>
      <c r="FU10" s="263"/>
      <c r="FV10" s="263"/>
      <c r="FW10" s="263"/>
      <c r="FX10" s="263"/>
      <c r="FY10" s="263"/>
      <c r="FZ10" s="263"/>
      <c r="GA10" s="263"/>
      <c r="GB10" s="263"/>
      <c r="GC10" s="263"/>
      <c r="GD10" s="263"/>
      <c r="GE10" s="263"/>
      <c r="GF10" s="263"/>
      <c r="GG10" s="263"/>
      <c r="GH10" s="263"/>
      <c r="GI10" s="263"/>
      <c r="GJ10" s="263"/>
      <c r="GK10" s="263"/>
      <c r="GL10" s="263"/>
      <c r="GM10" s="263"/>
      <c r="GN10" s="263"/>
      <c r="GO10" s="263"/>
      <c r="GP10" s="263"/>
      <c r="GQ10" s="263"/>
      <c r="GR10" s="263"/>
      <c r="GS10" s="263"/>
      <c r="GT10" s="263"/>
      <c r="GU10" s="263"/>
      <c r="GV10" s="263"/>
      <c r="GW10" s="263"/>
      <c r="GX10" s="263"/>
      <c r="GY10" s="263"/>
      <c r="GZ10" s="263"/>
      <c r="HA10" s="263"/>
      <c r="HB10" s="263"/>
      <c r="HC10" s="263"/>
      <c r="HD10" s="263"/>
      <c r="HE10" s="263"/>
      <c r="HF10" s="263"/>
      <c r="HG10" s="263"/>
      <c r="HH10" s="263"/>
      <c r="HI10" s="263"/>
      <c r="HJ10" s="263"/>
      <c r="HK10" s="263"/>
      <c r="HL10" s="263"/>
      <c r="HM10" s="263"/>
      <c r="HN10" s="263"/>
      <c r="HO10" s="263"/>
      <c r="HP10" s="263"/>
      <c r="HQ10" s="263"/>
      <c r="HR10" s="263"/>
      <c r="HS10" s="263"/>
      <c r="HT10" s="263"/>
    </row>
    <row r="11" spans="1:702" ht="15" customHeight="1" x14ac:dyDescent="0.35">
      <c r="B11" s="140"/>
      <c r="D11" s="272" t="s">
        <v>1102</v>
      </c>
      <c r="F11" s="86"/>
      <c r="G11" s="94" t="s">
        <v>558</v>
      </c>
      <c r="H11" s="76"/>
      <c r="I11" s="76"/>
      <c r="J11" s="77"/>
      <c r="L11" s="381" t="str">
        <f t="array" ref="L11">IFERROR(IF($D$9="",IF($D$11="",IF($D$13="",IF($D$15="",INDEX(orderHistory[customer],SMALL(MATCH(ROW(orderHistory[customer]),ROW(orderHistory[customer])),ROWS($A$15:A16)+$B$3)),INDEX(orderHistory[customer],SMALL(IF(ISNUMBER(MATCH(YEAR(orderHistory[invoice_date]),$D$15,0)),MATCH(ROW(orderHistory[customer]),ROW(orderHistory[customer])),""),ROWS($A$15:A16)+$B$3))),IF($D$15="",INDEX(orderHistory[customer],SMALL(IF(ISNUMBER(MATCH(orderHistory[order_type],$D$13,0)),MATCH(ROW(orderHistory[customer]),ROW(orderHistory[customer])),""),ROWS($A$15:A16)+$B$3)),INDEX(orderHistory[customer],SMALL(IF(ISNUMBER(MATCH(orderHistory[order_type],$D$13,0)*MATCH(YEAR(orderHistory[invoice_date]),$D$15,0)),MATCH(ROW(orderHistory[customer]),ROW(orderHistory[customer])),""),ROWS($A$15:A16)+$B$3)))),IF($D$13="",IF($D$15="",INDEX(orderHistory[customer],SMALL(IF(ISNUMBER(MATCH(orderHistory[status],$D$11,0)),MATCH(ROW(orderHistory[customer]),ROW(orderHistory[customer])),""),ROWS($A$15:A16)+$B$3)),INDEX(orderHistory[customer],SMALL(IF(ISNUMBER(MATCH(orderHistory[status],$D$11,0)*MATCH(YEAR(orderHistory[invoice_date]),$D$15,0)),MATCH(ROW(orderHistory[customer]),ROW(orderHistory[customer])),""),ROWS($A$15:A16)+$B$3))),IF($D$15="",INDEX(orderHistory[customer],SMALL(IF(ISNUMBER(MATCH(orderHistory[status],$D$11,0)*MATCH(orderHistory[order_type],$D$13,0)),MATCH(ROW(orderHistory[customer]),ROW(orderHistory[customer])),""),ROWS($A$15:A16)+$B$3)),INDEX(orderHistory[customer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customer],SMALL(IF(ISNUMBER(MATCH(orderHistory[customer],$D$9,0)),MATCH(ROW(orderHistory[customer]),ROW(orderHistory[customer])),""),ROWS($A$15:A16)+$B$3)),INDEX(orderHistory[customer],SMALL(IF(ISNUMBER(MATCH(orderHistory[customer],$D$9,0)*MATCH(YEAR(orderHistory[invoice_date]),$D$15,0)),MATCH(ROW(orderHistory[customer]),ROW(orderHistory[customer])),""),ROWS($A$15:A16)+$B$3))),IF($D$15="",INDEX(orderHistory[customer],SMALL(IF(ISNUMBER(MATCH(orderHistory[customer],$D$9,0)*MATCH(orderHistory[order_type],$D$13,0)),MATCH(ROW(orderHistory[customer]),ROW(orderHistory[customer])),""),ROWS($A$15:A16)+$B$3)),INDEX(orderHistory[customer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customer],SMALL(IF(ISNUMBER(MATCH(orderHistory[customer],$D$9,0)*MATCH(orderHistory[status],$D$11,0)),MATCH(ROW(orderHistory[customer]),ROW(orderHistory[customer])),""),ROWS($A$15:A16)+$B$3)),INDEX(orderHistory[customer],SMALL(IF(ISNUMBER(MATCH(orderHistory[customer],$D$9,0)*MATCH(orderHistory[status],$D$11,0)*MATCH(YEAR(orderHistory[invoice_date]),$D$15,0)),MATCH(ROW(orderHistory[customer]),ROW(orderHistory[customer])),""),ROWS($A$15:A16)+$B$3))),IF($D$15="",INDEX(orderHistory[customer],SMALL(IF(ISNUMBER(MATCH(orderHistory[customer],$D$9,0)*MATCH(orderHistory[status],$D$11,0)*MATCH(orderHistory[order_type],$D$13,0)),MATCH(ROW(orderHistory[customer]),ROW(orderHistory[customer])),""),ROWS($A$15:A16)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LUXUM BEAUTY - ULM</v>
      </c>
      <c r="M11" s="382">
        <f t="array" ref="M11">IFERROR(IF($D$9="",IF($D$11="",IF($D$13="",IF($D$15="",INDEX(orderHistory[order_no],SMALL(MATCH(ROW(orderHistory[customer]),ROW(orderHistory[customer])),ROWS($A$15:A16)+$B$3)),INDEX(orderHistory[order_no],SMALL(IF(ISNUMBER(MATCH(YEAR(orderHistory[invoice_date]),$D$15,0)),MATCH(ROW(orderHistory[customer]),ROW(orderHistory[customer])),""),ROWS($A$15:A16)+$B$3))),IF($D$15="",INDEX(orderHistory[order_no],SMALL(IF(ISNUMBER(MATCH(orderHistory[order_type],$D$13,0)),MATCH(ROW(orderHistory[customer]),ROW(orderHistory[customer])),""),ROWS($A$15:A16)+$B$3)),INDEX(orderHistory[order_no],SMALL(IF(ISNUMBER(MATCH(orderHistory[order_type],$D$13,0)*MATCH(YEAR(orderHistory[invoice_date]),$D$15,0)),MATCH(ROW(orderHistory[customer]),ROW(orderHistory[customer])),""),ROWS($A$15:A16)+$B$3)))),IF($D$13="",IF($D$15="",INDEX(orderHistory[order_no],SMALL(IF(ISNUMBER(MATCH(orderHistory[status],$D$11,0)),MATCH(ROW(orderHistory[customer]),ROW(orderHistory[customer])),""),ROWS($A$15:A16)+$B$3)),INDEX(orderHistory[order_no],SMALL(IF(ISNUMBER(MATCH(orderHistory[status],$D$11,0)*MATCH(YEAR(orderHistory[invoice_date]),$D$15,0)),MATCH(ROW(orderHistory[customer]),ROW(orderHistory[customer])),""),ROWS($A$15:A16)+$B$3))),IF($D$15="",INDEX(orderHistory[order_no],SMALL(IF(ISNUMBER(MATCH(orderHistory[status],$D$11,0)*MATCH(orderHistory[order_type],$D$13,0)),MATCH(ROW(orderHistory[customer]),ROW(orderHistory[customer])),""),ROWS($A$15:A16)+$B$3)),INDEX(orderHistory[order_no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order_no],SMALL(IF(ISNUMBER(MATCH(orderHistory[customer],$D$9,0)),MATCH(ROW(orderHistory[customer]),ROW(orderHistory[customer])),""),ROWS($A$15:A16)+$B$3)),INDEX(orderHistory[order_no],SMALL(IF(ISNUMBER(MATCH(orderHistory[customer],$D$9,0)*MATCH(YEAR(orderHistory[invoice_date]),$D$15,0)),MATCH(ROW(orderHistory[customer]),ROW(orderHistory[customer])),""),ROWS($A$15:A16)+$B$3))),IF($D$15="",INDEX(orderHistory[order_no],SMALL(IF(ISNUMBER(MATCH(orderHistory[customer],$D$9,0)*MATCH(orderHistory[order_type],$D$13,0)),MATCH(ROW(orderHistory[customer]),ROW(orderHistory[customer])),""),ROWS($A$15:A16)+$B$3)),INDEX(orderHistory[order_no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order_no],SMALL(IF(ISNUMBER(MATCH(orderHistory[customer],$D$9,0)*MATCH(orderHistory[status],$D$11,0)),MATCH(ROW(orderHistory[customer]),ROW(orderHistory[customer])),""),ROWS($A$15:A16)+$B$3)),INDEX(orderHistory[order_no],SMALL(IF(ISNUMBER(MATCH(orderHistory[customer],$D$9,0)*MATCH(orderHistory[status],$D$11,0)*MATCH(YEAR(orderHistory[invoice_date]),$D$15,0)),MATCH(ROW(orderHistory[customer]),ROW(orderHistory[customer])),""),ROWS($A$15:A16)+$B$3))),IF($D$15="",INDEX(orderHistory[order_no],SMALL(IF(ISNUMBER(MATCH(orderHistory[customer],$D$9,0)*MATCH(orderHistory[status],$D$11,0)*MATCH(orderHistory[order_type],$D$13,0)),MATCH(ROW(orderHistory[customer]),ROW(orderHistory[customer])),""),ROWS($A$15:A16)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127</v>
      </c>
      <c r="N11" s="383" t="str">
        <f t="array" ref="N11">IFERROR(IF($D$9="",IF($D$11="",IF($D$13="",IF($D$15="",INDEX(orderHistory[order_type],SMALL(MATCH(ROW(orderHistory[customer]),ROW(orderHistory[customer])),ROWS($A$15:A16)+$B$3)),INDEX(orderHistory[order_type],SMALL(IF(ISNUMBER(MATCH(YEAR(orderHistory[invoice_date]),$D$15,0)),MATCH(ROW(orderHistory[customer]),ROW(orderHistory[customer])),""),ROWS($A$15:A16)+$B$3))),IF($D$15="",INDEX(orderHistory[order_type],SMALL(IF(ISNUMBER(MATCH(orderHistory[order_type],$D$13,0)),MATCH(ROW(orderHistory[customer]),ROW(orderHistory[customer])),""),ROWS($A$15:A16)+$B$3)),INDEX(orderHistory[order_type],SMALL(IF(ISNUMBER(MATCH(orderHistory[order_type],$D$13,0)*MATCH(YEAR(orderHistory[invoice_date]),$D$15,0)),MATCH(ROW(orderHistory[customer]),ROW(orderHistory[customer])),""),ROWS($A$15:A16)+$B$3)))),IF($D$13="",IF($D$15="",INDEX(orderHistory[order_type],SMALL(IF(ISNUMBER(MATCH(orderHistory[status],$D$11,0)),MATCH(ROW(orderHistory[customer]),ROW(orderHistory[customer])),""),ROWS($A$15:A16)+$B$3)),INDEX(orderHistory[order_type],SMALL(IF(ISNUMBER(MATCH(orderHistory[status],$D$11,0)*MATCH(YEAR(orderHistory[invoice_date]),$D$15,0)),MATCH(ROW(orderHistory[customer]),ROW(orderHistory[customer])),""),ROWS($A$15:A16)+$B$3))),IF($D$15="",INDEX(orderHistory[order_type],SMALL(IF(ISNUMBER(MATCH(orderHistory[status],$D$11,0)*MATCH(orderHistory[order_type],$D$13,0)),MATCH(ROW(orderHistory[customer]),ROW(orderHistory[customer])),""),ROWS($A$15:A16)+$B$3)),INDEX(orderHistory[order_type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order_type],SMALL(IF(ISNUMBER(MATCH(orderHistory[customer],$D$9,0)),MATCH(ROW(orderHistory[customer]),ROW(orderHistory[customer])),""),ROWS($A$15:A16)+$B$3)),INDEX(orderHistory[order_type],SMALL(IF(ISNUMBER(MATCH(orderHistory[customer],$D$9,0)*MATCH(YEAR(orderHistory[invoice_date]),$D$15,0)),MATCH(ROW(orderHistory[customer]),ROW(orderHistory[customer])),""),ROWS($A$15:A16)+$B$3))),IF($D$15="",INDEX(orderHistory[order_type],SMALL(IF(ISNUMBER(MATCH(orderHistory[customer],$D$9,0)*MATCH(orderHistory[order_type],$D$13,0)),MATCH(ROW(orderHistory[customer]),ROW(orderHistory[customer])),""),ROWS($A$15:A16)+$B$3)),INDEX(orderHistory[order_type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order_type],SMALL(IF(ISNUMBER(MATCH(orderHistory[customer],$D$9,0)*MATCH(orderHistory[status],$D$11,0)),MATCH(ROW(orderHistory[customer]),ROW(orderHistory[customer])),""),ROWS($A$15:A16)+$B$3)),INDEX(orderHistory[order_type],SMALL(IF(ISNUMBER(MATCH(orderHistory[customer],$D$9,0)*MATCH(orderHistory[status],$D$11,0)*MATCH(YEAR(orderHistory[invoice_date]),$D$15,0)),MATCH(ROW(orderHistory[customer]),ROW(orderHistory[customer])),""),ROWS($A$15:A16)+$B$3))),IF($D$15="",INDEX(orderHistory[order_type],SMALL(IF(ISNUMBER(MATCH(orderHistory[customer],$D$9,0)*MATCH(orderHistory[status],$D$11,0)*MATCH(orderHistory[order_type],$D$13,0)),MATCH(ROW(orderHistory[customer]),ROW(orderHistory[customer])),""),ROWS($A$15:A16)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SALE</v>
      </c>
      <c r="O11" s="384">
        <f t="array" ref="O11">IFERROR(IF($D$9="",IF($D$11="",IF($D$13="",IF($D$15="",INDEX(orderHistory[order_date],SMALL(MATCH(ROW(orderHistory[customer]),ROW(orderHistory[customer])),ROWS($A$15:A16)+$B$3)),INDEX(orderHistory[order_date],SMALL(IF(ISNUMBER(MATCH(YEAR(orderHistory[invoice_date]),$D$15,0)),MATCH(ROW(orderHistory[customer]),ROW(orderHistory[customer])),""),ROWS($A$15:A16)+$B$3))),IF($D$15="",INDEX(orderHistory[order_date],SMALL(IF(ISNUMBER(MATCH(orderHistory[order_type],$D$13,0)),MATCH(ROW(orderHistory[customer]),ROW(orderHistory[customer])),""),ROWS($A$15:A16)+$B$3)),INDEX(orderHistory[order_date],SMALL(IF(ISNUMBER(MATCH(orderHistory[order_type],$D$13,0)*MATCH(YEAR(orderHistory[invoice_date]),$D$15,0)),MATCH(ROW(orderHistory[customer]),ROW(orderHistory[customer])),""),ROWS($A$15:A16)+$B$3)))),IF($D$13="",IF($D$15="",INDEX(orderHistory[order_date],SMALL(IF(ISNUMBER(MATCH(orderHistory[status],$D$11,0)),MATCH(ROW(orderHistory[customer]),ROW(orderHistory[customer])),""),ROWS($A$15:A16)+$B$3)),INDEX(orderHistory[order_date],SMALL(IF(ISNUMBER(MATCH(orderHistory[status],$D$11,0)*MATCH(YEAR(orderHistory[invoice_date]),$D$15,0)),MATCH(ROW(orderHistory[customer]),ROW(orderHistory[customer])),""),ROWS($A$15:A16)+$B$3))),IF($D$15="",INDEX(orderHistory[order_date],SMALL(IF(ISNUMBER(MATCH(orderHistory[status],$D$11,0)*MATCH(orderHistory[order_type],$D$13,0)),MATCH(ROW(orderHistory[customer]),ROW(orderHistory[customer])),""),ROWS($A$15:A16)+$B$3)),INDEX(orderHistory[order_date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order_date],SMALL(IF(ISNUMBER(MATCH(orderHistory[customer],$D$9,0)),MATCH(ROW(orderHistory[customer]),ROW(orderHistory[customer])),""),ROWS($A$15:A16)+$B$3)),INDEX(orderHistory[order_date],SMALL(IF(ISNUMBER(MATCH(orderHistory[customer],$D$9,0)*MATCH(YEAR(orderHistory[invoice_date]),$D$15,0)),MATCH(ROW(orderHistory[customer]),ROW(orderHistory[customer])),""),ROWS($A$15:A16)+$B$3))),IF($D$15="",INDEX(orderHistory[order_date],SMALL(IF(ISNUMBER(MATCH(orderHistory[customer],$D$9,0)*MATCH(orderHistory[order_type],$D$13,0)),MATCH(ROW(orderHistory[customer]),ROW(orderHistory[customer])),""),ROWS($A$15:A16)+$B$3)),INDEX(orderHistory[order_date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order_date],SMALL(IF(ISNUMBER(MATCH(orderHistory[customer],$D$9,0)*MATCH(orderHistory[status],$D$11,0)),MATCH(ROW(orderHistory[customer]),ROW(orderHistory[customer])),""),ROWS($A$15:A16)+$B$3)),INDEX(orderHistory[order_date],SMALL(IF(ISNUMBER(MATCH(orderHistory[customer],$D$9,0)*MATCH(orderHistory[status],$D$11,0)*MATCH(YEAR(orderHistory[invoice_date]),$D$15,0)),MATCH(ROW(orderHistory[customer]),ROW(orderHistory[customer])),""),ROWS($A$15:A16)+$B$3))),IF($D$15="",INDEX(orderHistory[order_date],SMALL(IF(ISNUMBER(MATCH(orderHistory[customer],$D$9,0)*MATCH(orderHistory[status],$D$11,0)*MATCH(orderHistory[order_type],$D$13,0)),MATCH(ROW(orderHistory[customer]),ROW(orderHistory[customer])),""),ROWS($A$15:A16)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45580</v>
      </c>
      <c r="P11" s="385" t="str">
        <f t="array" ref="P11">IFERROR(IF($D$9="",IF($D$11="",IF($D$13="",IF($D$15="",INDEX(orderHistory[invoice_no],SMALL(MATCH(ROW(orderHistory[customer]),ROW(orderHistory[customer])),ROWS($A$15:A16)+$B$3)),INDEX(orderHistory[invoice_no],SMALL(IF(ISNUMBER(MATCH(YEAR(orderHistory[invoice_date]),$D$15,0)),MATCH(ROW(orderHistory[customer]),ROW(orderHistory[customer])),""),ROWS($A$15:A16)+$B$3))),IF($D$15="",INDEX(orderHistory[invoice_no],SMALL(IF(ISNUMBER(MATCH(orderHistory[order_type],$D$13,0)),MATCH(ROW(orderHistory[customer]),ROW(orderHistory[customer])),""),ROWS($A$15:A16)+$B$3)),INDEX(orderHistory[invoice_no],SMALL(IF(ISNUMBER(MATCH(orderHistory[order_type],$D$13,0)*MATCH(YEAR(orderHistory[invoice_date]),$D$15,0)),MATCH(ROW(orderHistory[customer]),ROW(orderHistory[customer])),""),ROWS($A$15:A16)+$B$3)))),IF($D$13="",IF($D$15="",INDEX(orderHistory[invoice_no],SMALL(IF(ISNUMBER(MATCH(orderHistory[status],$D$11,0)),MATCH(ROW(orderHistory[customer]),ROW(orderHistory[customer])),""),ROWS($A$15:A16)+$B$3)),INDEX(orderHistory[invoice_no],SMALL(IF(ISNUMBER(MATCH(orderHistory[status],$D$11,0)*MATCH(YEAR(orderHistory[invoice_date]),$D$15,0)),MATCH(ROW(orderHistory[customer]),ROW(orderHistory[customer])),""),ROWS($A$15:A16)+$B$3))),IF($D$15="",INDEX(orderHistory[invoice_no],SMALL(IF(ISNUMBER(MATCH(orderHistory[status],$D$11,0)*MATCH(orderHistory[order_type],$D$13,0)),MATCH(ROW(orderHistory[customer]),ROW(orderHistory[customer])),""),ROWS($A$15:A16)+$B$3)),INDEX(orderHistory[invoice_no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invoice_no],SMALL(IF(ISNUMBER(MATCH(orderHistory[customer],$D$9,0)),MATCH(ROW(orderHistory[customer]),ROW(orderHistory[customer])),""),ROWS($A$15:A16)+$B$3)),INDEX(orderHistory[invoice_no],SMALL(IF(ISNUMBER(MATCH(orderHistory[customer],$D$9,0)*MATCH(YEAR(orderHistory[invoice_date]),$D$15,0)),MATCH(ROW(orderHistory[customer]),ROW(orderHistory[customer])),""),ROWS($A$15:A16)+$B$3))),IF($D$15="",INDEX(orderHistory[invoice_no],SMALL(IF(ISNUMBER(MATCH(orderHistory[customer],$D$9,0)*MATCH(orderHistory[order_type],$D$13,0)),MATCH(ROW(orderHistory[customer]),ROW(orderHistory[customer])),""),ROWS($A$15:A16)+$B$3)),INDEX(orderHistory[invoice_no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invoice_no],SMALL(IF(ISNUMBER(MATCH(orderHistory[customer],$D$9,0)*MATCH(orderHistory[status],$D$11,0)),MATCH(ROW(orderHistory[customer]),ROW(orderHistory[customer])),""),ROWS($A$15:A16)+$B$3)),INDEX(orderHistory[invoice_no],SMALL(IF(ISNUMBER(MATCH(orderHistory[customer],$D$9,0)*MATCH(orderHistory[status],$D$11,0)*MATCH(YEAR(orderHistory[invoice_date]),$D$15,0)),MATCH(ROW(orderHistory[customer]),ROW(orderHistory[customer])),""),ROWS($A$15:A16)+$B$3))),IF($D$15="",INDEX(orderHistory[invoice_no],SMALL(IF(ISNUMBER(MATCH(orderHistory[customer],$D$9,0)*MATCH(orderHistory[status],$D$11,0)*MATCH(orderHistory[order_type],$D$13,0)),MATCH(ROW(orderHistory[customer]),ROW(orderHistory[customer])),""),ROWS($A$15:A16)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381</v>
      </c>
      <c r="Q11" s="386">
        <f t="array" ref="Q11">IFERROR(IF($D$9="",IF($D$11="",IF($D$13="",IF($D$15="",INDEX(orderHistory[invoice_date],SMALL(MATCH(ROW(orderHistory[customer]),ROW(orderHistory[customer])),ROWS($A$15:A16)+$B$3)),INDEX(orderHistory[invoice_date],SMALL(IF(ISNUMBER(MATCH(YEAR(orderHistory[invoice_date]),$D$15,0)),MATCH(ROW(orderHistory[customer]),ROW(orderHistory[customer])),""),ROWS($A$15:A16)+$B$3))),IF($D$15="",INDEX(orderHistory[invoice_date],SMALL(IF(ISNUMBER(MATCH(orderHistory[order_type],$D$13,0)),MATCH(ROW(orderHistory[customer]),ROW(orderHistory[customer])),""),ROWS($A$15:A16)+$B$3)),INDEX(orderHistory[invoice_date],SMALL(IF(ISNUMBER(MATCH(orderHistory[order_type],$D$13,0)*MATCH(YEAR(orderHistory[invoice_date]),$D$15,0)),MATCH(ROW(orderHistory[customer]),ROW(orderHistory[customer])),""),ROWS($A$15:A16)+$B$3)))),IF($D$13="",IF($D$15="",INDEX(orderHistory[invoice_date],SMALL(IF(ISNUMBER(MATCH(orderHistory[status],$D$11,0)),MATCH(ROW(orderHistory[customer]),ROW(orderHistory[customer])),""),ROWS($A$15:A16)+$B$3)),INDEX(orderHistory[invoice_date],SMALL(IF(ISNUMBER(MATCH(orderHistory[status],$D$11,0)*MATCH(YEAR(orderHistory[invoice_date]),$D$15,0)),MATCH(ROW(orderHistory[customer]),ROW(orderHistory[customer])),""),ROWS($A$15:A16)+$B$3))),IF($D$15="",INDEX(orderHistory[invoice_date],SMALL(IF(ISNUMBER(MATCH(orderHistory[status],$D$11,0)*MATCH(orderHistory[order_type],$D$13,0)),MATCH(ROW(orderHistory[customer]),ROW(orderHistory[customer])),""),ROWS($A$15:A16)+$B$3)),INDEX(orderHistory[invoice_date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invoice_date],SMALL(IF(ISNUMBER(MATCH(orderHistory[customer],$D$9,0)),MATCH(ROW(orderHistory[customer]),ROW(orderHistory[customer])),""),ROWS($A$15:A16)+$B$3)),INDEX(orderHistory[invoice_date],SMALL(IF(ISNUMBER(MATCH(orderHistory[customer],$D$9,0)*MATCH(YEAR(orderHistory[invoice_date]),$D$15,0)),MATCH(ROW(orderHistory[customer]),ROW(orderHistory[customer])),""),ROWS($A$15:A16)+$B$3))),IF($D$15="",INDEX(orderHistory[invoice_date],SMALL(IF(ISNUMBER(MATCH(orderHistory[customer],$D$9,0)*MATCH(orderHistory[order_type],$D$13,0)),MATCH(ROW(orderHistory[customer]),ROW(orderHistory[customer])),""),ROWS($A$15:A16)+$B$3)),INDEX(orderHistory[invoice_date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invoice_date],SMALL(IF(ISNUMBER(MATCH(orderHistory[customer],$D$9,0)*MATCH(orderHistory[status],$D$11,0)),MATCH(ROW(orderHistory[customer]),ROW(orderHistory[customer])),""),ROWS($A$15:A16)+$B$3)),INDEX(orderHistory[invoice_date],SMALL(IF(ISNUMBER(MATCH(orderHistory[customer],$D$9,0)*MATCH(orderHistory[status],$D$11,0)*MATCH(YEAR(orderHistory[invoice_date]),$D$15,0)),MATCH(ROW(orderHistory[customer]),ROW(orderHistory[customer])),""),ROWS($A$15:A16)+$B$3))),IF($D$15="",INDEX(orderHistory[invoice_date],SMALL(IF(ISNUMBER(MATCH(orderHistory[customer],$D$9,0)*MATCH(orderHistory[status],$D$11,0)*MATCH(orderHistory[order_type],$D$13,0)),MATCH(ROW(orderHistory[customer]),ROW(orderHistory[customer])),""),ROWS($A$15:A16)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45587</v>
      </c>
      <c r="R11" s="387">
        <f t="array" ref="R11">IFERROR(IF($D$9="",IF($D$11="",IF($D$13="",IF($D$15="",INDEX(orderHistory[inv_amount],SMALL(MATCH(ROW(orderHistory[customer]),ROW(orderHistory[customer])),ROWS($A$15:A16)+$B$3)),INDEX(orderHistory[inv_amount],SMALL(IF(ISNUMBER(MATCH(YEAR(orderHistory[invoice_date]),$D$15,0)),MATCH(ROW(orderHistory[customer]),ROW(orderHistory[customer])),""),ROWS($A$15:A16)+$B$3))),IF($D$15="",INDEX(orderHistory[inv_amount],SMALL(IF(ISNUMBER(MATCH(orderHistory[order_type],$D$13,0)),MATCH(ROW(orderHistory[customer]),ROW(orderHistory[customer])),""),ROWS($A$15:A16)+$B$3)),INDEX(orderHistory[inv_amount],SMALL(IF(ISNUMBER(MATCH(orderHistory[order_type],$D$13,0)*MATCH(YEAR(orderHistory[invoice_date]),$D$15,0)),MATCH(ROW(orderHistory[customer]),ROW(orderHistory[customer])),""),ROWS($A$15:A16)+$B$3)))),IF($D$13="",IF($D$15="",INDEX(orderHistory[inv_amount],SMALL(IF(ISNUMBER(MATCH(orderHistory[status],$D$11,0)),MATCH(ROW(orderHistory[customer]),ROW(orderHistory[customer])),""),ROWS($A$15:A16)+$B$3)),INDEX(orderHistory[inv_amount],SMALL(IF(ISNUMBER(MATCH(orderHistory[status],$D$11,0)*MATCH(YEAR(orderHistory[invoice_date]),$D$15,0)),MATCH(ROW(orderHistory[customer]),ROW(orderHistory[customer])),""),ROWS($A$15:A16)+$B$3))),IF($D$15="",INDEX(orderHistory[inv_amount],SMALL(IF(ISNUMBER(MATCH(orderHistory[status],$D$11,0)*MATCH(orderHistory[order_type],$D$13,0)),MATCH(ROW(orderHistory[customer]),ROW(orderHistory[customer])),""),ROWS($A$15:A16)+$B$3)),INDEX(orderHistory[inv_amount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inv_amount],SMALL(IF(ISNUMBER(MATCH(orderHistory[customer],$D$9,0)),MATCH(ROW(orderHistory[customer]),ROW(orderHistory[customer])),""),ROWS($A$15:A16)+$B$3)),INDEX(orderHistory[inv_amount],SMALL(IF(ISNUMBER(MATCH(orderHistory[customer],$D$9,0)*MATCH(YEAR(orderHistory[invoice_date]),$D$15,0)),MATCH(ROW(orderHistory[customer]),ROW(orderHistory[customer])),""),ROWS($A$15:A16)+$B$3))),IF($D$15="",INDEX(orderHistory[inv_amount],SMALL(IF(ISNUMBER(MATCH(orderHistory[customer],$D$9,0)*MATCH(orderHistory[order_type],$D$13,0)),MATCH(ROW(orderHistory[customer]),ROW(orderHistory[customer])),""),ROWS($A$15:A16)+$B$3)),INDEX(orderHistory[inv_amount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inv_amount],SMALL(IF(ISNUMBER(MATCH(orderHistory[customer],$D$9,0)*MATCH(orderHistory[status],$D$11,0)),MATCH(ROW(orderHistory[customer]),ROW(orderHistory[customer])),""),ROWS($A$15:A16)+$B$3)),INDEX(orderHistory[inv_amount],SMALL(IF(ISNUMBER(MATCH(orderHistory[customer],$D$9,0)*MATCH(orderHistory[status],$D$11,0)*MATCH(YEAR(orderHistory[inv_amount]),$D$15,0)),MATCH(ROW(orderHistory[customer]),ROW(orderHistory[customer])),""),ROWS($A$15:A16)+$B$3))),IF($D$15="",INDEX(orderHistory[inv_amount],SMALL(IF(ISNUMBER(MATCH(orderHistory[customer],$D$9,0)*MATCH(orderHistory[status],$D$11,0)*MATCH(orderHistory[order_type],$D$13,0)),MATCH(ROW(orderHistory[customer]),ROW(orderHistory[customer])),""),ROWS($A$15:A16)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34200</v>
      </c>
      <c r="S11" s="465" t="str">
        <f t="array" ref="S11">IFERROR(IF($D$9="",IF($D$11="",IF($D$13="",IF($D$15="",INDEX(orderHistory[lock_goods],SMALL(MATCH(ROW(orderHistory[customer]),ROW(orderHistory[customer])),ROWS($A$15:A16)+$B$3)),INDEX(orderHistory[lock_goods],SMALL(IF(ISNUMBER(MATCH(YEAR(orderHistory[invoice_date]),$D$15,0)),MATCH(ROW(orderHistory[customer]),ROW(orderHistory[customer])),""),ROWS($A$15:A16)+$B$3))),IF($D$15="",INDEX(orderHistory[lock_goods],SMALL(IF(ISNUMBER(MATCH(orderHistory[order_type],$D$13,0)),MATCH(ROW(orderHistory[customer]),ROW(orderHistory[customer])),""),ROWS($A$15:A16)+$B$3)),INDEX(orderHistory[lock_goods],SMALL(IF(ISNUMBER(MATCH(orderHistory[order_type],$D$13,0)*MATCH(YEAR(orderHistory[invoice_date]),$D$15,0)),MATCH(ROW(orderHistory[customer]),ROW(orderHistory[customer])),""),ROWS($A$15:A16)+$B$3)))),IF($D$13="",IF($D$15="",INDEX(orderHistory[lock_goods],SMALL(IF(ISNUMBER(MATCH(orderHistory[status],$D$11,0)),MATCH(ROW(orderHistory[customer]),ROW(orderHistory[customer])),""),ROWS($A$15:A16)+$B$3)),INDEX(orderHistory[lock_goods],SMALL(IF(ISNUMBER(MATCH(orderHistory[status],$D$11,0)*MATCH(YEAR(orderHistory[invoice_date]),$D$15,0)),MATCH(ROW(orderHistory[customer]),ROW(orderHistory[customer])),""),ROWS($A$15:A16)+$B$3))),IF($D$15="",INDEX(orderHistory[lock_goods],SMALL(IF(ISNUMBER(MATCH(orderHistory[status],$D$11,0)*MATCH(orderHistory[order_type],$D$13,0)),MATCH(ROW(orderHistory[customer]),ROW(orderHistory[customer])),""),ROWS($A$15:A16)+$B$3)),INDEX(orderHistory[lock_goods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lock_goods],SMALL(IF(ISNUMBER(MATCH(orderHistory[customer],$D$9,0)),MATCH(ROW(orderHistory[customer]),ROW(orderHistory[customer])),""),ROWS($A$15:A16)+$B$3)),INDEX(orderHistory[lock_goods],SMALL(IF(ISNUMBER(MATCH(orderHistory[customer],$D$9,0)*MATCH(YEAR(orderHistory[invoice_date]),$D$15,0)),MATCH(ROW(orderHistory[customer]),ROW(orderHistory[customer])),""),ROWS($A$15:A16)+$B$3))),IF($D$15="",INDEX(orderHistory[lock_goods],SMALL(IF(ISNUMBER(MATCH(orderHistory[customer],$D$9,0)*MATCH(orderHistory[order_type],$D$13,0)),MATCH(ROW(orderHistory[customer]),ROW(orderHistory[customer])),""),ROWS($A$15:A16)+$B$3)),INDEX(orderHistory[lock_goods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lock_goods],SMALL(IF(ISNUMBER(MATCH(orderHistory[customer],$D$9,0)*MATCH(orderHistory[status],$D$11,0)),MATCH(ROW(orderHistory[customer]),ROW(orderHistory[customer])),""),ROWS($A$15:A16)+$B$3)),INDEX(orderHistory[lock_goods],SMALL(IF(ISNUMBER(MATCH(orderHistory[customer],$D$9,0)*MATCH(orderHistory[status],$D$11,0)*MATCH(YEAR(orderHistory[payed]),$D$15,0)),MATCH(ROW(orderHistory[customer]),ROW(orderHistory[customer])),""),ROWS($A$15:A16)+$B$3))),IF($D$15="",INDEX(orderHistory[lock_goods],SMALL(IF(ISNUMBER(MATCH(orderHistory[customer],$D$9,0)*MATCH(orderHistory[status],$D$11,0)*MATCH(orderHistory[order_type],$D$13,0)),MATCH(ROW(orderHistory[customer]),ROW(orderHistory[customer])),""),ROWS($A$15:A16)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GOODS SENT</v>
      </c>
      <c r="T11" s="388" t="b">
        <f t="array" ref="T11">IFERROR(IF($D$9="",IF($D$11="",IF($D$13="",IF($D$15="",INDEX(orderHistory[payed],SMALL(MATCH(ROW(orderHistory[customer]),ROW(orderHistory[customer])),ROWS($A$15:A16)+$B$3)),INDEX(orderHistory[payed],SMALL(IF(ISNUMBER(MATCH(YEAR(orderHistory[invoice_date]),$D$15,0)),MATCH(ROW(orderHistory[customer]),ROW(orderHistory[customer])),""),ROWS($A$15:A16)+$B$3))),IF($D$15="",INDEX(orderHistory[payed],SMALL(IF(ISNUMBER(MATCH(orderHistory[order_type],$D$13,0)),MATCH(ROW(orderHistory[customer]),ROW(orderHistory[customer])),""),ROWS($A$15:A16)+$B$3)),INDEX(orderHistory[payed],SMALL(IF(ISNUMBER(MATCH(orderHistory[order_type],$D$13,0)*MATCH(YEAR(orderHistory[invoice_date]),$D$15,0)),MATCH(ROW(orderHistory[customer]),ROW(orderHistory[customer])),""),ROWS($A$15:A16)+$B$3)))),IF($D$13="",IF($D$15="",INDEX(orderHistory[payed],SMALL(IF(ISNUMBER(MATCH(orderHistory[status],$D$11,0)),MATCH(ROW(orderHistory[customer]),ROW(orderHistory[customer])),""),ROWS($A$15:A16)+$B$3)),INDEX(orderHistory[payed],SMALL(IF(ISNUMBER(MATCH(orderHistory[status],$D$11,0)*MATCH(YEAR(orderHistory[invoice_date]),$D$15,0)),MATCH(ROW(orderHistory[customer]),ROW(orderHistory[customer])),""),ROWS($A$15:A16)+$B$3))),IF($D$15="",INDEX(orderHistory[payed],SMALL(IF(ISNUMBER(MATCH(orderHistory[status],$D$11,0)*MATCH(orderHistory[order_type],$D$13,0)),MATCH(ROW(orderHistory[customer]),ROW(orderHistory[customer])),""),ROWS($A$15:A16)+$B$3)),INDEX(orderHistory[payed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payed],SMALL(IF(ISNUMBER(MATCH(orderHistory[customer],$D$9,0)),MATCH(ROW(orderHistory[customer]),ROW(orderHistory[customer])),""),ROWS($A$15:A16)+$B$3)),INDEX(orderHistory[payed],SMALL(IF(ISNUMBER(MATCH(orderHistory[customer],$D$9,0)*MATCH(YEAR(orderHistory[invoice_date]),$D$15,0)),MATCH(ROW(orderHistory[customer]),ROW(orderHistory[customer])),""),ROWS($A$15:A16)+$B$3))),IF($D$15="",INDEX(orderHistory[payed],SMALL(IF(ISNUMBER(MATCH(orderHistory[customer],$D$9,0)*MATCH(orderHistory[order_type],$D$13,0)),MATCH(ROW(orderHistory[customer]),ROW(orderHistory[customer])),""),ROWS($A$15:A16)+$B$3)),INDEX(orderHistory[payed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payed],SMALL(IF(ISNUMBER(MATCH(orderHistory[customer],$D$9,0)*MATCH(orderHistory[status],$D$11,0)),MATCH(ROW(orderHistory[customer]),ROW(orderHistory[customer])),""),ROWS($A$15:A16)+$B$3)),INDEX(orderHistory[payed],SMALL(IF(ISNUMBER(MATCH(orderHistory[customer],$D$9,0)*MATCH(orderHistory[status],$D$11,0)*MATCH(YEAR(orderHistory[payed]),$D$15,0)),MATCH(ROW(orderHistory[customer]),ROW(orderHistory[customer])),""),ROWS($A$15:A16)+$B$3))),IF($D$15="",INDEX(orderHistory[payed],SMALL(IF(ISNUMBER(MATCH(orderHistory[customer],$D$9,0)*MATCH(orderHistory[status],$D$11,0)*MATCH(orderHistory[order_type],$D$13,0)),MATCH(ROW(orderHistory[customer]),ROW(orderHistory[customer])),""),ROWS($A$15:A16)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0</v>
      </c>
      <c r="U11" s="383" t="str">
        <f t="array" ref="U11">IFERROR(IF($D$9="",IF($D$11="",IF($D$13="",IF($D$15="",INDEX(orderHistory[shipping_method],SMALL(MATCH(ROW(orderHistory[customer]),ROW(orderHistory[customer])),ROWS($A$15:A16)+$B$3)),INDEX(orderHistory[shipping_method],SMALL(IF(ISNUMBER(MATCH(YEAR(orderHistory[invoice_date]),$D$15,0)),MATCH(ROW(orderHistory[customer]),ROW(orderHistory[customer])),""),ROWS($A$15:A16)+$B$3))),IF($D$15="",INDEX(orderHistory[shipping_method],SMALL(IF(ISNUMBER(MATCH(orderHistory[order_type],$D$13,0)),MATCH(ROW(orderHistory[customer]),ROW(orderHistory[customer])),""),ROWS($A$15:A16)+$B$3)),INDEX(orderHistory[shipping_method],SMALL(IF(ISNUMBER(MATCH(orderHistory[order_type],$D$13,0)*MATCH(YEAR(orderHistory[invoice_date]),$D$15,0)),MATCH(ROW(orderHistory[customer]),ROW(orderHistory[customer])),""),ROWS($A$15:A16)+$B$3)))),IF($D$13="",IF($D$15="",INDEX(orderHistory[shipping_method],SMALL(IF(ISNUMBER(MATCH(orderHistory[status],$D$11,0)),MATCH(ROW(orderHistory[customer]),ROW(orderHistory[customer])),""),ROWS($A$15:A16)+$B$3)),INDEX(orderHistory[shipping_method],SMALL(IF(ISNUMBER(MATCH(orderHistory[status],$D$11,0)*MATCH(YEAR(orderHistory[invoice_date]),$D$15,0)),MATCH(ROW(orderHistory[customer]),ROW(orderHistory[customer])),""),ROWS($A$15:A16)+$B$3))),IF($D$15="",INDEX(orderHistory[shipping_method],SMALL(IF(ISNUMBER(MATCH(orderHistory[status],$D$11,0)*MATCH(orderHistory[order_type],$D$13,0)),MATCH(ROW(orderHistory[customer]),ROW(orderHistory[customer])),""),ROWS($A$15:A16)+$B$3)),INDEX(orderHistory[shipping_method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shipping_method],SMALL(IF(ISNUMBER(MATCH(orderHistory[customer],$D$9,0)),MATCH(ROW(orderHistory[customer]),ROW(orderHistory[customer])),""),ROWS($A$15:A16)+$B$3)),INDEX(orderHistory[shipping_method],SMALL(IF(ISNUMBER(MATCH(orderHistory[customer],$D$9,0)*MATCH(YEAR(orderHistory[invoice_date]),$D$15,0)),MATCH(ROW(orderHistory[customer]),ROW(orderHistory[customer])),""),ROWS($A$15:A16)+$B$3))),IF($D$15="",INDEX(orderHistory[shipping_method],SMALL(IF(ISNUMBER(MATCH(orderHistory[customer],$D$9,0)*MATCH(orderHistory[order_type],$D$13,0)),MATCH(ROW(orderHistory[customer]),ROW(orderHistory[customer])),""),ROWS($A$15:A16)+$B$3)),INDEX(orderHistory[shipping_method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shipping_method],SMALL(IF(ISNUMBER(MATCH(orderHistory[customer],$D$9,0)*MATCH(orderHistory[status],$D$11,0)),MATCH(ROW(orderHistory[customer]),ROW(orderHistory[customer])),""),ROWS($A$15:A16)+$B$3)),INDEX(orderHistory[shipping_method],SMALL(IF(ISNUMBER(MATCH(orderHistory[customer],$D$9,0)*MATCH(orderHistory[status],$D$11,0)*MATCH(YEAR(orderHistory[shipping_method]),$D$15,0)),MATCH(ROW(orderHistory[customer]),ROW(orderHistory[customer])),""),ROWS($A$15:A16)+$B$3))),IF($D$15="",INDEX(orderHistory[shipping_method],SMALL(IF(ISNUMBER(MATCH(orderHistory[customer],$D$9,0)*MATCH(orderHistory[status],$D$11,0)*MATCH(orderHistory[order_type],$D$13,0)),MATCH(ROW(orderHistory[customer]),ROW(orderHistory[customer])),""),ROWS($A$15:A16)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BY ROAD</v>
      </c>
      <c r="V11" s="388" t="str">
        <f t="array" ref="V11">IFERROR(IF($D$9="",IF($D$11="",IF($D$13="",IF($D$15="",INDEX(orderHistory[status],SMALL(MATCH(ROW(orderHistory[customer]),ROW(orderHistory[customer])),ROWS($A$15:A16)+$B$3)),INDEX(orderHistory[status],SMALL(IF(ISNUMBER(MATCH(YEAR(orderHistory[invoice_date]),$D$15,0)),MATCH(ROW(orderHistory[customer]),ROW(orderHistory[customer])),""),ROWS($A$15:A16)+$B$3))),IF($D$15="",INDEX(orderHistory[status],SMALL(IF(ISNUMBER(MATCH(orderHistory[order_type],$D$13,0)),MATCH(ROW(orderHistory[customer]),ROW(orderHistory[customer])),""),ROWS($A$15:A16)+$B$3)),INDEX(orderHistory[status],SMALL(IF(ISNUMBER(MATCH(orderHistory[order_type],$D$13,0)*MATCH(YEAR(orderHistory[invoice_date]),$D$15,0)),MATCH(ROW(orderHistory[customer]),ROW(orderHistory[customer])),""),ROWS($A$15:A16)+$B$3)))),IF($D$13="",IF($D$15="",INDEX(orderHistory[status],SMALL(IF(ISNUMBER(MATCH(orderHistory[status],$D$11,0)),MATCH(ROW(orderHistory[customer]),ROW(orderHistory[customer])),""),ROWS($A$15:A16)+$B$3)),INDEX(orderHistory[status],SMALL(IF(ISNUMBER(MATCH(orderHistory[status],$D$11,0)*MATCH(YEAR(orderHistory[invoice_date]),$D$15,0)),MATCH(ROW(orderHistory[customer]),ROW(orderHistory[customer])),""),ROWS($A$15:A16)+$B$3))),IF($D$15="",INDEX(orderHistory[status],SMALL(IF(ISNUMBER(MATCH(orderHistory[status],$D$11,0)*MATCH(orderHistory[order_type],$D$13,0)),MATCH(ROW(orderHistory[customer]),ROW(orderHistory[customer])),""),ROWS($A$15:A16)+$B$3)),INDEX(orderHistory[status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status],SMALL(IF(ISNUMBER(MATCH(orderHistory[customer],$D$9,0)),MATCH(ROW(orderHistory[customer]),ROW(orderHistory[customer])),""),ROWS($A$15:A16)+$B$3)),INDEX(orderHistory[status],SMALL(IF(ISNUMBER(MATCH(orderHistory[customer],$D$9,0)*MATCH(YEAR(orderHistory[invoice_date]),$D$15,0)),MATCH(ROW(orderHistory[customer]),ROW(orderHistory[customer])),""),ROWS($A$15:A16)+$B$3))),IF($D$15="",INDEX(orderHistory[status],SMALL(IF(ISNUMBER(MATCH(orderHistory[customer],$D$9,0)*MATCH(orderHistory[order_type],$D$13,0)),MATCH(ROW(orderHistory[customer]),ROW(orderHistory[customer])),""),ROWS($A$15:A16)+$B$3)),INDEX(orderHistory[status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status],SMALL(IF(ISNUMBER(MATCH(orderHistory[customer],$D$9,0)*MATCH(orderHistory[status],$D$11,0)),MATCH(ROW(orderHistory[customer]),ROW(orderHistory[customer])),""),ROWS($A$15:A16)+$B$3)),INDEX(orderHistory[status],SMALL(IF(ISNUMBER(MATCH(orderHistory[customer],$D$9,0)*MATCH(orderHistory[status],$D$11,0)*MATCH(YEAR(orderHistory[status]),$D$15,0)),MATCH(ROW(orderHistory[customer]),ROW(orderHistory[customer])),""),ROWS($A$15:A16)+$B$3))),IF($D$15="",INDEX(orderHistory[status],SMALL(IF(ISNUMBER(MATCH(orderHistory[customer],$D$9,0)*MATCH(orderHistory[status],$D$11,0)*MATCH(orderHistory[order_type],$D$13,0)),MATCH(ROW(orderHistory[customer]),ROW(orderHistory[customer])),""),ROWS($A$15:A16)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SHIPPED</v>
      </c>
      <c r="W11" s="547" t="str">
        <f t="array" ref="W11">IFERROR(IF($D$9="",IF($D$11="",IF($D$13="",IF($D$15="",INDEX(orderHistory[custom_docs],SMALL(MATCH(ROW(orderHistory[customer]),ROW(orderHistory[customer])),ROWS($A$15:A16)+$B$3)),INDEX(orderHistory[custom_docs],SMALL(IF(ISNUMBER(MATCH(YEAR(orderHistory[invoice_date]),$D$15,0)),MATCH(ROW(orderHistory[customer]),ROW(orderHistory[customer])),""),ROWS($A$15:A16)+$B$3))),IF($D$15="",INDEX(orderHistory[custom_docs],SMALL(IF(ISNUMBER(MATCH(orderHistory[order_type],$D$13,0)),MATCH(ROW(orderHistory[customer]),ROW(orderHistory[customer])),""),ROWS($A$15:A16)+$B$3)),INDEX(orderHistory[custom_docs],SMALL(IF(ISNUMBER(MATCH(orderHistory[order_type],$D$13,0)*MATCH(YEAR(orderHistory[invoice_date]),$D$15,0)),MATCH(ROW(orderHistory[customer]),ROW(orderHistory[customer])),""),ROWS($A$15:A16)+$B$3)))),IF($D$13="",IF($D$15="",INDEX(orderHistory[custom_docs],SMALL(IF(ISNUMBER(MATCH(orderHistory[status],$D$11,0)),MATCH(ROW(orderHistory[customer]),ROW(orderHistory[customer])),""),ROWS($A$15:A16)+$B$3)),INDEX(orderHistory[custom_docs],SMALL(IF(ISNUMBER(MATCH(orderHistory[status],$D$11,0)*MATCH(YEAR(orderHistory[invoice_date]),$D$15,0)),MATCH(ROW(orderHistory[customer]),ROW(orderHistory[customer])),""),ROWS($A$15:A16)+$B$3))),IF($D$15="",INDEX(orderHistory[custom_docs],SMALL(IF(ISNUMBER(MATCH(orderHistory[status],$D$11,0)*MATCH(orderHistory[order_type],$D$13,0)),MATCH(ROW(orderHistory[customer]),ROW(orderHistory[customer])),""),ROWS($A$15:A16)+$B$3)),INDEX(orderHistory[custom_docs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custom_docs],SMALL(IF(ISNUMBER(MATCH(orderHistory[customer],$D$9,0)),MATCH(ROW(orderHistory[customer]),ROW(orderHistory[customer])),""),ROWS($A$15:A16)+$B$3)),INDEX(orderHistory[custom_docs],SMALL(IF(ISNUMBER(MATCH(orderHistory[customer],$D$9,0)*MATCH(YEAR(orderHistory[invoice_date]),$D$15,0)),MATCH(ROW(orderHistory[customer]),ROW(orderHistory[customer])),""),ROWS($A$15:A16)+$B$3))),IF($D$15="",INDEX(orderHistory[custom_docs],SMALL(IF(ISNUMBER(MATCH(orderHistory[customer],$D$9,0)*MATCH(orderHistory[order_type],$D$13,0)),MATCH(ROW(orderHistory[customer]),ROW(orderHistory[customer])),""),ROWS($A$15:A16)+$B$3)),INDEX(orderHistory[custom_docs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custom_docs],SMALL(IF(ISNUMBER(MATCH(orderHistory[customer],$D$9,0)*MATCH(orderHistory[status],$D$11,0)),MATCH(ROW(orderHistory[customer]),ROW(orderHistory[customer])),""),ROWS($A$15:A16)+$B$3)),INDEX(orderHistory[custom_docs],SMALL(IF(ISNUMBER(MATCH(orderHistory[customer],$D$9,0)*MATCH(orderHistory[status],$D$11,0)*MATCH(YEAR(orderHistory[status]),$D$15,0)),MATCH(ROW(orderHistory[customer]),ROW(orderHistory[customer])),""),ROWS($A$15:A16)+$B$3))),IF($D$15="",INDEX(orderHistory[custom_docs],SMALL(IF(ISNUMBER(MATCH(orderHistory[customer],$D$9,0)*MATCH(orderHistory[status],$D$11,0)*MATCH(orderHistory[order_type],$D$13,0)),MATCH(ROW(orderHistory[customer]),ROW(orderHistory[customer])),""),ROWS($A$15:A16)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OK</v>
      </c>
      <c r="AO11" s="315"/>
      <c r="AQ11" s="308"/>
      <c r="AR11" s="316"/>
      <c r="AS11" s="310"/>
      <c r="AT11" s="317"/>
      <c r="AU11" s="271"/>
      <c r="AW11" s="308"/>
      <c r="AX11" s="318"/>
      <c r="AZ11" s="319"/>
      <c r="BD11" s="306"/>
      <c r="BE11" s="306"/>
      <c r="BF11" s="320"/>
      <c r="BG11" s="312"/>
      <c r="BH11" s="320"/>
      <c r="BJ11" s="271"/>
      <c r="BK11" s="321"/>
      <c r="BL11" s="297"/>
      <c r="BM11" s="298"/>
      <c r="BN11" s="297"/>
      <c r="BO11" s="298"/>
      <c r="BX11" s="315">
        <f>$B$4</f>
        <v>41</v>
      </c>
      <c r="BZ11" s="412" t="s">
        <v>110</v>
      </c>
      <c r="CA11" s="401" t="str">
        <f>IFERROR(IF(BZ11="","",INDEX(bhpc_data[description],MATCH(BZ11,bhpc_data[sku],0))),"")</f>
        <v>BHPC PRESTIGE HERITAGE OUD 100ML EDP MEN</v>
      </c>
      <c r="CB11" s="403">
        <v>48</v>
      </c>
      <c r="CC11" s="886">
        <v>15.849721162312886</v>
      </c>
      <c r="CD11" s="411"/>
      <c r="CE11" s="890"/>
      <c r="CF11" s="404"/>
      <c r="CG11" s="405">
        <f>IFERROR(ROUNDUP(CB11/INDEX(bhpc_data[units_per_carton],MATCH(BZ11,bhpc_data[sku],0)),0),"")</f>
        <v>2</v>
      </c>
      <c r="CH11" s="406">
        <f>IFERROR(ROUNDUP(CD11/INDEX(bhpc_data[units_per_carton],MATCH(BZ11,bhpc_data[sku],0)),0),"")</f>
        <v>0</v>
      </c>
      <c r="CI11" s="406" t="str">
        <f>IFERROR(ROUNDUP(CF11/INDEX(bhpc_data[units_per_carton],MATCH(BZ11,bhpc_data[sku])),0),"")</f>
        <v/>
      </c>
      <c r="CJ11" s="406">
        <f>IFERROR(((CB11+CD11+CF11)/INDEX(bhpc_data[units_per_carton],MATCH(BZ11,bhpc_data[sku],0)))*INDEX(bhpc_data[net_weight],MATCH(BZ11,bhpc_data[sku],0)),"")</f>
        <v>18.96</v>
      </c>
      <c r="CK11" s="406">
        <f>IFERROR(((CB11+CD11+CF11)/INDEX(bhpc_data[units_per_carton],MATCH(BZ11,bhpc_data[sku],0)))*INDEX(bhpc_data[gross_weight],MATCH(BZ11,bhpc_data[sku],0)),"")</f>
        <v>19.8</v>
      </c>
      <c r="CL11" s="602">
        <f>IFERROR((CB11+CD11+CF11)/INDEX(bhpc_data[units_per_carton],MATCH(BZ11,bhpc_data[sku],0))*INDEX(bhpc_data[length],MATCH(BZ11,bhpc_data[sku],0))*INDEX(bhpc_data[width],MATCH(BZ11,bhpc_data[sku],0))*INDEX(bhpc_data[height],MATCH(BZ11,bhpc_data[sku],0))/1000000000,"")</f>
        <v>3.4595000000000001E-2</v>
      </c>
      <c r="CM11" s="407" t="str">
        <f>IFERROR(INDEX(bhpc_data[category],MATCH(BZ11,bhpc_data[sku],0)),"")</f>
        <v>PRESTIGE</v>
      </c>
      <c r="CN11" s="407">
        <f>IFERROR(INDEX(bhpc_data[size],MATCH(BZ11,bhpc_data[sku],0)),"")</f>
        <v>100</v>
      </c>
      <c r="CO11" s="408" t="str">
        <f>IFERROR(INDEX(bhpc_data[hs_code],MATCH(BZ11,bhpc_data[sku],0)),"")</f>
        <v>33030010</v>
      </c>
      <c r="CP11" s="489" t="str">
        <f>IFERROR(INDEX(bhpc_data[sku_geko],MATCH(BZ11,bhpc_data[sku],0)),"")</f>
        <v>P06001</v>
      </c>
      <c r="CQ11" s="404"/>
      <c r="CR11" s="517">
        <f>IFERROR(IF(BZ11="","",IF($BX$15="SALE",INDEX(inventory[COSTO UNITARIO],MATCH(BZ11,inventory[SKU],0)),IF($BX$15="SAMPLING",INDEX(inventory[COSTO UNITARIO],MATCH(BZ11,inventory[SKU],0)),""))),"")</f>
        <v>11.68</v>
      </c>
      <c r="CS11" s="517">
        <f>IFERROR(IF(BZ11="","",(CB11+CD11)*CR11),"")</f>
        <v>560.64</v>
      </c>
      <c r="CT11" s="896">
        <f>IF(BZ11="","",CB11*CC11+CD11*CE11)</f>
        <v>760.78661579101845</v>
      </c>
      <c r="CU11" s="469" t="str">
        <f t="shared" ref="CU11:CU74" si="0">IF(BZ11="","",IF(OR($BX$15="PRODUCTION",$BX$15="SUPPLY"),"",IF(OR($CY$32=TRUE,$CY$32="GOODS SENT"),"OK",VLOOKUP(BZ11,$EE$8:$EK$400,7,FALSE)+IF(OR($BX$15="SALE",$BX$15="SAMPLING"),-(CB11+CD11+CF11),(CB11+CD11+CF11)))))</f>
        <v>OK</v>
      </c>
      <c r="CW11" s="80"/>
      <c r="CX11" s="84" t="s">
        <v>879</v>
      </c>
      <c r="CY11" s="209">
        <f>COUNTA($CB$10:$CB$110)</f>
        <v>10</v>
      </c>
      <c r="CZ11" s="240" t="s">
        <v>1025</v>
      </c>
      <c r="DA11" s="898">
        <f>SUM(CT10:CT110)</f>
        <v>7607.8661579101845</v>
      </c>
      <c r="DB11" s="77"/>
      <c r="DH11" s="215"/>
      <c r="EC11" s="315"/>
      <c r="EE11" s="439" t="str" cm="1">
        <f t="array" ref="EE11">IFERROR(IF($EC$9="",IF($EC$11="",IF($EC$13="",INDEX(bhpc_data[sku],SMALL(MATCH(ROW(bhpc_data[sku]),ROW(bhpc_data[sku])),ROWS($A$15:A16)+$B$3)),INDEX(bhpc_data[sku],SMALL(IF(ISNUMBER(MATCH(bhpc_data[size],$EC$13,0)),MATCH(ROW(bhpc_data[sku]),ROW(bhpc_data[sku])),""),ROWS($A$15:A16)+$B$3))),IF($EC$13="",INDEX(bhpc_data[sku],SMALL(IF(ISNUMBER(MATCH(bhpc_data[sex],$EC$11,0)),MATCH(ROW(bhpc_data[sku]),ROW(bhpc_data[sku])),""),ROWS($A$15:A16)+$B$3)),INDEX(bhpc_data[sku],SMALL(IF(ISNUMBER(MATCH(bhpc_data[sex],$EC$11,0)*MATCH(bhpc_data[size],$EC$13,0)),MATCH(ROW(bhpc_data[sku]),ROW(bhpc_data[sku])),""),ROWS($A$15:A16)+$B$3)))),IF($EC$11="",IF($EC$13="",INDEX(bhpc_data[sku],SMALL(IF(ISNUMBER(MATCH(bhpc_data[category],$EC$9,0)),MATCH(ROW(bhpc_data[sku]),ROW(bhpc_data[sku])),""),ROWS($A$15:A16)+$B$3)),INDEX(bhpc_data[sku],SMALL(IF(ISNUMBER(MATCH(bhpc_data[category],$EC$9,0)*MATCH(bhpc_data[size],$EC$13,0)),MATCH(ROW(bhpc_data[sku]),ROW(bhpc_data[sku])),""),ROWS($A$15:A16)+$B$3))),IF($EC$13="",INDEX(bhpc_data[sku],SMALL(IF(ISNUMBER(MATCH(bhpc_data[category],$EC$9,0)*MATCH(bhpc_data[sex],$EC$11,0)),MATCH(ROW(bhpc_data[sku]),ROW(bhpc_data[sku])),""),ROWS($A$15:A16)+$B$3)),INDEX(bhpc_data[sku],SMALL(IF(ISNUMBER(MATCH(bhpc_data[category],$EC$9,0)*MATCH(bhpc_data[sex],$EC$11,0)*MATCH(bhpc_data[size],$EC$13,0)),MATCH(ROW(bhpc_data[sku]),ROW(bhpc_data[sku])),""),ROWS($A$15:A16)+$B$3))))),"")</f>
        <v>P05008FL</v>
      </c>
      <c r="EF11" s="440" t="str" cm="1">
        <f t="array" ref="EF11">IFERROR(IF($EC$9="",IF($EC$11="",IF($EC$13="",INDEX(bhpc_data[description],SMALL(MATCH(ROW(bhpc_data[sku]),ROW(bhpc_data[sku])),ROWS($A$15:A16)+$B$3)),INDEX(bhpc_data[description],SMALL(IF(ISNUMBER(MATCH(bhpc_data[size],$EC$13,0)),MATCH(ROW(bhpc_data[sku]),ROW(bhpc_data[sku])),""),ROWS($A$15:A16)+$B$3))),IF($EC$13="",INDEX(bhpc_data[description],SMALL(IF(ISNUMBER(MATCH(bhpc_data[sex],$EC$11,0)),MATCH(ROW(bhpc_data[sku]),ROW(bhpc_data[sku])),""),ROWS($A$15:A16)+$B$3)),INDEX(bhpc_data[description],SMALL(IF(ISNUMBER(MATCH(bhpc_data[sex],$EC$11,0)*MATCH(bhpc_data[size],$EC$13,0)),MATCH(ROW(bhpc_data[sku]),ROW(bhpc_data[sku])),""),ROWS($A$15:A16)+$B$3)))),IF($EC$11="",IF($EC$13="",INDEX(bhpc_data[description],SMALL(IF(ISNUMBER(MATCH(bhpc_data[category],$EC$9,0)),MATCH(ROW(bhpc_data[sku]),ROW(bhpc_data[sku])),""),ROWS($A$15:A16)+$B$3)),INDEX(bhpc_data[description],SMALL(IF(ISNUMBER(MATCH(bhpc_data[category],$EC$9,0)*MATCH(bhpc_data[size],$EC$13,0)),MATCH(ROW(bhpc_data[sku]),ROW(bhpc_data[sku])),""),ROWS($A$15:A16)+$B$3))),IF($EC$13="",INDEX(bhpc_data[description],SMALL(IF(ISNUMBER(MATCH(bhpc_data[category],$EC$9,0)*MATCH(bhpc_data[sex],$EC$11,0)),MATCH(ROW(bhpc_data[sku]),ROW(bhpc_data[sku])),""),ROWS($A$15:A16)+$B$3)),INDEX(bhpc_data[description],SMALL(IF(ISNUMBER(MATCH(bhpc_data[category],$EC$9,0)*MATCH(bhpc_data[sex],$EC$11,0)*MATCH(bhpc_data[size],$EC$13,0)),MATCH(ROW(bhpc_data[sku]),ROW(bhpc_data[sku])),""),ROWS($A$15:A16)+$B$3))))),"")</f>
        <v>BHPC SPORT MEN 1 EDT 50ML (UNBOXED) (MADE IN FRANCE)</v>
      </c>
      <c r="EG11" s="441">
        <f>IFERROR(IF('BHPC MANAGER'!$EE11="","",INDEX(inventory[ESISTENZA],MATCH('BHPC MANAGER'!$EE11,inventory[SKU],0))),0)</f>
        <v>64</v>
      </c>
      <c r="EH11" s="442">
        <v>-34</v>
      </c>
      <c r="EI11" s="442">
        <f t="shared" ref="EI11:EI74" si="1">IF(EE11="","",IFERROR(EG11+EH11,EG11))</f>
        <v>30</v>
      </c>
      <c r="EJ11" s="443">
        <v>0</v>
      </c>
      <c r="EK11" s="444">
        <f t="shared" ref="EK11:EK74" si="2">IF(EE11="","",IFERROR(EI11+EJ11,EI11))</f>
        <v>30</v>
      </c>
      <c r="FD11" s="496"/>
      <c r="FF11" s="263"/>
      <c r="FG11" s="263"/>
      <c r="FH11" s="497"/>
      <c r="FI11" s="263"/>
      <c r="FJ11" s="496"/>
      <c r="FL11" s="263"/>
      <c r="FM11" s="263"/>
      <c r="FN11" s="497"/>
      <c r="FO11" s="263"/>
      <c r="FP11" s="263"/>
      <c r="FQ11" s="263"/>
      <c r="FR11" s="263"/>
      <c r="FS11" s="263"/>
      <c r="FT11" s="263"/>
      <c r="FU11" s="263"/>
      <c r="FV11" s="263"/>
      <c r="FW11" s="263"/>
      <c r="FX11" s="263"/>
      <c r="FY11" s="263"/>
      <c r="FZ11" s="263"/>
      <c r="GA11" s="263"/>
      <c r="GB11" s="263"/>
      <c r="GC11" s="263"/>
      <c r="GD11" s="263"/>
      <c r="GE11" s="263"/>
      <c r="GF11" s="263"/>
      <c r="GG11" s="263"/>
      <c r="GH11" s="263"/>
      <c r="GI11" s="263"/>
      <c r="GJ11" s="263"/>
      <c r="GK11" s="263"/>
      <c r="GL11" s="263"/>
      <c r="GM11" s="263"/>
      <c r="GN11" s="263"/>
      <c r="GO11" s="263"/>
      <c r="GP11" s="263"/>
      <c r="GQ11" s="263"/>
      <c r="GR11" s="263"/>
      <c r="GS11" s="263"/>
      <c r="GT11" s="263"/>
      <c r="GU11" s="263"/>
      <c r="GV11" s="263"/>
      <c r="GW11" s="263"/>
      <c r="GX11" s="263"/>
      <c r="GY11" s="263"/>
      <c r="GZ11" s="263"/>
      <c r="HA11" s="263"/>
      <c r="HB11" s="263"/>
      <c r="HC11" s="263"/>
      <c r="HD11" s="263"/>
      <c r="HE11" s="263"/>
      <c r="HF11" s="263"/>
      <c r="HG11" s="263"/>
      <c r="HH11" s="263"/>
      <c r="HI11" s="263"/>
      <c r="HJ11" s="263"/>
      <c r="HK11" s="263"/>
      <c r="HL11" s="263"/>
      <c r="HM11" s="263"/>
      <c r="HN11" s="263"/>
      <c r="HO11" s="263"/>
      <c r="HP11" s="263"/>
      <c r="HQ11" s="263"/>
      <c r="HR11" s="263"/>
      <c r="HS11" s="263"/>
      <c r="HT11" s="263"/>
    </row>
    <row r="12" spans="1:702" ht="15" customHeight="1" x14ac:dyDescent="0.35">
      <c r="B12" s="140"/>
      <c r="D12" s="265" t="s">
        <v>706</v>
      </c>
      <c r="F12" s="86"/>
      <c r="G12" s="866" t="str">
        <f>IFERROR(INDEX(clientData[country],MATCH($B$6,clientData[cod_cliente],0)),"")</f>
        <v>UNITED KINGDOM</v>
      </c>
      <c r="H12" s="867"/>
      <c r="I12" s="868"/>
      <c r="J12" s="77"/>
      <c r="L12" s="381" t="str">
        <f t="array" ref="L12">IFERROR(IF($D$9="",IF($D$11="",IF($D$13="",IF($D$15="",INDEX(orderHistory[customer],SMALL(MATCH(ROW(orderHistory[customer]),ROW(orderHistory[customer])),ROWS($A$15:A17)+$B$3)),INDEX(orderHistory[customer],SMALL(IF(ISNUMBER(MATCH(YEAR(orderHistory[invoice_date]),$D$15,0)),MATCH(ROW(orderHistory[customer]),ROW(orderHistory[customer])),""),ROWS($A$15:A17)+$B$3))),IF($D$15="",INDEX(orderHistory[customer],SMALL(IF(ISNUMBER(MATCH(orderHistory[order_type],$D$13,0)),MATCH(ROW(orderHistory[customer]),ROW(orderHistory[customer])),""),ROWS($A$15:A17)+$B$3)),INDEX(orderHistory[customer],SMALL(IF(ISNUMBER(MATCH(orderHistory[order_type],$D$13,0)*MATCH(YEAR(orderHistory[invoice_date]),$D$15,0)),MATCH(ROW(orderHistory[customer]),ROW(orderHistory[customer])),""),ROWS($A$15:A17)+$B$3)))),IF($D$13="",IF($D$15="",INDEX(orderHistory[customer],SMALL(IF(ISNUMBER(MATCH(orderHistory[status],$D$11,0)),MATCH(ROW(orderHistory[customer]),ROW(orderHistory[customer])),""),ROWS($A$15:A17)+$B$3)),INDEX(orderHistory[customer],SMALL(IF(ISNUMBER(MATCH(orderHistory[status],$D$11,0)*MATCH(YEAR(orderHistory[invoice_date]),$D$15,0)),MATCH(ROW(orderHistory[customer]),ROW(orderHistory[customer])),""),ROWS($A$15:A17)+$B$3))),IF($D$15="",INDEX(orderHistory[customer],SMALL(IF(ISNUMBER(MATCH(orderHistory[status],$D$11,0)*MATCH(orderHistory[order_type],$D$13,0)),MATCH(ROW(orderHistory[customer]),ROW(orderHistory[customer])),""),ROWS($A$15:A17)+$B$3)),INDEX(orderHistory[customer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customer],SMALL(IF(ISNUMBER(MATCH(orderHistory[customer],$D$9,0)),MATCH(ROW(orderHistory[customer]),ROW(orderHistory[customer])),""),ROWS($A$15:A17)+$B$3)),INDEX(orderHistory[customer],SMALL(IF(ISNUMBER(MATCH(orderHistory[customer],$D$9,0)*MATCH(YEAR(orderHistory[invoice_date]),$D$15,0)),MATCH(ROW(orderHistory[customer]),ROW(orderHistory[customer])),""),ROWS($A$15:A17)+$B$3))),IF($D$15="",INDEX(orderHistory[customer],SMALL(IF(ISNUMBER(MATCH(orderHistory[customer],$D$9,0)*MATCH(orderHistory[order_type],$D$13,0)),MATCH(ROW(orderHistory[customer]),ROW(orderHistory[customer])),""),ROWS($A$15:A17)+$B$3)),INDEX(orderHistory[customer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customer],SMALL(IF(ISNUMBER(MATCH(orderHistory[customer],$D$9,0)*MATCH(orderHistory[status],$D$11,0)),MATCH(ROW(orderHistory[customer]),ROW(orderHistory[customer])),""),ROWS($A$15:A17)+$B$3)),INDEX(orderHistory[customer],SMALL(IF(ISNUMBER(MATCH(orderHistory[customer],$D$9,0)*MATCH(orderHistory[status],$D$11,0)*MATCH(YEAR(orderHistory[invoice_date]),$D$15,0)),MATCH(ROW(orderHistory[customer]),ROW(orderHistory[customer])),""),ROWS($A$15:A17)+$B$3))),IF($D$15="",INDEX(orderHistory[customer],SMALL(IF(ISNUMBER(MATCH(orderHistory[customer],$D$9,0)*MATCH(orderHistory[status],$D$11,0)*MATCH(orderHistory[order_type],$D$13,0)),MATCH(ROW(orderHistory[customer]),ROW(orderHistory[customer])),""),ROWS($A$15:A17)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4BEAUTY4YOU</v>
      </c>
      <c r="M12" s="382">
        <f t="array" ref="M12">IFERROR(IF($D$9="",IF($D$11="",IF($D$13="",IF($D$15="",INDEX(orderHistory[order_no],SMALL(MATCH(ROW(orderHistory[customer]),ROW(orderHistory[customer])),ROWS($A$15:A17)+$B$3)),INDEX(orderHistory[order_no],SMALL(IF(ISNUMBER(MATCH(YEAR(orderHistory[invoice_date]),$D$15,0)),MATCH(ROW(orderHistory[customer]),ROW(orderHistory[customer])),""),ROWS($A$15:A17)+$B$3))),IF($D$15="",INDEX(orderHistory[order_no],SMALL(IF(ISNUMBER(MATCH(orderHistory[order_type],$D$13,0)),MATCH(ROW(orderHistory[customer]),ROW(orderHistory[customer])),""),ROWS($A$15:A17)+$B$3)),INDEX(orderHistory[order_no],SMALL(IF(ISNUMBER(MATCH(orderHistory[order_type],$D$13,0)*MATCH(YEAR(orderHistory[invoice_date]),$D$15,0)),MATCH(ROW(orderHistory[customer]),ROW(orderHistory[customer])),""),ROWS($A$15:A17)+$B$3)))),IF($D$13="",IF($D$15="",INDEX(orderHistory[order_no],SMALL(IF(ISNUMBER(MATCH(orderHistory[status],$D$11,0)),MATCH(ROW(orderHistory[customer]),ROW(orderHistory[customer])),""),ROWS($A$15:A17)+$B$3)),INDEX(orderHistory[order_no],SMALL(IF(ISNUMBER(MATCH(orderHistory[status],$D$11,0)*MATCH(YEAR(orderHistory[invoice_date]),$D$15,0)),MATCH(ROW(orderHistory[customer]),ROW(orderHistory[customer])),""),ROWS($A$15:A17)+$B$3))),IF($D$15="",INDEX(orderHistory[order_no],SMALL(IF(ISNUMBER(MATCH(orderHistory[status],$D$11,0)*MATCH(orderHistory[order_type],$D$13,0)),MATCH(ROW(orderHistory[customer]),ROW(orderHistory[customer])),""),ROWS($A$15:A17)+$B$3)),INDEX(orderHistory[order_no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order_no],SMALL(IF(ISNUMBER(MATCH(orderHistory[customer],$D$9,0)),MATCH(ROW(orderHistory[customer]),ROW(orderHistory[customer])),""),ROWS($A$15:A17)+$B$3)),INDEX(orderHistory[order_no],SMALL(IF(ISNUMBER(MATCH(orderHistory[customer],$D$9,0)*MATCH(YEAR(orderHistory[invoice_date]),$D$15,0)),MATCH(ROW(orderHistory[customer]),ROW(orderHistory[customer])),""),ROWS($A$15:A17)+$B$3))),IF($D$15="",INDEX(orderHistory[order_no],SMALL(IF(ISNUMBER(MATCH(orderHistory[customer],$D$9,0)*MATCH(orderHistory[order_type],$D$13,0)),MATCH(ROW(orderHistory[customer]),ROW(orderHistory[customer])),""),ROWS($A$15:A17)+$B$3)),INDEX(orderHistory[order_no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order_no],SMALL(IF(ISNUMBER(MATCH(orderHistory[customer],$D$9,0)*MATCH(orderHistory[status],$D$11,0)),MATCH(ROW(orderHistory[customer]),ROW(orderHistory[customer])),""),ROWS($A$15:A17)+$B$3)),INDEX(orderHistory[order_no],SMALL(IF(ISNUMBER(MATCH(orderHistory[customer],$D$9,0)*MATCH(orderHistory[status],$D$11,0)*MATCH(YEAR(orderHistory[invoice_date]),$D$15,0)),MATCH(ROW(orderHistory[customer]),ROW(orderHistory[customer])),""),ROWS($A$15:A17)+$B$3))),IF($D$15="",INDEX(orderHistory[order_no],SMALL(IF(ISNUMBER(MATCH(orderHistory[customer],$D$9,0)*MATCH(orderHistory[status],$D$11,0)*MATCH(orderHistory[order_type],$D$13,0)),MATCH(ROW(orderHistory[customer]),ROW(orderHistory[customer])),""),ROWS($A$15:A17)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106</v>
      </c>
      <c r="N12" s="383" t="str">
        <f t="array" ref="N12">IFERROR(IF($D$9="",IF($D$11="",IF($D$13="",IF($D$15="",INDEX(orderHistory[order_type],SMALL(MATCH(ROW(orderHistory[customer]),ROW(orderHistory[customer])),ROWS($A$15:A17)+$B$3)),INDEX(orderHistory[order_type],SMALL(IF(ISNUMBER(MATCH(YEAR(orderHistory[invoice_date]),$D$15,0)),MATCH(ROW(orderHistory[customer]),ROW(orderHistory[customer])),""),ROWS($A$15:A17)+$B$3))),IF($D$15="",INDEX(orderHistory[order_type],SMALL(IF(ISNUMBER(MATCH(orderHistory[order_type],$D$13,0)),MATCH(ROW(orderHistory[customer]),ROW(orderHistory[customer])),""),ROWS($A$15:A17)+$B$3)),INDEX(orderHistory[order_type],SMALL(IF(ISNUMBER(MATCH(orderHistory[order_type],$D$13,0)*MATCH(YEAR(orderHistory[invoice_date]),$D$15,0)),MATCH(ROW(orderHistory[customer]),ROW(orderHistory[customer])),""),ROWS($A$15:A17)+$B$3)))),IF($D$13="",IF($D$15="",INDEX(orderHistory[order_type],SMALL(IF(ISNUMBER(MATCH(orderHistory[status],$D$11,0)),MATCH(ROW(orderHistory[customer]),ROW(orderHistory[customer])),""),ROWS($A$15:A17)+$B$3)),INDEX(orderHistory[order_type],SMALL(IF(ISNUMBER(MATCH(orderHistory[status],$D$11,0)*MATCH(YEAR(orderHistory[invoice_date]),$D$15,0)),MATCH(ROW(orderHistory[customer]),ROW(orderHistory[customer])),""),ROWS($A$15:A17)+$B$3))),IF($D$15="",INDEX(orderHistory[order_type],SMALL(IF(ISNUMBER(MATCH(orderHistory[status],$D$11,0)*MATCH(orderHistory[order_type],$D$13,0)),MATCH(ROW(orderHistory[customer]),ROW(orderHistory[customer])),""),ROWS($A$15:A17)+$B$3)),INDEX(orderHistory[order_type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order_type],SMALL(IF(ISNUMBER(MATCH(orderHistory[customer],$D$9,0)),MATCH(ROW(orderHistory[customer]),ROW(orderHistory[customer])),""),ROWS($A$15:A17)+$B$3)),INDEX(orderHistory[order_type],SMALL(IF(ISNUMBER(MATCH(orderHistory[customer],$D$9,0)*MATCH(YEAR(orderHistory[invoice_date]),$D$15,0)),MATCH(ROW(orderHistory[customer]),ROW(orderHistory[customer])),""),ROWS($A$15:A17)+$B$3))),IF($D$15="",INDEX(orderHistory[order_type],SMALL(IF(ISNUMBER(MATCH(orderHistory[customer],$D$9,0)*MATCH(orderHistory[order_type],$D$13,0)),MATCH(ROW(orderHistory[customer]),ROW(orderHistory[customer])),""),ROWS($A$15:A17)+$B$3)),INDEX(orderHistory[order_type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order_type],SMALL(IF(ISNUMBER(MATCH(orderHistory[customer],$D$9,0)*MATCH(orderHistory[status],$D$11,0)),MATCH(ROW(orderHistory[customer]),ROW(orderHistory[customer])),""),ROWS($A$15:A17)+$B$3)),INDEX(orderHistory[order_type],SMALL(IF(ISNUMBER(MATCH(orderHistory[customer],$D$9,0)*MATCH(orderHistory[status],$D$11,0)*MATCH(YEAR(orderHistory[invoice_date]),$D$15,0)),MATCH(ROW(orderHistory[customer]),ROW(orderHistory[customer])),""),ROWS($A$15:A17)+$B$3))),IF($D$15="",INDEX(orderHistory[order_type],SMALL(IF(ISNUMBER(MATCH(orderHistory[customer],$D$9,0)*MATCH(orderHistory[status],$D$11,0)*MATCH(orderHistory[order_type],$D$13,0)),MATCH(ROW(orderHistory[customer]),ROW(orderHistory[customer])),""),ROWS($A$15:A17)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SALE</v>
      </c>
      <c r="O12" s="384">
        <f t="array" ref="O12">IFERROR(IF($D$9="",IF($D$11="",IF($D$13="",IF($D$15="",INDEX(orderHistory[order_date],SMALL(MATCH(ROW(orderHistory[customer]),ROW(orderHistory[customer])),ROWS($A$15:A17)+$B$3)),INDEX(orderHistory[order_date],SMALL(IF(ISNUMBER(MATCH(YEAR(orderHistory[invoice_date]),$D$15,0)),MATCH(ROW(orderHistory[customer]),ROW(orderHistory[customer])),""),ROWS($A$15:A17)+$B$3))),IF($D$15="",INDEX(orderHistory[order_date],SMALL(IF(ISNUMBER(MATCH(orderHistory[order_type],$D$13,0)),MATCH(ROW(orderHistory[customer]),ROW(orderHistory[customer])),""),ROWS($A$15:A17)+$B$3)),INDEX(orderHistory[order_date],SMALL(IF(ISNUMBER(MATCH(orderHistory[order_type],$D$13,0)*MATCH(YEAR(orderHistory[invoice_date]),$D$15,0)),MATCH(ROW(orderHistory[customer]),ROW(orderHistory[customer])),""),ROWS($A$15:A17)+$B$3)))),IF($D$13="",IF($D$15="",INDEX(orderHistory[order_date],SMALL(IF(ISNUMBER(MATCH(orderHistory[status],$D$11,0)),MATCH(ROW(orderHistory[customer]),ROW(orderHistory[customer])),""),ROWS($A$15:A17)+$B$3)),INDEX(orderHistory[order_date],SMALL(IF(ISNUMBER(MATCH(orderHistory[status],$D$11,0)*MATCH(YEAR(orderHistory[invoice_date]),$D$15,0)),MATCH(ROW(orderHistory[customer]),ROW(orderHistory[customer])),""),ROWS($A$15:A17)+$B$3))),IF($D$15="",INDEX(orderHistory[order_date],SMALL(IF(ISNUMBER(MATCH(orderHistory[status],$D$11,0)*MATCH(orderHistory[order_type],$D$13,0)),MATCH(ROW(orderHistory[customer]),ROW(orderHistory[customer])),""),ROWS($A$15:A17)+$B$3)),INDEX(orderHistory[order_date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order_date],SMALL(IF(ISNUMBER(MATCH(orderHistory[customer],$D$9,0)),MATCH(ROW(orderHistory[customer]),ROW(orderHistory[customer])),""),ROWS($A$15:A17)+$B$3)),INDEX(orderHistory[order_date],SMALL(IF(ISNUMBER(MATCH(orderHistory[customer],$D$9,0)*MATCH(YEAR(orderHistory[invoice_date]),$D$15,0)),MATCH(ROW(orderHistory[customer]),ROW(orderHistory[customer])),""),ROWS($A$15:A17)+$B$3))),IF($D$15="",INDEX(orderHistory[order_date],SMALL(IF(ISNUMBER(MATCH(orderHistory[customer],$D$9,0)*MATCH(orderHistory[order_type],$D$13,0)),MATCH(ROW(orderHistory[customer]),ROW(orderHistory[customer])),""),ROWS($A$15:A17)+$B$3)),INDEX(orderHistory[order_date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order_date],SMALL(IF(ISNUMBER(MATCH(orderHistory[customer],$D$9,0)*MATCH(orderHistory[status],$D$11,0)),MATCH(ROW(orderHistory[customer]),ROW(orderHistory[customer])),""),ROWS($A$15:A17)+$B$3)),INDEX(orderHistory[order_date],SMALL(IF(ISNUMBER(MATCH(orderHistory[customer],$D$9,0)*MATCH(orderHistory[status],$D$11,0)*MATCH(YEAR(orderHistory[invoice_date]),$D$15,0)),MATCH(ROW(orderHistory[customer]),ROW(orderHistory[customer])),""),ROWS($A$15:A17)+$B$3))),IF($D$15="",INDEX(orderHistory[order_date],SMALL(IF(ISNUMBER(MATCH(orderHistory[customer],$D$9,0)*MATCH(orderHistory[status],$D$11,0)*MATCH(orderHistory[order_type],$D$13,0)),MATCH(ROW(orderHistory[customer]),ROW(orderHistory[customer])),""),ROWS($A$15:A17)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45518</v>
      </c>
      <c r="P12" s="385" t="str">
        <f t="array" ref="P12">IFERROR(IF($D$9="",IF($D$11="",IF($D$13="",IF($D$15="",INDEX(orderHistory[invoice_no],SMALL(MATCH(ROW(orderHistory[customer]),ROW(orderHistory[customer])),ROWS($A$15:A17)+$B$3)),INDEX(orderHistory[invoice_no],SMALL(IF(ISNUMBER(MATCH(YEAR(orderHistory[invoice_date]),$D$15,0)),MATCH(ROW(orderHistory[customer]),ROW(orderHistory[customer])),""),ROWS($A$15:A17)+$B$3))),IF($D$15="",INDEX(orderHistory[invoice_no],SMALL(IF(ISNUMBER(MATCH(orderHistory[order_type],$D$13,0)),MATCH(ROW(orderHistory[customer]),ROW(orderHistory[customer])),""),ROWS($A$15:A17)+$B$3)),INDEX(orderHistory[invoice_no],SMALL(IF(ISNUMBER(MATCH(orderHistory[order_type],$D$13,0)*MATCH(YEAR(orderHistory[invoice_date]),$D$15,0)),MATCH(ROW(orderHistory[customer]),ROW(orderHistory[customer])),""),ROWS($A$15:A17)+$B$3)))),IF($D$13="",IF($D$15="",INDEX(orderHistory[invoice_no],SMALL(IF(ISNUMBER(MATCH(orderHistory[status],$D$11,0)),MATCH(ROW(orderHistory[customer]),ROW(orderHistory[customer])),""),ROWS($A$15:A17)+$B$3)),INDEX(orderHistory[invoice_no],SMALL(IF(ISNUMBER(MATCH(orderHistory[status],$D$11,0)*MATCH(YEAR(orderHistory[invoice_date]),$D$15,0)),MATCH(ROW(orderHistory[customer]),ROW(orderHistory[customer])),""),ROWS($A$15:A17)+$B$3))),IF($D$15="",INDEX(orderHistory[invoice_no],SMALL(IF(ISNUMBER(MATCH(orderHistory[status],$D$11,0)*MATCH(orderHistory[order_type],$D$13,0)),MATCH(ROW(orderHistory[customer]),ROW(orderHistory[customer])),""),ROWS($A$15:A17)+$B$3)),INDEX(orderHistory[invoice_no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invoice_no],SMALL(IF(ISNUMBER(MATCH(orderHistory[customer],$D$9,0)),MATCH(ROW(orderHistory[customer]),ROW(orderHistory[customer])),""),ROWS($A$15:A17)+$B$3)),INDEX(orderHistory[invoice_no],SMALL(IF(ISNUMBER(MATCH(orderHistory[customer],$D$9,0)*MATCH(YEAR(orderHistory[invoice_date]),$D$15,0)),MATCH(ROW(orderHistory[customer]),ROW(orderHistory[customer])),""),ROWS($A$15:A17)+$B$3))),IF($D$15="",INDEX(orderHistory[invoice_no],SMALL(IF(ISNUMBER(MATCH(orderHistory[customer],$D$9,0)*MATCH(orderHistory[order_type],$D$13,0)),MATCH(ROW(orderHistory[customer]),ROW(orderHistory[customer])),""),ROWS($A$15:A17)+$B$3)),INDEX(orderHistory[invoice_no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invoice_no],SMALL(IF(ISNUMBER(MATCH(orderHistory[customer],$D$9,0)*MATCH(orderHistory[status],$D$11,0)),MATCH(ROW(orderHistory[customer]),ROW(orderHistory[customer])),""),ROWS($A$15:A17)+$B$3)),INDEX(orderHistory[invoice_no],SMALL(IF(ISNUMBER(MATCH(orderHistory[customer],$D$9,0)*MATCH(orderHistory[status],$D$11,0)*MATCH(YEAR(orderHistory[invoice_date]),$D$15,0)),MATCH(ROW(orderHistory[customer]),ROW(orderHistory[customer])),""),ROWS($A$15:A17)+$B$3))),IF($D$15="",INDEX(orderHistory[invoice_no],SMALL(IF(ISNUMBER(MATCH(orderHistory[customer],$D$9,0)*MATCH(orderHistory[status],$D$11,0)*MATCH(orderHistory[order_type],$D$13,0)),MATCH(ROW(orderHistory[customer]),ROW(orderHistory[customer])),""),ROWS($A$15:A17)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371</v>
      </c>
      <c r="Q12" s="386">
        <f t="array" ref="Q12">IFERROR(IF($D$9="",IF($D$11="",IF($D$13="",IF($D$15="",INDEX(orderHistory[invoice_date],SMALL(MATCH(ROW(orderHistory[customer]),ROW(orderHistory[customer])),ROWS($A$15:A17)+$B$3)),INDEX(orderHistory[invoice_date],SMALL(IF(ISNUMBER(MATCH(YEAR(orderHistory[invoice_date]),$D$15,0)),MATCH(ROW(orderHistory[customer]),ROW(orderHistory[customer])),""),ROWS($A$15:A17)+$B$3))),IF($D$15="",INDEX(orderHistory[invoice_date],SMALL(IF(ISNUMBER(MATCH(orderHistory[order_type],$D$13,0)),MATCH(ROW(orderHistory[customer]),ROW(orderHistory[customer])),""),ROWS($A$15:A17)+$B$3)),INDEX(orderHistory[invoice_date],SMALL(IF(ISNUMBER(MATCH(orderHistory[order_type],$D$13,0)*MATCH(YEAR(orderHistory[invoice_date]),$D$15,0)),MATCH(ROW(orderHistory[customer]),ROW(orderHistory[customer])),""),ROWS($A$15:A17)+$B$3)))),IF($D$13="",IF($D$15="",INDEX(orderHistory[invoice_date],SMALL(IF(ISNUMBER(MATCH(orderHistory[status],$D$11,0)),MATCH(ROW(orderHistory[customer]),ROW(orderHistory[customer])),""),ROWS($A$15:A17)+$B$3)),INDEX(orderHistory[invoice_date],SMALL(IF(ISNUMBER(MATCH(orderHistory[status],$D$11,0)*MATCH(YEAR(orderHistory[invoice_date]),$D$15,0)),MATCH(ROW(orderHistory[customer]),ROW(orderHistory[customer])),""),ROWS($A$15:A17)+$B$3))),IF($D$15="",INDEX(orderHistory[invoice_date],SMALL(IF(ISNUMBER(MATCH(orderHistory[status],$D$11,0)*MATCH(orderHistory[order_type],$D$13,0)),MATCH(ROW(orderHistory[customer]),ROW(orderHistory[customer])),""),ROWS($A$15:A17)+$B$3)),INDEX(orderHistory[invoice_date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invoice_date],SMALL(IF(ISNUMBER(MATCH(orderHistory[customer],$D$9,0)),MATCH(ROW(orderHistory[customer]),ROW(orderHistory[customer])),""),ROWS($A$15:A17)+$B$3)),INDEX(orderHistory[invoice_date],SMALL(IF(ISNUMBER(MATCH(orderHistory[customer],$D$9,0)*MATCH(YEAR(orderHistory[invoice_date]),$D$15,0)),MATCH(ROW(orderHistory[customer]),ROW(orderHistory[customer])),""),ROWS($A$15:A17)+$B$3))),IF($D$15="",INDEX(orderHistory[invoice_date],SMALL(IF(ISNUMBER(MATCH(orderHistory[customer],$D$9,0)*MATCH(orderHistory[order_type],$D$13,0)),MATCH(ROW(orderHistory[customer]),ROW(orderHistory[customer])),""),ROWS($A$15:A17)+$B$3)),INDEX(orderHistory[invoice_date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invoice_date],SMALL(IF(ISNUMBER(MATCH(orderHistory[customer],$D$9,0)*MATCH(orderHistory[status],$D$11,0)),MATCH(ROW(orderHistory[customer]),ROW(orderHistory[customer])),""),ROWS($A$15:A17)+$B$3)),INDEX(orderHistory[invoice_date],SMALL(IF(ISNUMBER(MATCH(orderHistory[customer],$D$9,0)*MATCH(orderHistory[status],$D$11,0)*MATCH(YEAR(orderHistory[invoice_date]),$D$15,0)),MATCH(ROW(orderHistory[customer]),ROW(orderHistory[customer])),""),ROWS($A$15:A17)+$B$3))),IF($D$15="",INDEX(orderHistory[invoice_date],SMALL(IF(ISNUMBER(MATCH(orderHistory[customer],$D$9,0)*MATCH(orderHistory[status],$D$11,0)*MATCH(orderHistory[order_type],$D$13,0)),MATCH(ROW(orderHistory[customer]),ROW(orderHistory[customer])),""),ROWS($A$15:A17)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45583</v>
      </c>
      <c r="R12" s="387">
        <f t="array" ref="R12">IFERROR(IF($D$9="",IF($D$11="",IF($D$13="",IF($D$15="",INDEX(orderHistory[inv_amount],SMALL(MATCH(ROW(orderHistory[customer]),ROW(orderHistory[customer])),ROWS($A$15:A17)+$B$3)),INDEX(orderHistory[inv_amount],SMALL(IF(ISNUMBER(MATCH(YEAR(orderHistory[invoice_date]),$D$15,0)),MATCH(ROW(orderHistory[customer]),ROW(orderHistory[customer])),""),ROWS($A$15:A17)+$B$3))),IF($D$15="",INDEX(orderHistory[inv_amount],SMALL(IF(ISNUMBER(MATCH(orderHistory[order_type],$D$13,0)),MATCH(ROW(orderHistory[customer]),ROW(orderHistory[customer])),""),ROWS($A$15:A17)+$B$3)),INDEX(orderHistory[inv_amount],SMALL(IF(ISNUMBER(MATCH(orderHistory[order_type],$D$13,0)*MATCH(YEAR(orderHistory[invoice_date]),$D$15,0)),MATCH(ROW(orderHistory[customer]),ROW(orderHistory[customer])),""),ROWS($A$15:A17)+$B$3)))),IF($D$13="",IF($D$15="",INDEX(orderHistory[inv_amount],SMALL(IF(ISNUMBER(MATCH(orderHistory[status],$D$11,0)),MATCH(ROW(orderHistory[customer]),ROW(orderHistory[customer])),""),ROWS($A$15:A17)+$B$3)),INDEX(orderHistory[inv_amount],SMALL(IF(ISNUMBER(MATCH(orderHistory[status],$D$11,0)*MATCH(YEAR(orderHistory[invoice_date]),$D$15,0)),MATCH(ROW(orderHistory[customer]),ROW(orderHistory[customer])),""),ROWS($A$15:A17)+$B$3))),IF($D$15="",INDEX(orderHistory[inv_amount],SMALL(IF(ISNUMBER(MATCH(orderHistory[status],$D$11,0)*MATCH(orderHistory[order_type],$D$13,0)),MATCH(ROW(orderHistory[customer]),ROW(orderHistory[customer])),""),ROWS($A$15:A17)+$B$3)),INDEX(orderHistory[inv_amount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inv_amount],SMALL(IF(ISNUMBER(MATCH(orderHistory[customer],$D$9,0)),MATCH(ROW(orderHistory[customer]),ROW(orderHistory[customer])),""),ROWS($A$15:A17)+$B$3)),INDEX(orderHistory[inv_amount],SMALL(IF(ISNUMBER(MATCH(orderHistory[customer],$D$9,0)*MATCH(YEAR(orderHistory[invoice_date]),$D$15,0)),MATCH(ROW(orderHistory[customer]),ROW(orderHistory[customer])),""),ROWS($A$15:A17)+$B$3))),IF($D$15="",INDEX(orderHistory[inv_amount],SMALL(IF(ISNUMBER(MATCH(orderHistory[customer],$D$9,0)*MATCH(orderHistory[order_type],$D$13,0)),MATCH(ROW(orderHistory[customer]),ROW(orderHistory[customer])),""),ROWS($A$15:A17)+$B$3)),INDEX(orderHistory[inv_amount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inv_amount],SMALL(IF(ISNUMBER(MATCH(orderHistory[customer],$D$9,0)*MATCH(orderHistory[status],$D$11,0)),MATCH(ROW(orderHistory[customer]),ROW(orderHistory[customer])),""),ROWS($A$15:A17)+$B$3)),INDEX(orderHistory[inv_amount],SMALL(IF(ISNUMBER(MATCH(orderHistory[customer],$D$9,0)*MATCH(orderHistory[status],$D$11,0)*MATCH(YEAR(orderHistory[inv_amount]),$D$15,0)),MATCH(ROW(orderHistory[customer]),ROW(orderHistory[customer])),""),ROWS($A$15:A17)+$B$3))),IF($D$15="",INDEX(orderHistory[inv_amount],SMALL(IF(ISNUMBER(MATCH(orderHistory[customer],$D$9,0)*MATCH(orderHistory[status],$D$11,0)*MATCH(orderHistory[order_type],$D$13,0)),MATCH(ROW(orderHistory[customer]),ROW(orderHistory[customer])),""),ROWS($A$15:A17)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10633.92</v>
      </c>
      <c r="S12" s="465" t="str">
        <f t="array" ref="S12">IFERROR(IF($D$9="",IF($D$11="",IF($D$13="",IF($D$15="",INDEX(orderHistory[lock_goods],SMALL(MATCH(ROW(orderHistory[customer]),ROW(orderHistory[customer])),ROWS($A$15:A17)+$B$3)),INDEX(orderHistory[lock_goods],SMALL(IF(ISNUMBER(MATCH(YEAR(orderHistory[invoice_date]),$D$15,0)),MATCH(ROW(orderHistory[customer]),ROW(orderHistory[customer])),""),ROWS($A$15:A17)+$B$3))),IF($D$15="",INDEX(orderHistory[lock_goods],SMALL(IF(ISNUMBER(MATCH(orderHistory[order_type],$D$13,0)),MATCH(ROW(orderHistory[customer]),ROW(orderHistory[customer])),""),ROWS($A$15:A17)+$B$3)),INDEX(orderHistory[lock_goods],SMALL(IF(ISNUMBER(MATCH(orderHistory[order_type],$D$13,0)*MATCH(YEAR(orderHistory[invoice_date]),$D$15,0)),MATCH(ROW(orderHistory[customer]),ROW(orderHistory[customer])),""),ROWS($A$15:A17)+$B$3)))),IF($D$13="",IF($D$15="",INDEX(orderHistory[lock_goods],SMALL(IF(ISNUMBER(MATCH(orderHistory[status],$D$11,0)),MATCH(ROW(orderHistory[customer]),ROW(orderHistory[customer])),""),ROWS($A$15:A17)+$B$3)),INDEX(orderHistory[lock_goods],SMALL(IF(ISNUMBER(MATCH(orderHistory[status],$D$11,0)*MATCH(YEAR(orderHistory[invoice_date]),$D$15,0)),MATCH(ROW(orderHistory[customer]),ROW(orderHistory[customer])),""),ROWS($A$15:A17)+$B$3))),IF($D$15="",INDEX(orderHistory[lock_goods],SMALL(IF(ISNUMBER(MATCH(orderHistory[status],$D$11,0)*MATCH(orderHistory[order_type],$D$13,0)),MATCH(ROW(orderHistory[customer]),ROW(orderHistory[customer])),""),ROWS($A$15:A17)+$B$3)),INDEX(orderHistory[lock_goods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lock_goods],SMALL(IF(ISNUMBER(MATCH(orderHistory[customer],$D$9,0)),MATCH(ROW(orderHistory[customer]),ROW(orderHistory[customer])),""),ROWS($A$15:A17)+$B$3)),INDEX(orderHistory[lock_goods],SMALL(IF(ISNUMBER(MATCH(orderHistory[customer],$D$9,0)*MATCH(YEAR(orderHistory[invoice_date]),$D$15,0)),MATCH(ROW(orderHistory[customer]),ROW(orderHistory[customer])),""),ROWS($A$15:A17)+$B$3))),IF($D$15="",INDEX(orderHistory[lock_goods],SMALL(IF(ISNUMBER(MATCH(orderHistory[customer],$D$9,0)*MATCH(orderHistory[order_type],$D$13,0)),MATCH(ROW(orderHistory[customer]),ROW(orderHistory[customer])),""),ROWS($A$15:A17)+$B$3)),INDEX(orderHistory[lock_goods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lock_goods],SMALL(IF(ISNUMBER(MATCH(orderHistory[customer],$D$9,0)*MATCH(orderHistory[status],$D$11,0)),MATCH(ROW(orderHistory[customer]),ROW(orderHistory[customer])),""),ROWS($A$15:A17)+$B$3)),INDEX(orderHistory[lock_goods],SMALL(IF(ISNUMBER(MATCH(orderHistory[customer],$D$9,0)*MATCH(orderHistory[status],$D$11,0)*MATCH(YEAR(orderHistory[payed]),$D$15,0)),MATCH(ROW(orderHistory[customer]),ROW(orderHistory[customer])),""),ROWS($A$15:A17)+$B$3))),IF($D$15="",INDEX(orderHistory[lock_goods],SMALL(IF(ISNUMBER(MATCH(orderHistory[customer],$D$9,0)*MATCH(orderHistory[status],$D$11,0)*MATCH(orderHistory[order_type],$D$13,0)),MATCH(ROW(orderHistory[customer]),ROW(orderHistory[customer])),""),ROWS($A$15:A17)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GOODS SENT</v>
      </c>
      <c r="T12" s="388" t="b">
        <f t="array" ref="T12">IFERROR(IF($D$9="",IF($D$11="",IF($D$13="",IF($D$15="",INDEX(orderHistory[payed],SMALL(MATCH(ROW(orderHistory[customer]),ROW(orderHistory[customer])),ROWS($A$15:A17)+$B$3)),INDEX(orderHistory[payed],SMALL(IF(ISNUMBER(MATCH(YEAR(orderHistory[invoice_date]),$D$15,0)),MATCH(ROW(orderHistory[customer]),ROW(orderHistory[customer])),""),ROWS($A$15:A17)+$B$3))),IF($D$15="",INDEX(orderHistory[payed],SMALL(IF(ISNUMBER(MATCH(orderHistory[order_type],$D$13,0)),MATCH(ROW(orderHistory[customer]),ROW(orderHistory[customer])),""),ROWS($A$15:A17)+$B$3)),INDEX(orderHistory[payed],SMALL(IF(ISNUMBER(MATCH(orderHistory[order_type],$D$13,0)*MATCH(YEAR(orderHistory[invoice_date]),$D$15,0)),MATCH(ROW(orderHistory[customer]),ROW(orderHistory[customer])),""),ROWS($A$15:A17)+$B$3)))),IF($D$13="",IF($D$15="",INDEX(orderHistory[payed],SMALL(IF(ISNUMBER(MATCH(orderHistory[status],$D$11,0)),MATCH(ROW(orderHistory[customer]),ROW(orderHistory[customer])),""),ROWS($A$15:A17)+$B$3)),INDEX(orderHistory[payed],SMALL(IF(ISNUMBER(MATCH(orderHistory[status],$D$11,0)*MATCH(YEAR(orderHistory[invoice_date]),$D$15,0)),MATCH(ROW(orderHistory[customer]),ROW(orderHistory[customer])),""),ROWS($A$15:A17)+$B$3))),IF($D$15="",INDEX(orderHistory[payed],SMALL(IF(ISNUMBER(MATCH(orderHistory[status],$D$11,0)*MATCH(orderHistory[order_type],$D$13,0)),MATCH(ROW(orderHistory[customer]),ROW(orderHistory[customer])),""),ROWS($A$15:A17)+$B$3)),INDEX(orderHistory[payed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payed],SMALL(IF(ISNUMBER(MATCH(orderHistory[customer],$D$9,0)),MATCH(ROW(orderHistory[customer]),ROW(orderHistory[customer])),""),ROWS($A$15:A17)+$B$3)),INDEX(orderHistory[payed],SMALL(IF(ISNUMBER(MATCH(orderHistory[customer],$D$9,0)*MATCH(YEAR(orderHistory[invoice_date]),$D$15,0)),MATCH(ROW(orderHistory[customer]),ROW(orderHistory[customer])),""),ROWS($A$15:A17)+$B$3))),IF($D$15="",INDEX(orderHistory[payed],SMALL(IF(ISNUMBER(MATCH(orderHistory[customer],$D$9,0)*MATCH(orderHistory[order_type],$D$13,0)),MATCH(ROW(orderHistory[customer]),ROW(orderHistory[customer])),""),ROWS($A$15:A17)+$B$3)),INDEX(orderHistory[payed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payed],SMALL(IF(ISNUMBER(MATCH(orderHistory[customer],$D$9,0)*MATCH(orderHistory[status],$D$11,0)),MATCH(ROW(orderHistory[customer]),ROW(orderHistory[customer])),""),ROWS($A$15:A17)+$B$3)),INDEX(orderHistory[payed],SMALL(IF(ISNUMBER(MATCH(orderHistory[customer],$D$9,0)*MATCH(orderHistory[status],$D$11,0)*MATCH(YEAR(orderHistory[payed]),$D$15,0)),MATCH(ROW(orderHistory[customer]),ROW(orderHistory[customer])),""),ROWS($A$15:A17)+$B$3))),IF($D$15="",INDEX(orderHistory[payed],SMALL(IF(ISNUMBER(MATCH(orderHistory[customer],$D$9,0)*MATCH(orderHistory[status],$D$11,0)*MATCH(orderHistory[order_type],$D$13,0)),MATCH(ROW(orderHistory[customer]),ROW(orderHistory[customer])),""),ROWS($A$15:A17)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1</v>
      </c>
      <c r="U12" s="383" t="str">
        <f t="array" ref="U12">IFERROR(IF($D$9="",IF($D$11="",IF($D$13="",IF($D$15="",INDEX(orderHistory[shipping_method],SMALL(MATCH(ROW(orderHistory[customer]),ROW(orderHistory[customer])),ROWS($A$15:A17)+$B$3)),INDEX(orderHistory[shipping_method],SMALL(IF(ISNUMBER(MATCH(YEAR(orderHistory[invoice_date]),$D$15,0)),MATCH(ROW(orderHistory[customer]),ROW(orderHistory[customer])),""),ROWS($A$15:A17)+$B$3))),IF($D$15="",INDEX(orderHistory[shipping_method],SMALL(IF(ISNUMBER(MATCH(orderHistory[order_type],$D$13,0)),MATCH(ROW(orderHistory[customer]),ROW(orderHistory[customer])),""),ROWS($A$15:A17)+$B$3)),INDEX(orderHistory[shipping_method],SMALL(IF(ISNUMBER(MATCH(orderHistory[order_type],$D$13,0)*MATCH(YEAR(orderHistory[invoice_date]),$D$15,0)),MATCH(ROW(orderHistory[customer]),ROW(orderHistory[customer])),""),ROWS($A$15:A17)+$B$3)))),IF($D$13="",IF($D$15="",INDEX(orderHistory[shipping_method],SMALL(IF(ISNUMBER(MATCH(orderHistory[status],$D$11,0)),MATCH(ROW(orderHistory[customer]),ROW(orderHistory[customer])),""),ROWS($A$15:A17)+$B$3)),INDEX(orderHistory[shipping_method],SMALL(IF(ISNUMBER(MATCH(orderHistory[status],$D$11,0)*MATCH(YEAR(orderHistory[invoice_date]),$D$15,0)),MATCH(ROW(orderHistory[customer]),ROW(orderHistory[customer])),""),ROWS($A$15:A17)+$B$3))),IF($D$15="",INDEX(orderHistory[shipping_method],SMALL(IF(ISNUMBER(MATCH(orderHistory[status],$D$11,0)*MATCH(orderHistory[order_type],$D$13,0)),MATCH(ROW(orderHistory[customer]),ROW(orderHistory[customer])),""),ROWS($A$15:A17)+$B$3)),INDEX(orderHistory[shipping_method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shipping_method],SMALL(IF(ISNUMBER(MATCH(orderHistory[customer],$D$9,0)),MATCH(ROW(orderHistory[customer]),ROW(orderHistory[customer])),""),ROWS($A$15:A17)+$B$3)),INDEX(orderHistory[shipping_method],SMALL(IF(ISNUMBER(MATCH(orderHistory[customer],$D$9,0)*MATCH(YEAR(orderHistory[invoice_date]),$D$15,0)),MATCH(ROW(orderHistory[customer]),ROW(orderHistory[customer])),""),ROWS($A$15:A17)+$B$3))),IF($D$15="",INDEX(orderHistory[shipping_method],SMALL(IF(ISNUMBER(MATCH(orderHistory[customer],$D$9,0)*MATCH(orderHistory[order_type],$D$13,0)),MATCH(ROW(orderHistory[customer]),ROW(orderHistory[customer])),""),ROWS($A$15:A17)+$B$3)),INDEX(orderHistory[shipping_method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shipping_method],SMALL(IF(ISNUMBER(MATCH(orderHistory[customer],$D$9,0)*MATCH(orderHistory[status],$D$11,0)),MATCH(ROW(orderHistory[customer]),ROW(orderHistory[customer])),""),ROWS($A$15:A17)+$B$3)),INDEX(orderHistory[shipping_method],SMALL(IF(ISNUMBER(MATCH(orderHistory[customer],$D$9,0)*MATCH(orderHistory[status],$D$11,0)*MATCH(YEAR(orderHistory[shipping_method]),$D$15,0)),MATCH(ROW(orderHistory[customer]),ROW(orderHistory[customer])),""),ROWS($A$15:A17)+$B$3))),IF($D$15="",INDEX(orderHistory[shipping_method],SMALL(IF(ISNUMBER(MATCH(orderHistory[customer],$D$9,0)*MATCH(orderHistory[status],$D$11,0)*MATCH(orderHistory[order_type],$D$13,0)),MATCH(ROW(orderHistory[customer]),ROW(orderHistory[customer])),""),ROWS($A$15:A17)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BY ROAD</v>
      </c>
      <c r="V12" s="388" t="str">
        <f t="array" ref="V12">IFERROR(IF($D$9="",IF($D$11="",IF($D$13="",IF($D$15="",INDEX(orderHistory[status],SMALL(MATCH(ROW(orderHistory[customer]),ROW(orderHistory[customer])),ROWS($A$15:A17)+$B$3)),INDEX(orderHistory[status],SMALL(IF(ISNUMBER(MATCH(YEAR(orderHistory[invoice_date]),$D$15,0)),MATCH(ROW(orderHistory[customer]),ROW(orderHistory[customer])),""),ROWS($A$15:A17)+$B$3))),IF($D$15="",INDEX(orderHistory[status],SMALL(IF(ISNUMBER(MATCH(orderHistory[order_type],$D$13,0)),MATCH(ROW(orderHistory[customer]),ROW(orderHistory[customer])),""),ROWS($A$15:A17)+$B$3)),INDEX(orderHistory[status],SMALL(IF(ISNUMBER(MATCH(orderHistory[order_type],$D$13,0)*MATCH(YEAR(orderHistory[invoice_date]),$D$15,0)),MATCH(ROW(orderHistory[customer]),ROW(orderHistory[customer])),""),ROWS($A$15:A17)+$B$3)))),IF($D$13="",IF($D$15="",INDEX(orderHistory[status],SMALL(IF(ISNUMBER(MATCH(orderHistory[status],$D$11,0)),MATCH(ROW(orderHistory[customer]),ROW(orderHistory[customer])),""),ROWS($A$15:A17)+$B$3)),INDEX(orderHistory[status],SMALL(IF(ISNUMBER(MATCH(orderHistory[status],$D$11,0)*MATCH(YEAR(orderHistory[invoice_date]),$D$15,0)),MATCH(ROW(orderHistory[customer]),ROW(orderHistory[customer])),""),ROWS($A$15:A17)+$B$3))),IF($D$15="",INDEX(orderHistory[status],SMALL(IF(ISNUMBER(MATCH(orderHistory[status],$D$11,0)*MATCH(orderHistory[order_type],$D$13,0)),MATCH(ROW(orderHistory[customer]),ROW(orderHistory[customer])),""),ROWS($A$15:A17)+$B$3)),INDEX(orderHistory[status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status],SMALL(IF(ISNUMBER(MATCH(orderHistory[customer],$D$9,0)),MATCH(ROW(orderHistory[customer]),ROW(orderHistory[customer])),""),ROWS($A$15:A17)+$B$3)),INDEX(orderHistory[status],SMALL(IF(ISNUMBER(MATCH(orderHistory[customer],$D$9,0)*MATCH(YEAR(orderHistory[invoice_date]),$D$15,0)),MATCH(ROW(orderHistory[customer]),ROW(orderHistory[customer])),""),ROWS($A$15:A17)+$B$3))),IF($D$15="",INDEX(orderHistory[status],SMALL(IF(ISNUMBER(MATCH(orderHistory[customer],$D$9,0)*MATCH(orderHistory[order_type],$D$13,0)),MATCH(ROW(orderHistory[customer]),ROW(orderHistory[customer])),""),ROWS($A$15:A17)+$B$3)),INDEX(orderHistory[status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status],SMALL(IF(ISNUMBER(MATCH(orderHistory[customer],$D$9,0)*MATCH(orderHistory[status],$D$11,0)),MATCH(ROW(orderHistory[customer]),ROW(orderHistory[customer])),""),ROWS($A$15:A17)+$B$3)),INDEX(orderHistory[status],SMALL(IF(ISNUMBER(MATCH(orderHistory[customer],$D$9,0)*MATCH(orderHistory[status],$D$11,0)*MATCH(YEAR(orderHistory[status]),$D$15,0)),MATCH(ROW(orderHistory[customer]),ROW(orderHistory[customer])),""),ROWS($A$15:A17)+$B$3))),IF($D$15="",INDEX(orderHistory[status],SMALL(IF(ISNUMBER(MATCH(orderHistory[customer],$D$9,0)*MATCH(orderHistory[status],$D$11,0)*MATCH(orderHistory[order_type],$D$13,0)),MATCH(ROW(orderHistory[customer]),ROW(orderHistory[customer])),""),ROWS($A$15:A17)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SHIPPED</v>
      </c>
      <c r="W12" s="547" t="str">
        <f t="array" ref="W12">IFERROR(IF($D$9="",IF($D$11="",IF($D$13="",IF($D$15="",INDEX(orderHistory[custom_docs],SMALL(MATCH(ROW(orderHistory[customer]),ROW(orderHistory[customer])),ROWS($A$15:A17)+$B$3)),INDEX(orderHistory[custom_docs],SMALL(IF(ISNUMBER(MATCH(YEAR(orderHistory[invoice_date]),$D$15,0)),MATCH(ROW(orderHistory[customer]),ROW(orderHistory[customer])),""),ROWS($A$15:A17)+$B$3))),IF($D$15="",INDEX(orderHistory[custom_docs],SMALL(IF(ISNUMBER(MATCH(orderHistory[order_type],$D$13,0)),MATCH(ROW(orderHistory[customer]),ROW(orderHistory[customer])),""),ROWS($A$15:A17)+$B$3)),INDEX(orderHistory[custom_docs],SMALL(IF(ISNUMBER(MATCH(orderHistory[order_type],$D$13,0)*MATCH(YEAR(orderHistory[invoice_date]),$D$15,0)),MATCH(ROW(orderHistory[customer]),ROW(orderHistory[customer])),""),ROWS($A$15:A17)+$B$3)))),IF($D$13="",IF($D$15="",INDEX(orderHistory[custom_docs],SMALL(IF(ISNUMBER(MATCH(orderHistory[status],$D$11,0)),MATCH(ROW(orderHistory[customer]),ROW(orderHistory[customer])),""),ROWS($A$15:A17)+$B$3)),INDEX(orderHistory[custom_docs],SMALL(IF(ISNUMBER(MATCH(orderHistory[status],$D$11,0)*MATCH(YEAR(orderHistory[invoice_date]),$D$15,0)),MATCH(ROW(orderHistory[customer]),ROW(orderHistory[customer])),""),ROWS($A$15:A17)+$B$3))),IF($D$15="",INDEX(orderHistory[custom_docs],SMALL(IF(ISNUMBER(MATCH(orderHistory[status],$D$11,0)*MATCH(orderHistory[order_type],$D$13,0)),MATCH(ROW(orderHistory[customer]),ROW(orderHistory[customer])),""),ROWS($A$15:A17)+$B$3)),INDEX(orderHistory[custom_docs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custom_docs],SMALL(IF(ISNUMBER(MATCH(orderHistory[customer],$D$9,0)),MATCH(ROW(orderHistory[customer]),ROW(orderHistory[customer])),""),ROWS($A$15:A17)+$B$3)),INDEX(orderHistory[custom_docs],SMALL(IF(ISNUMBER(MATCH(orderHistory[customer],$D$9,0)*MATCH(YEAR(orderHistory[invoice_date]),$D$15,0)),MATCH(ROW(orderHistory[customer]),ROW(orderHistory[customer])),""),ROWS($A$15:A17)+$B$3))),IF($D$15="",INDEX(orderHistory[custom_docs],SMALL(IF(ISNUMBER(MATCH(orderHistory[customer],$D$9,0)*MATCH(orderHistory[order_type],$D$13,0)),MATCH(ROW(orderHistory[customer]),ROW(orderHistory[customer])),""),ROWS($A$15:A17)+$B$3)),INDEX(orderHistory[custom_docs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custom_docs],SMALL(IF(ISNUMBER(MATCH(orderHistory[customer],$D$9,0)*MATCH(orderHistory[status],$D$11,0)),MATCH(ROW(orderHistory[customer]),ROW(orderHistory[customer])),""),ROWS($A$15:A17)+$B$3)),INDEX(orderHistory[custom_docs],SMALL(IF(ISNUMBER(MATCH(orderHistory[customer],$D$9,0)*MATCH(orderHistory[status],$D$11,0)*MATCH(YEAR(orderHistory[status]),$D$15,0)),MATCH(ROW(orderHistory[customer]),ROW(orderHistory[customer])),""),ROWS($A$15:A17)+$B$3))),IF($D$15="",INDEX(orderHistory[custom_docs],SMALL(IF(ISNUMBER(MATCH(orderHistory[customer],$D$9,0)*MATCH(orderHistory[status],$D$11,0)*MATCH(orderHistory[order_type],$D$13,0)),MATCH(ROW(orderHistory[customer]),ROW(orderHistory[customer])),""),ROWS($A$15:A17)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OK</v>
      </c>
      <c r="AO12" s="263"/>
      <c r="AQ12" s="306"/>
      <c r="AR12" s="291"/>
      <c r="AS12" s="291"/>
      <c r="AT12" s="291"/>
      <c r="AU12" s="271"/>
      <c r="AW12" s="306"/>
      <c r="AX12" s="322"/>
      <c r="AZ12" s="278"/>
      <c r="BD12" s="306"/>
      <c r="BE12" s="306"/>
      <c r="BF12" s="312"/>
      <c r="BG12" s="312"/>
      <c r="BJ12" s="271"/>
      <c r="BK12" s="321"/>
      <c r="BL12" s="297"/>
      <c r="BM12" s="298"/>
      <c r="BN12" s="297"/>
      <c r="BO12" s="298"/>
      <c r="BX12" s="263" t="s">
        <v>559</v>
      </c>
      <c r="BZ12" s="412" t="s">
        <v>112</v>
      </c>
      <c r="CA12" s="401" t="str">
        <f>IFERROR(IF(BZ12="","",INDEX(bhpc_data[description],MATCH(BZ12,bhpc_data[sku],0))),"")</f>
        <v>BHPC PRESTIGE TOUR 100ML EDP MEN</v>
      </c>
      <c r="CB12" s="403">
        <v>48</v>
      </c>
      <c r="CC12" s="885">
        <v>15.849721162312886</v>
      </c>
      <c r="CD12" s="411"/>
      <c r="CE12" s="890"/>
      <c r="CF12" s="404"/>
      <c r="CG12" s="405">
        <f>IFERROR(ROUNDUP(CB12/INDEX(bhpc_data[units_per_carton],MATCH(BZ12,bhpc_data[sku],0)),0),"")</f>
        <v>2</v>
      </c>
      <c r="CH12" s="406">
        <f>IFERROR(ROUNDUP(CD12/INDEX(bhpc_data[units_per_carton],MATCH(BZ12,bhpc_data[sku],0)),0),"")</f>
        <v>0</v>
      </c>
      <c r="CI12" s="406" t="str">
        <f>IFERROR(ROUNDUP(CF12/INDEX(bhpc_data[units_per_carton],MATCH(BZ12,bhpc_data[sku])),0),"")</f>
        <v/>
      </c>
      <c r="CJ12" s="406">
        <f>IFERROR(((CB12+CD12+CF12)/INDEX(bhpc_data[units_per_carton],MATCH(BZ12,bhpc_data[sku],0)))*INDEX(bhpc_data[net_weight],MATCH(BZ12,bhpc_data[sku],0)),"")</f>
        <v>18.96</v>
      </c>
      <c r="CK12" s="406">
        <f>IFERROR(((CB12+CD12+CF12)/INDEX(bhpc_data[units_per_carton],MATCH(BZ12,bhpc_data[sku],0)))*INDEX(bhpc_data[gross_weight],MATCH(BZ12,bhpc_data[sku],0)),"")</f>
        <v>19.8</v>
      </c>
      <c r="CL12" s="602">
        <f>IFERROR((CB12+CD12+CF12)/INDEX(bhpc_data[units_per_carton],MATCH(BZ12,bhpc_data[sku],0))*INDEX(bhpc_data[length],MATCH(BZ12,bhpc_data[sku],0))*INDEX(bhpc_data[width],MATCH(BZ12,bhpc_data[sku],0))*INDEX(bhpc_data[height],MATCH(BZ12,bhpc_data[sku],0))/1000000000,"")</f>
        <v>3.4595000000000001E-2</v>
      </c>
      <c r="CM12" s="407" t="str">
        <f>IFERROR(INDEX(bhpc_data[category],MATCH(BZ12,bhpc_data[sku],0)),"")</f>
        <v>PRESTIGE</v>
      </c>
      <c r="CN12" s="407">
        <f>IFERROR(INDEX(bhpc_data[size],MATCH(BZ12,bhpc_data[sku],0)),"")</f>
        <v>100</v>
      </c>
      <c r="CO12" s="408" t="str">
        <f>IFERROR(INDEX(bhpc_data[hs_code],MATCH(BZ12,bhpc_data[sku],0)),"")</f>
        <v>33030010</v>
      </c>
      <c r="CP12" s="489" t="str">
        <f>IFERROR(INDEX(bhpc_data[sku_geko],MATCH(BZ12,bhpc_data[sku],0)),"")</f>
        <v>P06002</v>
      </c>
      <c r="CQ12" s="404"/>
      <c r="CR12" s="517">
        <f>IFERROR(IF(BZ12="","",IF($BX$15="SALE",INDEX(inventory[COSTO UNITARIO],MATCH(BZ12,inventory[SKU],0)),IF($BX$15="SAMPLING",INDEX(inventory[COSTO UNITARIO],MATCH(BZ12,inventory[SKU],0)),""))),"")</f>
        <v>11.68</v>
      </c>
      <c r="CS12" s="517">
        <f>IFERROR(IF(BZ12="","",(CB12+CD12)*CR12),"")</f>
        <v>560.64</v>
      </c>
      <c r="CT12" s="896">
        <f>IF(BZ12="","",CB12*CC12+CD12*CE12)</f>
        <v>760.78661579101845</v>
      </c>
      <c r="CU12" s="469" t="str">
        <f t="shared" si="0"/>
        <v>OK</v>
      </c>
      <c r="CW12" s="80"/>
      <c r="CX12" s="84" t="s">
        <v>880</v>
      </c>
      <c r="CY12" s="209">
        <f>COUNTA($CD$10:$CD$110)</f>
        <v>0</v>
      </c>
      <c r="CZ12" s="240" t="s">
        <v>1026</v>
      </c>
      <c r="DA12" s="521">
        <f>SUM(CS10:CS110)</f>
        <v>5606.4000000000005</v>
      </c>
      <c r="DB12" s="77"/>
      <c r="DH12" s="215"/>
      <c r="EC12" s="263" t="s">
        <v>844</v>
      </c>
      <c r="EE12" s="445" t="str" cm="1">
        <f t="array" ref="EE12">IFERROR(IF($EC$9="",IF($EC$11="",IF($EC$13="",INDEX(bhpc_data[sku],SMALL(MATCH(ROW(bhpc_data[sku]),ROW(bhpc_data[sku])),ROWS($A$15:A17)+$B$3)),INDEX(bhpc_data[sku],SMALL(IF(ISNUMBER(MATCH(bhpc_data[size],$EC$13,0)),MATCH(ROW(bhpc_data[sku]),ROW(bhpc_data[sku])),""),ROWS($A$15:A17)+$B$3))),IF($EC$13="",INDEX(bhpc_data[sku],SMALL(IF(ISNUMBER(MATCH(bhpc_data[sex],$EC$11,0)),MATCH(ROW(bhpc_data[sku]),ROW(bhpc_data[sku])),""),ROWS($A$15:A17)+$B$3)),INDEX(bhpc_data[sku],SMALL(IF(ISNUMBER(MATCH(bhpc_data[sex],$EC$11,0)*MATCH(bhpc_data[size],$EC$13,0)),MATCH(ROW(bhpc_data[sku]),ROW(bhpc_data[sku])),""),ROWS($A$15:A17)+$B$3)))),IF($EC$11="",IF($EC$13="",INDEX(bhpc_data[sku],SMALL(IF(ISNUMBER(MATCH(bhpc_data[category],$EC$9,0)),MATCH(ROW(bhpc_data[sku]),ROW(bhpc_data[sku])),""),ROWS($A$15:A17)+$B$3)),INDEX(bhpc_data[sku],SMALL(IF(ISNUMBER(MATCH(bhpc_data[category],$EC$9,0)*MATCH(bhpc_data[size],$EC$13,0)),MATCH(ROW(bhpc_data[sku]),ROW(bhpc_data[sku])),""),ROWS($A$15:A17)+$B$3))),IF($EC$13="",INDEX(bhpc_data[sku],SMALL(IF(ISNUMBER(MATCH(bhpc_data[category],$EC$9,0)*MATCH(bhpc_data[sex],$EC$11,0)),MATCH(ROW(bhpc_data[sku]),ROW(bhpc_data[sku])),""),ROWS($A$15:A17)+$B$3)),INDEX(bhpc_data[sku],SMALL(IF(ISNUMBER(MATCH(bhpc_data[category],$EC$9,0)*MATCH(bhpc_data[sex],$EC$11,0)*MATCH(bhpc_data[size],$EC$13,0)),MATCH(ROW(bhpc_data[sku]),ROW(bhpc_data[sku])),""),ROWS($A$15:A17)+$B$3))))),"")</f>
        <v>P05008L</v>
      </c>
      <c r="EF12" s="446" t="str" cm="1">
        <f t="array" ref="EF12">IFERROR(IF($EC$9="",IF($EC$11="",IF($EC$13="",INDEX(bhpc_data[description],SMALL(MATCH(ROW(bhpc_data[sku]),ROW(bhpc_data[sku])),ROWS($A$15:A17)+$B$3)),INDEX(bhpc_data[description],SMALL(IF(ISNUMBER(MATCH(bhpc_data[size],$EC$13,0)),MATCH(ROW(bhpc_data[sku]),ROW(bhpc_data[sku])),""),ROWS($A$15:A17)+$B$3))),IF($EC$13="",INDEX(bhpc_data[description],SMALL(IF(ISNUMBER(MATCH(bhpc_data[sex],$EC$11,0)),MATCH(ROW(bhpc_data[sku]),ROW(bhpc_data[sku])),""),ROWS($A$15:A17)+$B$3)),INDEX(bhpc_data[description],SMALL(IF(ISNUMBER(MATCH(bhpc_data[sex],$EC$11,0)*MATCH(bhpc_data[size],$EC$13,0)),MATCH(ROW(bhpc_data[sku]),ROW(bhpc_data[sku])),""),ROWS($A$15:A17)+$B$3)))),IF($EC$11="",IF($EC$13="",INDEX(bhpc_data[description],SMALL(IF(ISNUMBER(MATCH(bhpc_data[category],$EC$9,0)),MATCH(ROW(bhpc_data[sku]),ROW(bhpc_data[sku])),""),ROWS($A$15:A17)+$B$3)),INDEX(bhpc_data[description],SMALL(IF(ISNUMBER(MATCH(bhpc_data[category],$EC$9,0)*MATCH(bhpc_data[size],$EC$13,0)),MATCH(ROW(bhpc_data[sku]),ROW(bhpc_data[sku])),""),ROWS($A$15:A17)+$B$3))),IF($EC$13="",INDEX(bhpc_data[description],SMALL(IF(ISNUMBER(MATCH(bhpc_data[category],$EC$9,0)*MATCH(bhpc_data[sex],$EC$11,0)),MATCH(ROW(bhpc_data[sku]),ROW(bhpc_data[sku])),""),ROWS($A$15:A17)+$B$3)),INDEX(bhpc_data[description],SMALL(IF(ISNUMBER(MATCH(bhpc_data[category],$EC$9,0)*MATCH(bhpc_data[sex],$EC$11,0)*MATCH(bhpc_data[size],$EC$13,0)),MATCH(ROW(bhpc_data[sku]),ROW(bhpc_data[sku])),""),ROWS($A$15:A17)+$B$3))))),"")</f>
        <v>BHPC SPORT MEN 1 EDT 50ML (UNBOXED)</v>
      </c>
      <c r="EG12" s="447">
        <f>IFERROR(IF('BHPC MANAGER'!$EE12="","",INDEX(inventory[ESISTENZA],MATCH('BHPC MANAGER'!$EE12,inventory[SKU],0))),0)</f>
        <v>20</v>
      </c>
      <c r="EH12" s="448">
        <v>-20</v>
      </c>
      <c r="EI12" s="448">
        <f t="shared" si="1"/>
        <v>0</v>
      </c>
      <c r="EJ12" s="449">
        <v>0</v>
      </c>
      <c r="EK12" s="450">
        <f t="shared" si="2"/>
        <v>0</v>
      </c>
      <c r="FD12" s="496"/>
      <c r="FE12" s="215" t="s">
        <v>1071</v>
      </c>
      <c r="FF12" s="502">
        <v>45505</v>
      </c>
      <c r="FG12" s="263"/>
      <c r="FH12" s="497"/>
      <c r="FI12" s="263"/>
      <c r="FJ12" s="496"/>
      <c r="FK12" s="215" t="s">
        <v>1071</v>
      </c>
      <c r="FL12" s="502">
        <v>45505</v>
      </c>
      <c r="FM12" s="263"/>
      <c r="FN12" s="497"/>
      <c r="FO12" s="263"/>
      <c r="FP12" s="263"/>
      <c r="FQ12" s="263"/>
      <c r="FR12" s="263"/>
      <c r="FS12" s="263"/>
      <c r="FT12" s="263"/>
      <c r="FU12" s="263"/>
      <c r="FV12" s="263"/>
      <c r="FW12" s="263"/>
      <c r="FX12" s="263"/>
      <c r="FY12" s="263"/>
      <c r="FZ12" s="263"/>
      <c r="GA12" s="263"/>
      <c r="GB12" s="263"/>
      <c r="GC12" s="263"/>
      <c r="GD12" s="263"/>
      <c r="GE12" s="263"/>
      <c r="GF12" s="263"/>
      <c r="GG12" s="263"/>
      <c r="GH12" s="263"/>
      <c r="GI12" s="263"/>
      <c r="GJ12" s="263"/>
      <c r="GK12" s="263"/>
      <c r="GL12" s="263"/>
      <c r="GM12" s="263"/>
      <c r="GN12" s="263"/>
      <c r="GO12" s="263"/>
      <c r="GP12" s="263"/>
      <c r="GQ12" s="263"/>
      <c r="GR12" s="263"/>
      <c r="GS12" s="263"/>
      <c r="GT12" s="263"/>
      <c r="GU12" s="263"/>
      <c r="GV12" s="263"/>
      <c r="GW12" s="263"/>
      <c r="GX12" s="263"/>
      <c r="GY12" s="263"/>
      <c r="GZ12" s="263"/>
      <c r="HA12" s="263"/>
      <c r="HB12" s="263"/>
      <c r="HC12" s="263"/>
      <c r="HD12" s="263"/>
      <c r="HE12" s="263"/>
      <c r="HF12" s="263"/>
      <c r="HG12" s="263"/>
      <c r="HH12" s="263"/>
      <c r="HI12" s="263"/>
      <c r="HJ12" s="263"/>
      <c r="HK12" s="263"/>
      <c r="HL12" s="263"/>
      <c r="HM12" s="263"/>
      <c r="HN12" s="263"/>
      <c r="HO12" s="263"/>
      <c r="HP12" s="263"/>
      <c r="HQ12" s="263"/>
      <c r="HR12" s="263"/>
      <c r="HS12" s="263"/>
      <c r="HT12" s="263"/>
    </row>
    <row r="13" spans="1:702" ht="15" customHeight="1" x14ac:dyDescent="0.35">
      <c r="B13" s="140"/>
      <c r="D13" s="272" t="s">
        <v>660</v>
      </c>
      <c r="F13" s="86"/>
      <c r="G13" s="94" t="s">
        <v>560</v>
      </c>
      <c r="H13" s="76"/>
      <c r="I13" s="76"/>
      <c r="J13" s="77"/>
      <c r="L13" s="381" t="str">
        <f t="array" ref="L13">IFERROR(IF($D$9="",IF($D$11="",IF($D$13="",IF($D$15="",INDEX(orderHistory[customer],SMALL(MATCH(ROW(orderHistory[customer]),ROW(orderHistory[customer])),ROWS($A$15:A18)+$B$3)),INDEX(orderHistory[customer],SMALL(IF(ISNUMBER(MATCH(YEAR(orderHistory[invoice_date]),$D$15,0)),MATCH(ROW(orderHistory[customer]),ROW(orderHistory[customer])),""),ROWS($A$15:A18)+$B$3))),IF($D$15="",INDEX(orderHistory[customer],SMALL(IF(ISNUMBER(MATCH(orderHistory[order_type],$D$13,0)),MATCH(ROW(orderHistory[customer]),ROW(orderHistory[customer])),""),ROWS($A$15:A18)+$B$3)),INDEX(orderHistory[customer],SMALL(IF(ISNUMBER(MATCH(orderHistory[order_type],$D$13,0)*MATCH(YEAR(orderHistory[invoice_date]),$D$15,0)),MATCH(ROW(orderHistory[customer]),ROW(orderHistory[customer])),""),ROWS($A$15:A18)+$B$3)))),IF($D$13="",IF($D$15="",INDEX(orderHistory[customer],SMALL(IF(ISNUMBER(MATCH(orderHistory[status],$D$11,0)),MATCH(ROW(orderHistory[customer]),ROW(orderHistory[customer])),""),ROWS($A$15:A18)+$B$3)),INDEX(orderHistory[customer],SMALL(IF(ISNUMBER(MATCH(orderHistory[status],$D$11,0)*MATCH(YEAR(orderHistory[invoice_date]),$D$15,0)),MATCH(ROW(orderHistory[customer]),ROW(orderHistory[customer])),""),ROWS($A$15:A18)+$B$3))),IF($D$15="",INDEX(orderHistory[customer],SMALL(IF(ISNUMBER(MATCH(orderHistory[status],$D$11,0)*MATCH(orderHistory[order_type],$D$13,0)),MATCH(ROW(orderHistory[customer]),ROW(orderHistory[customer])),""),ROWS($A$15:A18)+$B$3)),INDEX(orderHistory[customer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customer],SMALL(IF(ISNUMBER(MATCH(orderHistory[customer],$D$9,0)),MATCH(ROW(orderHistory[customer]),ROW(orderHistory[customer])),""),ROWS($A$15:A18)+$B$3)),INDEX(orderHistory[customer],SMALL(IF(ISNUMBER(MATCH(orderHistory[customer],$D$9,0)*MATCH(YEAR(orderHistory[invoice_date]),$D$15,0)),MATCH(ROW(orderHistory[customer]),ROW(orderHistory[customer])),""),ROWS($A$15:A18)+$B$3))),IF($D$15="",INDEX(orderHistory[customer],SMALL(IF(ISNUMBER(MATCH(orderHistory[customer],$D$9,0)*MATCH(orderHistory[order_type],$D$13,0)),MATCH(ROW(orderHistory[customer]),ROW(orderHistory[customer])),""),ROWS($A$15:A18)+$B$3)),INDEX(orderHistory[customer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customer],SMALL(IF(ISNUMBER(MATCH(orderHistory[customer],$D$9,0)*MATCH(orderHistory[status],$D$11,0)),MATCH(ROW(orderHistory[customer]),ROW(orderHistory[customer])),""),ROWS($A$15:A18)+$B$3)),INDEX(orderHistory[customer],SMALL(IF(ISNUMBER(MATCH(orderHistory[customer],$D$9,0)*MATCH(orderHistory[status],$D$11,0)*MATCH(YEAR(orderHistory[invoice_date]),$D$15,0)),MATCH(ROW(orderHistory[customer]),ROW(orderHistory[customer])),""),ROWS($A$15:A18)+$B$3))),IF($D$15="",INDEX(orderHistory[customer],SMALL(IF(ISNUMBER(MATCH(orderHistory[customer],$D$9,0)*MATCH(orderHistory[status],$D$11,0)*MATCH(orderHistory[order_type],$D$13,0)),MATCH(ROW(orderHistory[customer]),ROW(orderHistory[customer])),""),ROWS($A$15:A18)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CIELOMED</v>
      </c>
      <c r="M13" s="382">
        <f t="array" ref="M13">IFERROR(IF($D$9="",IF($D$11="",IF($D$13="",IF($D$15="",INDEX(orderHistory[order_no],SMALL(MATCH(ROW(orderHistory[customer]),ROW(orderHistory[customer])),ROWS($A$15:A18)+$B$3)),INDEX(orderHistory[order_no],SMALL(IF(ISNUMBER(MATCH(YEAR(orderHistory[invoice_date]),$D$15,0)),MATCH(ROW(orderHistory[customer]),ROW(orderHistory[customer])),""),ROWS($A$15:A18)+$B$3))),IF($D$15="",INDEX(orderHistory[order_no],SMALL(IF(ISNUMBER(MATCH(orderHistory[order_type],$D$13,0)),MATCH(ROW(orderHistory[customer]),ROW(orderHistory[customer])),""),ROWS($A$15:A18)+$B$3)),INDEX(orderHistory[order_no],SMALL(IF(ISNUMBER(MATCH(orderHistory[order_type],$D$13,0)*MATCH(YEAR(orderHistory[invoice_date]),$D$15,0)),MATCH(ROW(orderHistory[customer]),ROW(orderHistory[customer])),""),ROWS($A$15:A18)+$B$3)))),IF($D$13="",IF($D$15="",INDEX(orderHistory[order_no],SMALL(IF(ISNUMBER(MATCH(orderHistory[status],$D$11,0)),MATCH(ROW(orderHistory[customer]),ROW(orderHistory[customer])),""),ROWS($A$15:A18)+$B$3)),INDEX(orderHistory[order_no],SMALL(IF(ISNUMBER(MATCH(orderHistory[status],$D$11,0)*MATCH(YEAR(orderHistory[invoice_date]),$D$15,0)),MATCH(ROW(orderHistory[customer]),ROW(orderHistory[customer])),""),ROWS($A$15:A18)+$B$3))),IF($D$15="",INDEX(orderHistory[order_no],SMALL(IF(ISNUMBER(MATCH(orderHistory[status],$D$11,0)*MATCH(orderHistory[order_type],$D$13,0)),MATCH(ROW(orderHistory[customer]),ROW(orderHistory[customer])),""),ROWS($A$15:A18)+$B$3)),INDEX(orderHistory[order_no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order_no],SMALL(IF(ISNUMBER(MATCH(orderHistory[customer],$D$9,0)),MATCH(ROW(orderHistory[customer]),ROW(orderHistory[customer])),""),ROWS($A$15:A18)+$B$3)),INDEX(orderHistory[order_no],SMALL(IF(ISNUMBER(MATCH(orderHistory[customer],$D$9,0)*MATCH(YEAR(orderHistory[invoice_date]),$D$15,0)),MATCH(ROW(orderHistory[customer]),ROW(orderHistory[customer])),""),ROWS($A$15:A18)+$B$3))),IF($D$15="",INDEX(orderHistory[order_no],SMALL(IF(ISNUMBER(MATCH(orderHistory[customer],$D$9,0)*MATCH(orderHistory[order_type],$D$13,0)),MATCH(ROW(orderHistory[customer]),ROW(orderHistory[customer])),""),ROWS($A$15:A18)+$B$3)),INDEX(orderHistory[order_no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order_no],SMALL(IF(ISNUMBER(MATCH(orderHistory[customer],$D$9,0)*MATCH(orderHistory[status],$D$11,0)),MATCH(ROW(orderHistory[customer]),ROW(orderHistory[customer])),""),ROWS($A$15:A18)+$B$3)),INDEX(orderHistory[order_no],SMALL(IF(ISNUMBER(MATCH(orderHistory[customer],$D$9,0)*MATCH(orderHistory[status],$D$11,0)*MATCH(YEAR(orderHistory[invoice_date]),$D$15,0)),MATCH(ROW(orderHistory[customer]),ROW(orderHistory[customer])),""),ROWS($A$15:A18)+$B$3))),IF($D$15="",INDEX(orderHistory[order_no],SMALL(IF(ISNUMBER(MATCH(orderHistory[customer],$D$9,0)*MATCH(orderHistory[status],$D$11,0)*MATCH(orderHistory[order_type],$D$13,0)),MATCH(ROW(orderHistory[customer]),ROW(orderHistory[customer])),""),ROWS($A$15:A18)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82</v>
      </c>
      <c r="N13" s="383" t="str">
        <f t="array" ref="N13">IFERROR(IF($D$9="",IF($D$11="",IF($D$13="",IF($D$15="",INDEX(orderHistory[order_type],SMALL(MATCH(ROW(orderHistory[customer]),ROW(orderHistory[customer])),ROWS($A$15:A18)+$B$3)),INDEX(orderHistory[order_type],SMALL(IF(ISNUMBER(MATCH(YEAR(orderHistory[invoice_date]),$D$15,0)),MATCH(ROW(orderHistory[customer]),ROW(orderHistory[customer])),""),ROWS($A$15:A18)+$B$3))),IF($D$15="",INDEX(orderHistory[order_type],SMALL(IF(ISNUMBER(MATCH(orderHistory[order_type],$D$13,0)),MATCH(ROW(orderHistory[customer]),ROW(orderHistory[customer])),""),ROWS($A$15:A18)+$B$3)),INDEX(orderHistory[order_type],SMALL(IF(ISNUMBER(MATCH(orderHistory[order_type],$D$13,0)*MATCH(YEAR(orderHistory[invoice_date]),$D$15,0)),MATCH(ROW(orderHistory[customer]),ROW(orderHistory[customer])),""),ROWS($A$15:A18)+$B$3)))),IF($D$13="",IF($D$15="",INDEX(orderHistory[order_type],SMALL(IF(ISNUMBER(MATCH(orderHistory[status],$D$11,0)),MATCH(ROW(orderHistory[customer]),ROW(orderHistory[customer])),""),ROWS($A$15:A18)+$B$3)),INDEX(orderHistory[order_type],SMALL(IF(ISNUMBER(MATCH(orderHistory[status],$D$11,0)*MATCH(YEAR(orderHistory[invoice_date]),$D$15,0)),MATCH(ROW(orderHistory[customer]),ROW(orderHistory[customer])),""),ROWS($A$15:A18)+$B$3))),IF($D$15="",INDEX(orderHistory[order_type],SMALL(IF(ISNUMBER(MATCH(orderHistory[status],$D$11,0)*MATCH(orderHistory[order_type],$D$13,0)),MATCH(ROW(orderHistory[customer]),ROW(orderHistory[customer])),""),ROWS($A$15:A18)+$B$3)),INDEX(orderHistory[order_type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order_type],SMALL(IF(ISNUMBER(MATCH(orderHistory[customer],$D$9,0)),MATCH(ROW(orderHistory[customer]),ROW(orderHistory[customer])),""),ROWS($A$15:A18)+$B$3)),INDEX(orderHistory[order_type],SMALL(IF(ISNUMBER(MATCH(orderHistory[customer],$D$9,0)*MATCH(YEAR(orderHistory[invoice_date]),$D$15,0)),MATCH(ROW(orderHistory[customer]),ROW(orderHistory[customer])),""),ROWS($A$15:A18)+$B$3))),IF($D$15="",INDEX(orderHistory[order_type],SMALL(IF(ISNUMBER(MATCH(orderHistory[customer],$D$9,0)*MATCH(orderHistory[order_type],$D$13,0)),MATCH(ROW(orderHistory[customer]),ROW(orderHistory[customer])),""),ROWS($A$15:A18)+$B$3)),INDEX(orderHistory[order_type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order_type],SMALL(IF(ISNUMBER(MATCH(orderHistory[customer],$D$9,0)*MATCH(orderHistory[status],$D$11,0)),MATCH(ROW(orderHistory[customer]),ROW(orderHistory[customer])),""),ROWS($A$15:A18)+$B$3)),INDEX(orderHistory[order_type],SMALL(IF(ISNUMBER(MATCH(orderHistory[customer],$D$9,0)*MATCH(orderHistory[status],$D$11,0)*MATCH(YEAR(orderHistory[invoice_date]),$D$15,0)),MATCH(ROW(orderHistory[customer]),ROW(orderHistory[customer])),""),ROWS($A$15:A18)+$B$3))),IF($D$15="",INDEX(orderHistory[order_type],SMALL(IF(ISNUMBER(MATCH(orderHistory[customer],$D$9,0)*MATCH(orderHistory[status],$D$11,0)*MATCH(orderHistory[order_type],$D$13,0)),MATCH(ROW(orderHistory[customer]),ROW(orderHistory[customer])),""),ROWS($A$15:A18)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SALE</v>
      </c>
      <c r="O13" s="384">
        <f t="array" ref="O13">IFERROR(IF($D$9="",IF($D$11="",IF($D$13="",IF($D$15="",INDEX(orderHistory[order_date],SMALL(MATCH(ROW(orderHistory[customer]),ROW(orderHistory[customer])),ROWS($A$15:A18)+$B$3)),INDEX(orderHistory[order_date],SMALL(IF(ISNUMBER(MATCH(YEAR(orderHistory[invoice_date]),$D$15,0)),MATCH(ROW(orderHistory[customer]),ROW(orderHistory[customer])),""),ROWS($A$15:A18)+$B$3))),IF($D$15="",INDEX(orderHistory[order_date],SMALL(IF(ISNUMBER(MATCH(orderHistory[order_type],$D$13,0)),MATCH(ROW(orderHistory[customer]),ROW(orderHistory[customer])),""),ROWS($A$15:A18)+$B$3)),INDEX(orderHistory[order_date],SMALL(IF(ISNUMBER(MATCH(orderHistory[order_type],$D$13,0)*MATCH(YEAR(orderHistory[invoice_date]),$D$15,0)),MATCH(ROW(orderHistory[customer]),ROW(orderHistory[customer])),""),ROWS($A$15:A18)+$B$3)))),IF($D$13="",IF($D$15="",INDEX(orderHistory[order_date],SMALL(IF(ISNUMBER(MATCH(orderHistory[status],$D$11,0)),MATCH(ROW(orderHistory[customer]),ROW(orderHistory[customer])),""),ROWS($A$15:A18)+$B$3)),INDEX(orderHistory[order_date],SMALL(IF(ISNUMBER(MATCH(orderHistory[status],$D$11,0)*MATCH(YEAR(orderHistory[invoice_date]),$D$15,0)),MATCH(ROW(orderHistory[customer]),ROW(orderHistory[customer])),""),ROWS($A$15:A18)+$B$3))),IF($D$15="",INDEX(orderHistory[order_date],SMALL(IF(ISNUMBER(MATCH(orderHistory[status],$D$11,0)*MATCH(orderHistory[order_type],$D$13,0)),MATCH(ROW(orderHistory[customer]),ROW(orderHistory[customer])),""),ROWS($A$15:A18)+$B$3)),INDEX(orderHistory[order_date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order_date],SMALL(IF(ISNUMBER(MATCH(orderHistory[customer],$D$9,0)),MATCH(ROW(orderHistory[customer]),ROW(orderHistory[customer])),""),ROWS($A$15:A18)+$B$3)),INDEX(orderHistory[order_date],SMALL(IF(ISNUMBER(MATCH(orderHistory[customer],$D$9,0)*MATCH(YEAR(orderHistory[invoice_date]),$D$15,0)),MATCH(ROW(orderHistory[customer]),ROW(orderHistory[customer])),""),ROWS($A$15:A18)+$B$3))),IF($D$15="",INDEX(orderHistory[order_date],SMALL(IF(ISNUMBER(MATCH(orderHistory[customer],$D$9,0)*MATCH(orderHistory[order_type],$D$13,0)),MATCH(ROW(orderHistory[customer]),ROW(orderHistory[customer])),""),ROWS($A$15:A18)+$B$3)),INDEX(orderHistory[order_date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order_date],SMALL(IF(ISNUMBER(MATCH(orderHistory[customer],$D$9,0)*MATCH(orderHistory[status],$D$11,0)),MATCH(ROW(orderHistory[customer]),ROW(orderHistory[customer])),""),ROWS($A$15:A18)+$B$3)),INDEX(orderHistory[order_date],SMALL(IF(ISNUMBER(MATCH(orderHistory[customer],$D$9,0)*MATCH(orderHistory[status],$D$11,0)*MATCH(YEAR(orderHistory[invoice_date]),$D$15,0)),MATCH(ROW(orderHistory[customer]),ROW(orderHistory[customer])),""),ROWS($A$15:A18)+$B$3))),IF($D$15="",INDEX(orderHistory[order_date],SMALL(IF(ISNUMBER(MATCH(orderHistory[customer],$D$9,0)*MATCH(orderHistory[status],$D$11,0)*MATCH(orderHistory[order_type],$D$13,0)),MATCH(ROW(orderHistory[customer]),ROW(orderHistory[customer])),""),ROWS($A$15:A18)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45498</v>
      </c>
      <c r="P13" s="385" t="str">
        <f t="array" ref="P13">IFERROR(IF($D$9="",IF($D$11="",IF($D$13="",IF($D$15="",INDEX(orderHistory[invoice_no],SMALL(MATCH(ROW(orderHistory[customer]),ROW(orderHistory[customer])),ROWS($A$15:A18)+$B$3)),INDEX(orderHistory[invoice_no],SMALL(IF(ISNUMBER(MATCH(YEAR(orderHistory[invoice_date]),$D$15,0)),MATCH(ROW(orderHistory[customer]),ROW(orderHistory[customer])),""),ROWS($A$15:A18)+$B$3))),IF($D$15="",INDEX(orderHistory[invoice_no],SMALL(IF(ISNUMBER(MATCH(orderHistory[order_type],$D$13,0)),MATCH(ROW(orderHistory[customer]),ROW(orderHistory[customer])),""),ROWS($A$15:A18)+$B$3)),INDEX(orderHistory[invoice_no],SMALL(IF(ISNUMBER(MATCH(orderHistory[order_type],$D$13,0)*MATCH(YEAR(orderHistory[invoice_date]),$D$15,0)),MATCH(ROW(orderHistory[customer]),ROW(orderHistory[customer])),""),ROWS($A$15:A18)+$B$3)))),IF($D$13="",IF($D$15="",INDEX(orderHistory[invoice_no],SMALL(IF(ISNUMBER(MATCH(orderHistory[status],$D$11,0)),MATCH(ROW(orderHistory[customer]),ROW(orderHistory[customer])),""),ROWS($A$15:A18)+$B$3)),INDEX(orderHistory[invoice_no],SMALL(IF(ISNUMBER(MATCH(orderHistory[status],$D$11,0)*MATCH(YEAR(orderHistory[invoice_date]),$D$15,0)),MATCH(ROW(orderHistory[customer]),ROW(orderHistory[customer])),""),ROWS($A$15:A18)+$B$3))),IF($D$15="",INDEX(orderHistory[invoice_no],SMALL(IF(ISNUMBER(MATCH(orderHistory[status],$D$11,0)*MATCH(orderHistory[order_type],$D$13,0)),MATCH(ROW(orderHistory[customer]),ROW(orderHistory[customer])),""),ROWS($A$15:A18)+$B$3)),INDEX(orderHistory[invoice_no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invoice_no],SMALL(IF(ISNUMBER(MATCH(orderHistory[customer],$D$9,0)),MATCH(ROW(orderHistory[customer]),ROW(orderHistory[customer])),""),ROWS($A$15:A18)+$B$3)),INDEX(orderHistory[invoice_no],SMALL(IF(ISNUMBER(MATCH(orderHistory[customer],$D$9,0)*MATCH(YEAR(orderHistory[invoice_date]),$D$15,0)),MATCH(ROW(orderHistory[customer]),ROW(orderHistory[customer])),""),ROWS($A$15:A18)+$B$3))),IF($D$15="",INDEX(orderHistory[invoice_no],SMALL(IF(ISNUMBER(MATCH(orderHistory[customer],$D$9,0)*MATCH(orderHistory[order_type],$D$13,0)),MATCH(ROW(orderHistory[customer]),ROW(orderHistory[customer])),""),ROWS($A$15:A18)+$B$3)),INDEX(orderHistory[invoice_no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invoice_no],SMALL(IF(ISNUMBER(MATCH(orderHistory[customer],$D$9,0)*MATCH(orderHistory[status],$D$11,0)),MATCH(ROW(orderHistory[customer]),ROW(orderHistory[customer])),""),ROWS($A$15:A18)+$B$3)),INDEX(orderHistory[invoice_no],SMALL(IF(ISNUMBER(MATCH(orderHistory[customer],$D$9,0)*MATCH(orderHistory[status],$D$11,0)*MATCH(YEAR(orderHistory[invoice_date]),$D$15,0)),MATCH(ROW(orderHistory[customer]),ROW(orderHistory[customer])),""),ROWS($A$15:A18)+$B$3))),IF($D$15="",INDEX(orderHistory[invoice_no],SMALL(IF(ISNUMBER(MATCH(orderHistory[customer],$D$9,0)*MATCH(orderHistory[status],$D$11,0)*MATCH(orderHistory[order_type],$D$13,0)),MATCH(ROW(orderHistory[customer]),ROW(orderHistory[customer])),""),ROWS($A$15:A18)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362</v>
      </c>
      <c r="Q13" s="386">
        <f t="array" ref="Q13">IFERROR(IF($D$9="",IF($D$11="",IF($D$13="",IF($D$15="",INDEX(orderHistory[invoice_date],SMALL(MATCH(ROW(orderHistory[customer]),ROW(orderHistory[customer])),ROWS($A$15:A18)+$B$3)),INDEX(orderHistory[invoice_date],SMALL(IF(ISNUMBER(MATCH(YEAR(orderHistory[invoice_date]),$D$15,0)),MATCH(ROW(orderHistory[customer]),ROW(orderHistory[customer])),""),ROWS($A$15:A18)+$B$3))),IF($D$15="",INDEX(orderHistory[invoice_date],SMALL(IF(ISNUMBER(MATCH(orderHistory[order_type],$D$13,0)),MATCH(ROW(orderHistory[customer]),ROW(orderHistory[customer])),""),ROWS($A$15:A18)+$B$3)),INDEX(orderHistory[invoice_date],SMALL(IF(ISNUMBER(MATCH(orderHistory[order_type],$D$13,0)*MATCH(YEAR(orderHistory[invoice_date]),$D$15,0)),MATCH(ROW(orderHistory[customer]),ROW(orderHistory[customer])),""),ROWS($A$15:A18)+$B$3)))),IF($D$13="",IF($D$15="",INDEX(orderHistory[invoice_date],SMALL(IF(ISNUMBER(MATCH(orderHistory[status],$D$11,0)),MATCH(ROW(orderHistory[customer]),ROW(orderHistory[customer])),""),ROWS($A$15:A18)+$B$3)),INDEX(orderHistory[invoice_date],SMALL(IF(ISNUMBER(MATCH(orderHistory[status],$D$11,0)*MATCH(YEAR(orderHistory[invoice_date]),$D$15,0)),MATCH(ROW(orderHistory[customer]),ROW(orderHistory[customer])),""),ROWS($A$15:A18)+$B$3))),IF($D$15="",INDEX(orderHistory[invoice_date],SMALL(IF(ISNUMBER(MATCH(orderHistory[status],$D$11,0)*MATCH(orderHistory[order_type],$D$13,0)),MATCH(ROW(orderHistory[customer]),ROW(orderHistory[customer])),""),ROWS($A$15:A18)+$B$3)),INDEX(orderHistory[invoice_date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invoice_date],SMALL(IF(ISNUMBER(MATCH(orderHistory[customer],$D$9,0)),MATCH(ROW(orderHistory[customer]),ROW(orderHistory[customer])),""),ROWS($A$15:A18)+$B$3)),INDEX(orderHistory[invoice_date],SMALL(IF(ISNUMBER(MATCH(orderHistory[customer],$D$9,0)*MATCH(YEAR(orderHistory[invoice_date]),$D$15,0)),MATCH(ROW(orderHistory[customer]),ROW(orderHistory[customer])),""),ROWS($A$15:A18)+$B$3))),IF($D$15="",INDEX(orderHistory[invoice_date],SMALL(IF(ISNUMBER(MATCH(orderHistory[customer],$D$9,0)*MATCH(orderHistory[order_type],$D$13,0)),MATCH(ROW(orderHistory[customer]),ROW(orderHistory[customer])),""),ROWS($A$15:A18)+$B$3)),INDEX(orderHistory[invoice_date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invoice_date],SMALL(IF(ISNUMBER(MATCH(orderHistory[customer],$D$9,0)*MATCH(orderHistory[status],$D$11,0)),MATCH(ROW(orderHistory[customer]),ROW(orderHistory[customer])),""),ROWS($A$15:A18)+$B$3)),INDEX(orderHistory[invoice_date],SMALL(IF(ISNUMBER(MATCH(orderHistory[customer],$D$9,0)*MATCH(orderHistory[status],$D$11,0)*MATCH(YEAR(orderHistory[invoice_date]),$D$15,0)),MATCH(ROW(orderHistory[customer]),ROW(orderHistory[customer])),""),ROWS($A$15:A18)+$B$3))),IF($D$15="",INDEX(orderHistory[invoice_date],SMALL(IF(ISNUMBER(MATCH(orderHistory[customer],$D$9,0)*MATCH(orderHistory[status],$D$11,0)*MATCH(orderHistory[order_type],$D$13,0)),MATCH(ROW(orderHistory[customer]),ROW(orderHistory[customer])),""),ROWS($A$15:A18)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45576</v>
      </c>
      <c r="R13" s="387">
        <f t="array" ref="R13">IFERROR(IF($D$9="",IF($D$11="",IF($D$13="",IF($D$15="",INDEX(orderHistory[inv_amount],SMALL(MATCH(ROW(orderHistory[customer]),ROW(orderHistory[customer])),ROWS($A$15:A18)+$B$3)),INDEX(orderHistory[inv_amount],SMALL(IF(ISNUMBER(MATCH(YEAR(orderHistory[invoice_date]),$D$15,0)),MATCH(ROW(orderHistory[customer]),ROW(orderHistory[customer])),""),ROWS($A$15:A18)+$B$3))),IF($D$15="",INDEX(orderHistory[inv_amount],SMALL(IF(ISNUMBER(MATCH(orderHistory[order_type],$D$13,0)),MATCH(ROW(orderHistory[customer]),ROW(orderHistory[customer])),""),ROWS($A$15:A18)+$B$3)),INDEX(orderHistory[inv_amount],SMALL(IF(ISNUMBER(MATCH(orderHistory[order_type],$D$13,0)*MATCH(YEAR(orderHistory[invoice_date]),$D$15,0)),MATCH(ROW(orderHistory[customer]),ROW(orderHistory[customer])),""),ROWS($A$15:A18)+$B$3)))),IF($D$13="",IF($D$15="",INDEX(orderHistory[inv_amount],SMALL(IF(ISNUMBER(MATCH(orderHistory[status],$D$11,0)),MATCH(ROW(orderHistory[customer]),ROW(orderHistory[customer])),""),ROWS($A$15:A18)+$B$3)),INDEX(orderHistory[inv_amount],SMALL(IF(ISNUMBER(MATCH(orderHistory[status],$D$11,0)*MATCH(YEAR(orderHistory[invoice_date]),$D$15,0)),MATCH(ROW(orderHistory[customer]),ROW(orderHistory[customer])),""),ROWS($A$15:A18)+$B$3))),IF($D$15="",INDEX(orderHistory[inv_amount],SMALL(IF(ISNUMBER(MATCH(orderHistory[status],$D$11,0)*MATCH(orderHistory[order_type],$D$13,0)),MATCH(ROW(orderHistory[customer]),ROW(orderHistory[customer])),""),ROWS($A$15:A18)+$B$3)),INDEX(orderHistory[inv_amount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inv_amount],SMALL(IF(ISNUMBER(MATCH(orderHistory[customer],$D$9,0)),MATCH(ROW(orderHistory[customer]),ROW(orderHistory[customer])),""),ROWS($A$15:A18)+$B$3)),INDEX(orderHistory[inv_amount],SMALL(IF(ISNUMBER(MATCH(orderHistory[customer],$D$9,0)*MATCH(YEAR(orderHistory[invoice_date]),$D$15,0)),MATCH(ROW(orderHistory[customer]),ROW(orderHistory[customer])),""),ROWS($A$15:A18)+$B$3))),IF($D$15="",INDEX(orderHistory[inv_amount],SMALL(IF(ISNUMBER(MATCH(orderHistory[customer],$D$9,0)*MATCH(orderHistory[order_type],$D$13,0)),MATCH(ROW(orderHistory[customer]),ROW(orderHistory[customer])),""),ROWS($A$15:A18)+$B$3)),INDEX(orderHistory[inv_amount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inv_amount],SMALL(IF(ISNUMBER(MATCH(orderHistory[customer],$D$9,0)*MATCH(orderHistory[status],$D$11,0)),MATCH(ROW(orderHistory[customer]),ROW(orderHistory[customer])),""),ROWS($A$15:A18)+$B$3)),INDEX(orderHistory[inv_amount],SMALL(IF(ISNUMBER(MATCH(orderHistory[customer],$D$9,0)*MATCH(orderHistory[status],$D$11,0)*MATCH(YEAR(orderHistory[inv_amount]),$D$15,0)),MATCH(ROW(orderHistory[customer]),ROW(orderHistory[customer])),""),ROWS($A$15:A18)+$B$3))),IF($D$15="",INDEX(orderHistory[inv_amount],SMALL(IF(ISNUMBER(MATCH(orderHistory[customer],$D$9,0)*MATCH(orderHistory[status],$D$11,0)*MATCH(orderHistory[order_type],$D$13,0)),MATCH(ROW(orderHistory[customer]),ROW(orderHistory[customer])),""),ROWS($A$15:A18)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5423.76</v>
      </c>
      <c r="S13" s="465" t="str">
        <f t="array" ref="S13">IFERROR(IF($D$9="",IF($D$11="",IF($D$13="",IF($D$15="",INDEX(orderHistory[lock_goods],SMALL(MATCH(ROW(orderHistory[customer]),ROW(orderHistory[customer])),ROWS($A$15:A18)+$B$3)),INDEX(orderHistory[lock_goods],SMALL(IF(ISNUMBER(MATCH(YEAR(orderHistory[invoice_date]),$D$15,0)),MATCH(ROW(orderHistory[customer]),ROW(orderHistory[customer])),""),ROWS($A$15:A18)+$B$3))),IF($D$15="",INDEX(orderHistory[lock_goods],SMALL(IF(ISNUMBER(MATCH(orderHistory[order_type],$D$13,0)),MATCH(ROW(orderHistory[customer]),ROW(orderHistory[customer])),""),ROWS($A$15:A18)+$B$3)),INDEX(orderHistory[lock_goods],SMALL(IF(ISNUMBER(MATCH(orderHistory[order_type],$D$13,0)*MATCH(YEAR(orderHistory[invoice_date]),$D$15,0)),MATCH(ROW(orderHistory[customer]),ROW(orderHistory[customer])),""),ROWS($A$15:A18)+$B$3)))),IF($D$13="",IF($D$15="",INDEX(orderHistory[lock_goods],SMALL(IF(ISNUMBER(MATCH(orderHistory[status],$D$11,0)),MATCH(ROW(orderHistory[customer]),ROW(orderHistory[customer])),""),ROWS($A$15:A18)+$B$3)),INDEX(orderHistory[lock_goods],SMALL(IF(ISNUMBER(MATCH(orderHistory[status],$D$11,0)*MATCH(YEAR(orderHistory[invoice_date]),$D$15,0)),MATCH(ROW(orderHistory[customer]),ROW(orderHistory[customer])),""),ROWS($A$15:A18)+$B$3))),IF($D$15="",INDEX(orderHistory[lock_goods],SMALL(IF(ISNUMBER(MATCH(orderHistory[status],$D$11,0)*MATCH(orderHistory[order_type],$D$13,0)),MATCH(ROW(orderHistory[customer]),ROW(orderHistory[customer])),""),ROWS($A$15:A18)+$B$3)),INDEX(orderHistory[lock_goods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lock_goods],SMALL(IF(ISNUMBER(MATCH(orderHistory[customer],$D$9,0)),MATCH(ROW(orderHistory[customer]),ROW(orderHistory[customer])),""),ROWS($A$15:A18)+$B$3)),INDEX(orderHistory[lock_goods],SMALL(IF(ISNUMBER(MATCH(orderHistory[customer],$D$9,0)*MATCH(YEAR(orderHistory[invoice_date]),$D$15,0)),MATCH(ROW(orderHistory[customer]),ROW(orderHistory[customer])),""),ROWS($A$15:A18)+$B$3))),IF($D$15="",INDEX(orderHistory[lock_goods],SMALL(IF(ISNUMBER(MATCH(orderHistory[customer],$D$9,0)*MATCH(orderHistory[order_type],$D$13,0)),MATCH(ROW(orderHistory[customer]),ROW(orderHistory[customer])),""),ROWS($A$15:A18)+$B$3)),INDEX(orderHistory[lock_goods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lock_goods],SMALL(IF(ISNUMBER(MATCH(orderHistory[customer],$D$9,0)*MATCH(orderHistory[status],$D$11,0)),MATCH(ROW(orderHistory[customer]),ROW(orderHistory[customer])),""),ROWS($A$15:A18)+$B$3)),INDEX(orderHistory[lock_goods],SMALL(IF(ISNUMBER(MATCH(orderHistory[customer],$D$9,0)*MATCH(orderHistory[status],$D$11,0)*MATCH(YEAR(orderHistory[payed]),$D$15,0)),MATCH(ROW(orderHistory[customer]),ROW(orderHistory[customer])),""),ROWS($A$15:A18)+$B$3))),IF($D$15="",INDEX(orderHistory[lock_goods],SMALL(IF(ISNUMBER(MATCH(orderHistory[customer],$D$9,0)*MATCH(orderHistory[status],$D$11,0)*MATCH(orderHistory[order_type],$D$13,0)),MATCH(ROW(orderHistory[customer]),ROW(orderHistory[customer])),""),ROWS($A$15:A18)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GOODS SENT</v>
      </c>
      <c r="T13" s="388" t="b">
        <f t="array" ref="T13">IFERROR(IF($D$9="",IF($D$11="",IF($D$13="",IF($D$15="",INDEX(orderHistory[payed],SMALL(MATCH(ROW(orderHistory[customer]),ROW(orderHistory[customer])),ROWS($A$15:A18)+$B$3)),INDEX(orderHistory[payed],SMALL(IF(ISNUMBER(MATCH(YEAR(orderHistory[invoice_date]),$D$15,0)),MATCH(ROW(orderHistory[customer]),ROW(orderHistory[customer])),""),ROWS($A$15:A18)+$B$3))),IF($D$15="",INDEX(orderHistory[payed],SMALL(IF(ISNUMBER(MATCH(orderHistory[order_type],$D$13,0)),MATCH(ROW(orderHistory[customer]),ROW(orderHistory[customer])),""),ROWS($A$15:A18)+$B$3)),INDEX(orderHistory[payed],SMALL(IF(ISNUMBER(MATCH(orderHistory[order_type],$D$13,0)*MATCH(YEAR(orderHistory[invoice_date]),$D$15,0)),MATCH(ROW(orderHistory[customer]),ROW(orderHistory[customer])),""),ROWS($A$15:A18)+$B$3)))),IF($D$13="",IF($D$15="",INDEX(orderHistory[payed],SMALL(IF(ISNUMBER(MATCH(orderHistory[status],$D$11,0)),MATCH(ROW(orderHistory[customer]),ROW(orderHistory[customer])),""),ROWS($A$15:A18)+$B$3)),INDEX(orderHistory[payed],SMALL(IF(ISNUMBER(MATCH(orderHistory[status],$D$11,0)*MATCH(YEAR(orderHistory[invoice_date]),$D$15,0)),MATCH(ROW(orderHistory[customer]),ROW(orderHistory[customer])),""),ROWS($A$15:A18)+$B$3))),IF($D$15="",INDEX(orderHistory[payed],SMALL(IF(ISNUMBER(MATCH(orderHistory[status],$D$11,0)*MATCH(orderHistory[order_type],$D$13,0)),MATCH(ROW(orderHistory[customer]),ROW(orderHistory[customer])),""),ROWS($A$15:A18)+$B$3)),INDEX(orderHistory[payed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payed],SMALL(IF(ISNUMBER(MATCH(orderHistory[customer],$D$9,0)),MATCH(ROW(orderHistory[customer]),ROW(orderHistory[customer])),""),ROWS($A$15:A18)+$B$3)),INDEX(orderHistory[payed],SMALL(IF(ISNUMBER(MATCH(orderHistory[customer],$D$9,0)*MATCH(YEAR(orderHistory[invoice_date]),$D$15,0)),MATCH(ROW(orderHistory[customer]),ROW(orderHistory[customer])),""),ROWS($A$15:A18)+$B$3))),IF($D$15="",INDEX(orderHistory[payed],SMALL(IF(ISNUMBER(MATCH(orderHistory[customer],$D$9,0)*MATCH(orderHistory[order_type],$D$13,0)),MATCH(ROW(orderHistory[customer]),ROW(orderHistory[customer])),""),ROWS($A$15:A18)+$B$3)),INDEX(orderHistory[payed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payed],SMALL(IF(ISNUMBER(MATCH(orderHistory[customer],$D$9,0)*MATCH(orderHistory[status],$D$11,0)),MATCH(ROW(orderHistory[customer]),ROW(orderHistory[customer])),""),ROWS($A$15:A18)+$B$3)),INDEX(orderHistory[payed],SMALL(IF(ISNUMBER(MATCH(orderHistory[customer],$D$9,0)*MATCH(orderHistory[status],$D$11,0)*MATCH(YEAR(orderHistory[payed]),$D$15,0)),MATCH(ROW(orderHistory[customer]),ROW(orderHistory[customer])),""),ROWS($A$15:A18)+$B$3))),IF($D$15="",INDEX(orderHistory[payed],SMALL(IF(ISNUMBER(MATCH(orderHistory[customer],$D$9,0)*MATCH(orderHistory[status],$D$11,0)*MATCH(orderHistory[order_type],$D$13,0)),MATCH(ROW(orderHistory[customer]),ROW(orderHistory[customer])),""),ROWS($A$15:A18)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1</v>
      </c>
      <c r="U13" s="383" t="str">
        <f t="array" ref="U13">IFERROR(IF($D$9="",IF($D$11="",IF($D$13="",IF($D$15="",INDEX(orderHistory[shipping_method],SMALL(MATCH(ROW(orderHistory[customer]),ROW(orderHistory[customer])),ROWS($A$15:A18)+$B$3)),INDEX(orderHistory[shipping_method],SMALL(IF(ISNUMBER(MATCH(YEAR(orderHistory[invoice_date]),$D$15,0)),MATCH(ROW(orderHistory[customer]),ROW(orderHistory[customer])),""),ROWS($A$15:A18)+$B$3))),IF($D$15="",INDEX(orderHistory[shipping_method],SMALL(IF(ISNUMBER(MATCH(orderHistory[order_type],$D$13,0)),MATCH(ROW(orderHistory[customer]),ROW(orderHistory[customer])),""),ROWS($A$15:A18)+$B$3)),INDEX(orderHistory[shipping_method],SMALL(IF(ISNUMBER(MATCH(orderHistory[order_type],$D$13,0)*MATCH(YEAR(orderHistory[invoice_date]),$D$15,0)),MATCH(ROW(orderHistory[customer]),ROW(orderHistory[customer])),""),ROWS($A$15:A18)+$B$3)))),IF($D$13="",IF($D$15="",INDEX(orderHistory[shipping_method],SMALL(IF(ISNUMBER(MATCH(orderHistory[status],$D$11,0)),MATCH(ROW(orderHistory[customer]),ROW(orderHistory[customer])),""),ROWS($A$15:A18)+$B$3)),INDEX(orderHistory[shipping_method],SMALL(IF(ISNUMBER(MATCH(orderHistory[status],$D$11,0)*MATCH(YEAR(orderHistory[invoice_date]),$D$15,0)),MATCH(ROW(orderHistory[customer]),ROW(orderHistory[customer])),""),ROWS($A$15:A18)+$B$3))),IF($D$15="",INDEX(orderHistory[shipping_method],SMALL(IF(ISNUMBER(MATCH(orderHistory[status],$D$11,0)*MATCH(orderHistory[order_type],$D$13,0)),MATCH(ROW(orderHistory[customer]),ROW(orderHistory[customer])),""),ROWS($A$15:A18)+$B$3)),INDEX(orderHistory[shipping_method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shipping_method],SMALL(IF(ISNUMBER(MATCH(orderHistory[customer],$D$9,0)),MATCH(ROW(orderHistory[customer]),ROW(orderHistory[customer])),""),ROWS($A$15:A18)+$B$3)),INDEX(orderHistory[shipping_method],SMALL(IF(ISNUMBER(MATCH(orderHistory[customer],$D$9,0)*MATCH(YEAR(orderHistory[invoice_date]),$D$15,0)),MATCH(ROW(orderHistory[customer]),ROW(orderHistory[customer])),""),ROWS($A$15:A18)+$B$3))),IF($D$15="",INDEX(orderHistory[shipping_method],SMALL(IF(ISNUMBER(MATCH(orderHistory[customer],$D$9,0)*MATCH(orderHistory[order_type],$D$13,0)),MATCH(ROW(orderHistory[customer]),ROW(orderHistory[customer])),""),ROWS($A$15:A18)+$B$3)),INDEX(orderHistory[shipping_method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shipping_method],SMALL(IF(ISNUMBER(MATCH(orderHistory[customer],$D$9,0)*MATCH(orderHistory[status],$D$11,0)),MATCH(ROW(orderHistory[customer]),ROW(orderHistory[customer])),""),ROWS($A$15:A18)+$B$3)),INDEX(orderHistory[shipping_method],SMALL(IF(ISNUMBER(MATCH(orderHistory[customer],$D$9,0)*MATCH(orderHistory[status],$D$11,0)*MATCH(YEAR(orderHistory[shipping_method]),$D$15,0)),MATCH(ROW(orderHistory[customer]),ROW(orderHistory[customer])),""),ROWS($A$15:A18)+$B$3))),IF($D$15="",INDEX(orderHistory[shipping_method],SMALL(IF(ISNUMBER(MATCH(orderHistory[customer],$D$9,0)*MATCH(orderHistory[status],$D$11,0)*MATCH(orderHistory[order_type],$D$13,0)),MATCH(ROW(orderHistory[customer]),ROW(orderHistory[customer])),""),ROWS($A$15:A18)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BY ROAD</v>
      </c>
      <c r="V13" s="388" t="str">
        <f t="array" ref="V13">IFERROR(IF($D$9="",IF($D$11="",IF($D$13="",IF($D$15="",INDEX(orderHistory[status],SMALL(MATCH(ROW(orderHistory[customer]),ROW(orderHistory[customer])),ROWS($A$15:A18)+$B$3)),INDEX(orderHistory[status],SMALL(IF(ISNUMBER(MATCH(YEAR(orderHistory[invoice_date]),$D$15,0)),MATCH(ROW(orderHistory[customer]),ROW(orderHistory[customer])),""),ROWS($A$15:A18)+$B$3))),IF($D$15="",INDEX(orderHistory[status],SMALL(IF(ISNUMBER(MATCH(orderHistory[order_type],$D$13,0)),MATCH(ROW(orderHistory[customer]),ROW(orderHistory[customer])),""),ROWS($A$15:A18)+$B$3)),INDEX(orderHistory[status],SMALL(IF(ISNUMBER(MATCH(orderHistory[order_type],$D$13,0)*MATCH(YEAR(orderHistory[invoice_date]),$D$15,0)),MATCH(ROW(orderHistory[customer]),ROW(orderHistory[customer])),""),ROWS($A$15:A18)+$B$3)))),IF($D$13="",IF($D$15="",INDEX(orderHistory[status],SMALL(IF(ISNUMBER(MATCH(orderHistory[status],$D$11,0)),MATCH(ROW(orderHistory[customer]),ROW(orderHistory[customer])),""),ROWS($A$15:A18)+$B$3)),INDEX(orderHistory[status],SMALL(IF(ISNUMBER(MATCH(orderHistory[status],$D$11,0)*MATCH(YEAR(orderHistory[invoice_date]),$D$15,0)),MATCH(ROW(orderHistory[customer]),ROW(orderHistory[customer])),""),ROWS($A$15:A18)+$B$3))),IF($D$15="",INDEX(orderHistory[status],SMALL(IF(ISNUMBER(MATCH(orderHistory[status],$D$11,0)*MATCH(orderHistory[order_type],$D$13,0)),MATCH(ROW(orderHistory[customer]),ROW(orderHistory[customer])),""),ROWS($A$15:A18)+$B$3)),INDEX(orderHistory[status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status],SMALL(IF(ISNUMBER(MATCH(orderHistory[customer],$D$9,0)),MATCH(ROW(orderHistory[customer]),ROW(orderHistory[customer])),""),ROWS($A$15:A18)+$B$3)),INDEX(orderHistory[status],SMALL(IF(ISNUMBER(MATCH(orderHistory[customer],$D$9,0)*MATCH(YEAR(orderHistory[invoice_date]),$D$15,0)),MATCH(ROW(orderHistory[customer]),ROW(orderHistory[customer])),""),ROWS($A$15:A18)+$B$3))),IF($D$15="",INDEX(orderHistory[status],SMALL(IF(ISNUMBER(MATCH(orderHistory[customer],$D$9,0)*MATCH(orderHistory[order_type],$D$13,0)),MATCH(ROW(orderHistory[customer]),ROW(orderHistory[customer])),""),ROWS($A$15:A18)+$B$3)),INDEX(orderHistory[status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status],SMALL(IF(ISNUMBER(MATCH(orderHistory[customer],$D$9,0)*MATCH(orderHistory[status],$D$11,0)),MATCH(ROW(orderHistory[customer]),ROW(orderHistory[customer])),""),ROWS($A$15:A18)+$B$3)),INDEX(orderHistory[status],SMALL(IF(ISNUMBER(MATCH(orderHistory[customer],$D$9,0)*MATCH(orderHistory[status],$D$11,0)*MATCH(YEAR(orderHistory[status]),$D$15,0)),MATCH(ROW(orderHistory[customer]),ROW(orderHistory[customer])),""),ROWS($A$15:A18)+$B$3))),IF($D$15="",INDEX(orderHistory[status],SMALL(IF(ISNUMBER(MATCH(orderHistory[customer],$D$9,0)*MATCH(orderHistory[status],$D$11,0)*MATCH(orderHistory[order_type],$D$13,0)),MATCH(ROW(orderHistory[customer]),ROW(orderHistory[customer])),""),ROWS($A$15:A18)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SHIPPED</v>
      </c>
      <c r="W13" s="547" t="str">
        <f t="array" ref="W13">IFERROR(IF($D$9="",IF($D$11="",IF($D$13="",IF($D$15="",INDEX(orderHistory[custom_docs],SMALL(MATCH(ROW(orderHistory[customer]),ROW(orderHistory[customer])),ROWS($A$15:A18)+$B$3)),INDEX(orderHistory[custom_docs],SMALL(IF(ISNUMBER(MATCH(YEAR(orderHistory[invoice_date]),$D$15,0)),MATCH(ROW(orderHistory[customer]),ROW(orderHistory[customer])),""),ROWS($A$15:A18)+$B$3))),IF($D$15="",INDEX(orderHistory[custom_docs],SMALL(IF(ISNUMBER(MATCH(orderHistory[order_type],$D$13,0)),MATCH(ROW(orderHistory[customer]),ROW(orderHistory[customer])),""),ROWS($A$15:A18)+$B$3)),INDEX(orderHistory[custom_docs],SMALL(IF(ISNUMBER(MATCH(orderHistory[order_type],$D$13,0)*MATCH(YEAR(orderHistory[invoice_date]),$D$15,0)),MATCH(ROW(orderHistory[customer]),ROW(orderHistory[customer])),""),ROWS($A$15:A18)+$B$3)))),IF($D$13="",IF($D$15="",INDEX(orderHistory[custom_docs],SMALL(IF(ISNUMBER(MATCH(orderHistory[status],$D$11,0)),MATCH(ROW(orderHistory[customer]),ROW(orderHistory[customer])),""),ROWS($A$15:A18)+$B$3)),INDEX(orderHistory[custom_docs],SMALL(IF(ISNUMBER(MATCH(orderHistory[status],$D$11,0)*MATCH(YEAR(orderHistory[invoice_date]),$D$15,0)),MATCH(ROW(orderHistory[customer]),ROW(orderHistory[customer])),""),ROWS($A$15:A18)+$B$3))),IF($D$15="",INDEX(orderHistory[custom_docs],SMALL(IF(ISNUMBER(MATCH(orderHistory[status],$D$11,0)*MATCH(orderHistory[order_type],$D$13,0)),MATCH(ROW(orderHistory[customer]),ROW(orderHistory[customer])),""),ROWS($A$15:A18)+$B$3)),INDEX(orderHistory[custom_docs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custom_docs],SMALL(IF(ISNUMBER(MATCH(orderHistory[customer],$D$9,0)),MATCH(ROW(orderHistory[customer]),ROW(orderHistory[customer])),""),ROWS($A$15:A18)+$B$3)),INDEX(orderHistory[custom_docs],SMALL(IF(ISNUMBER(MATCH(orderHistory[customer],$D$9,0)*MATCH(YEAR(orderHistory[invoice_date]),$D$15,0)),MATCH(ROW(orderHistory[customer]),ROW(orderHistory[customer])),""),ROWS($A$15:A18)+$B$3))),IF($D$15="",INDEX(orderHistory[custom_docs],SMALL(IF(ISNUMBER(MATCH(orderHistory[customer],$D$9,0)*MATCH(orderHistory[order_type],$D$13,0)),MATCH(ROW(orderHistory[customer]),ROW(orderHistory[customer])),""),ROWS($A$15:A18)+$B$3)),INDEX(orderHistory[custom_docs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custom_docs],SMALL(IF(ISNUMBER(MATCH(orderHistory[customer],$D$9,0)*MATCH(orderHistory[status],$D$11,0)),MATCH(ROW(orderHistory[customer]),ROW(orderHistory[customer])),""),ROWS($A$15:A18)+$B$3)),INDEX(orderHistory[custom_docs],SMALL(IF(ISNUMBER(MATCH(orderHistory[customer],$D$9,0)*MATCH(orderHistory[status],$D$11,0)*MATCH(YEAR(orderHistory[status]),$D$15,0)),MATCH(ROW(orderHistory[customer]),ROW(orderHistory[customer])),""),ROWS($A$15:A18)+$B$3))),IF($D$15="",INDEX(orderHistory[custom_docs],SMALL(IF(ISNUMBER(MATCH(orderHistory[customer],$D$9,0)*MATCH(orderHistory[status],$D$11,0)*MATCH(orderHistory[order_type],$D$13,0)),MATCH(ROW(orderHistory[customer]),ROW(orderHistory[customer])),""),ROWS($A$15:A18)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OK</v>
      </c>
      <c r="AO13" s="302"/>
      <c r="AQ13" s="308"/>
      <c r="AR13" s="316"/>
      <c r="AS13" s="310"/>
      <c r="AT13" s="316"/>
      <c r="AU13" s="271"/>
      <c r="AW13" s="306"/>
      <c r="AX13" s="318"/>
      <c r="AZ13" s="319"/>
      <c r="BD13" s="306"/>
      <c r="BE13" s="306"/>
      <c r="BF13" s="320"/>
      <c r="BG13" s="312"/>
      <c r="BH13" s="323"/>
      <c r="BJ13" s="271"/>
      <c r="BK13" s="321"/>
      <c r="BL13" s="297"/>
      <c r="BM13" s="298"/>
      <c r="BN13" s="297"/>
      <c r="BO13" s="298"/>
      <c r="BX13" s="302" t="str">
        <f>IF(BX9="","",IFERROR(INDEX(orderHistory[invoice_no],MATCH($BX$11,orderHistory[order_no],0)),""))</f>
        <v>172</v>
      </c>
      <c r="BZ13" s="412" t="s">
        <v>114</v>
      </c>
      <c r="CA13" s="401" t="str">
        <f>IFERROR(IF(BZ13="","",INDEX(bhpc_data[description],MATCH(BZ13,bhpc_data[sku],0))),"")</f>
        <v>BHPC PRESTIGE TITAN 100ML EDP MEN</v>
      </c>
      <c r="CB13" s="403">
        <v>48</v>
      </c>
      <c r="CC13" s="886">
        <v>15.849721162312886</v>
      </c>
      <c r="CD13" s="410"/>
      <c r="CE13" s="890"/>
      <c r="CF13" s="404"/>
      <c r="CG13" s="405">
        <f>IFERROR(ROUNDUP(CB13/INDEX(bhpc_data[units_per_carton],MATCH(BZ13,bhpc_data[sku],0)),0),"")</f>
        <v>2</v>
      </c>
      <c r="CH13" s="406">
        <f>IFERROR(ROUNDUP(CD13/INDEX(bhpc_data[units_per_carton],MATCH(BZ13,bhpc_data[sku],0)),0),"")</f>
        <v>0</v>
      </c>
      <c r="CI13" s="406" t="str">
        <f>IFERROR(ROUNDUP(CF13/INDEX(bhpc_data[units_per_carton],MATCH(BZ13,bhpc_data[sku])),0),"")</f>
        <v/>
      </c>
      <c r="CJ13" s="406">
        <f>IFERROR(((CB13+CD13+CF13)/INDEX(bhpc_data[units_per_carton],MATCH(BZ13,bhpc_data[sku],0)))*INDEX(bhpc_data[net_weight],MATCH(BZ13,bhpc_data[sku],0)),"")</f>
        <v>18.96</v>
      </c>
      <c r="CK13" s="406">
        <f>IFERROR(((CB13+CD13+CF13)/INDEX(bhpc_data[units_per_carton],MATCH(BZ13,bhpc_data[sku],0)))*INDEX(bhpc_data[gross_weight],MATCH(BZ13,bhpc_data[sku],0)),"")</f>
        <v>19.8</v>
      </c>
      <c r="CL13" s="602">
        <f>IFERROR((CB13+CD13+CF13)/INDEX(bhpc_data[units_per_carton],MATCH(BZ13,bhpc_data[sku],0))*INDEX(bhpc_data[length],MATCH(BZ13,bhpc_data[sku],0))*INDEX(bhpc_data[width],MATCH(BZ13,bhpc_data[sku],0))*INDEX(bhpc_data[height],MATCH(BZ13,bhpc_data[sku],0))/1000000000,"")</f>
        <v>3.4595000000000001E-2</v>
      </c>
      <c r="CM13" s="407" t="str">
        <f>IFERROR(INDEX(bhpc_data[category],MATCH(BZ13,bhpc_data[sku],0)),"")</f>
        <v>PRESTIGE</v>
      </c>
      <c r="CN13" s="407">
        <f>IFERROR(INDEX(bhpc_data[size],MATCH(BZ13,bhpc_data[sku],0)),"")</f>
        <v>100</v>
      </c>
      <c r="CO13" s="408" t="str">
        <f>IFERROR(INDEX(bhpc_data[hs_code],MATCH(BZ13,bhpc_data[sku],0)),"")</f>
        <v>33030010</v>
      </c>
      <c r="CP13" s="489" t="str">
        <f>IFERROR(INDEX(bhpc_data[sku_geko],MATCH(BZ13,bhpc_data[sku],0)),"")</f>
        <v>P06003</v>
      </c>
      <c r="CQ13" s="404"/>
      <c r="CR13" s="517">
        <f>IFERROR(IF(BZ13="","",IF($BX$15="SALE",INDEX(inventory[COSTO UNITARIO],MATCH(BZ13,inventory[SKU],0)),IF($BX$15="SAMPLING",INDEX(inventory[COSTO UNITARIO],MATCH(BZ13,inventory[SKU],0)),""))),"")</f>
        <v>11.68</v>
      </c>
      <c r="CS13" s="517">
        <f>IFERROR(IF(BZ13="","",(CB13+CD13)*CR13),"")</f>
        <v>560.64</v>
      </c>
      <c r="CT13" s="896">
        <f>IF(BZ13="","",CB13*CC13+CD13*CE13)</f>
        <v>760.78661579101845</v>
      </c>
      <c r="CU13" s="469" t="str">
        <f t="shared" si="0"/>
        <v>OK</v>
      </c>
      <c r="CW13" s="80"/>
      <c r="CX13" s="84" t="s">
        <v>881</v>
      </c>
      <c r="CY13" s="209">
        <f>COUNTA($CF$10:$CF$110)</f>
        <v>0</v>
      </c>
      <c r="CZ13" s="84"/>
      <c r="DA13" s="76"/>
      <c r="DB13" s="77"/>
      <c r="DH13" s="215"/>
      <c r="EC13" s="302"/>
      <c r="EE13" s="439" t="str" cm="1">
        <f t="array" ref="EE13">IFERROR(IF($EC$9="",IF($EC$11="",IF($EC$13="",INDEX(bhpc_data[sku],SMALL(MATCH(ROW(bhpc_data[sku]),ROW(bhpc_data[sku])),ROWS($A$15:A18)+$B$3)),INDEX(bhpc_data[sku],SMALL(IF(ISNUMBER(MATCH(bhpc_data[size],$EC$13,0)),MATCH(ROW(bhpc_data[sku]),ROW(bhpc_data[sku])),""),ROWS($A$15:A18)+$B$3))),IF($EC$13="",INDEX(bhpc_data[sku],SMALL(IF(ISNUMBER(MATCH(bhpc_data[sex],$EC$11,0)),MATCH(ROW(bhpc_data[sku]),ROW(bhpc_data[sku])),""),ROWS($A$15:A18)+$B$3)),INDEX(bhpc_data[sku],SMALL(IF(ISNUMBER(MATCH(bhpc_data[sex],$EC$11,0)*MATCH(bhpc_data[size],$EC$13,0)),MATCH(ROW(bhpc_data[sku]),ROW(bhpc_data[sku])),""),ROWS($A$15:A18)+$B$3)))),IF($EC$11="",IF($EC$13="",INDEX(bhpc_data[sku],SMALL(IF(ISNUMBER(MATCH(bhpc_data[category],$EC$9,0)),MATCH(ROW(bhpc_data[sku]),ROW(bhpc_data[sku])),""),ROWS($A$15:A18)+$B$3)),INDEX(bhpc_data[sku],SMALL(IF(ISNUMBER(MATCH(bhpc_data[category],$EC$9,0)*MATCH(bhpc_data[size],$EC$13,0)),MATCH(ROW(bhpc_data[sku]),ROW(bhpc_data[sku])),""),ROWS($A$15:A18)+$B$3))),IF($EC$13="",INDEX(bhpc_data[sku],SMALL(IF(ISNUMBER(MATCH(bhpc_data[category],$EC$9,0)*MATCH(bhpc_data[sex],$EC$11,0)),MATCH(ROW(bhpc_data[sku]),ROW(bhpc_data[sku])),""),ROWS($A$15:A18)+$B$3)),INDEX(bhpc_data[sku],SMALL(IF(ISNUMBER(MATCH(bhpc_data[category],$EC$9,0)*MATCH(bhpc_data[sex],$EC$11,0)*MATCH(bhpc_data[size],$EC$13,0)),MATCH(ROW(bhpc_data[sku]),ROW(bhpc_data[sku])),""),ROWS($A$15:A18)+$B$3))))),"")</f>
        <v>P05009</v>
      </c>
      <c r="EF13" s="440" t="str" cm="1">
        <f t="array" ref="EF13">IFERROR(IF($EC$9="",IF($EC$11="",IF($EC$13="",INDEX(bhpc_data[description],SMALL(MATCH(ROW(bhpc_data[sku]),ROW(bhpc_data[sku])),ROWS($A$15:A18)+$B$3)),INDEX(bhpc_data[description],SMALL(IF(ISNUMBER(MATCH(bhpc_data[size],$EC$13,0)),MATCH(ROW(bhpc_data[sku]),ROW(bhpc_data[sku])),""),ROWS($A$15:A18)+$B$3))),IF($EC$13="",INDEX(bhpc_data[description],SMALL(IF(ISNUMBER(MATCH(bhpc_data[sex],$EC$11,0)),MATCH(ROW(bhpc_data[sku]),ROW(bhpc_data[sku])),""),ROWS($A$15:A18)+$B$3)),INDEX(bhpc_data[description],SMALL(IF(ISNUMBER(MATCH(bhpc_data[sex],$EC$11,0)*MATCH(bhpc_data[size],$EC$13,0)),MATCH(ROW(bhpc_data[sku]),ROW(bhpc_data[sku])),""),ROWS($A$15:A18)+$B$3)))),IF($EC$11="",IF($EC$13="",INDEX(bhpc_data[description],SMALL(IF(ISNUMBER(MATCH(bhpc_data[category],$EC$9,0)),MATCH(ROW(bhpc_data[sku]),ROW(bhpc_data[sku])),""),ROWS($A$15:A18)+$B$3)),INDEX(bhpc_data[description],SMALL(IF(ISNUMBER(MATCH(bhpc_data[category],$EC$9,0)*MATCH(bhpc_data[size],$EC$13,0)),MATCH(ROW(bhpc_data[sku]),ROW(bhpc_data[sku])),""),ROWS($A$15:A18)+$B$3))),IF($EC$13="",INDEX(bhpc_data[description],SMALL(IF(ISNUMBER(MATCH(bhpc_data[category],$EC$9,0)*MATCH(bhpc_data[sex],$EC$11,0)),MATCH(ROW(bhpc_data[sku]),ROW(bhpc_data[sku])),""),ROWS($A$15:A18)+$B$3)),INDEX(bhpc_data[description],SMALL(IF(ISNUMBER(MATCH(bhpc_data[category],$EC$9,0)*MATCH(bhpc_data[sex],$EC$11,0)*MATCH(bhpc_data[size],$EC$13,0)),MATCH(ROW(bhpc_data[sku]),ROW(bhpc_data[sku])),""),ROWS($A$15:A18)+$B$3))))),"")</f>
        <v>BHPC SPORT MEN 9 EDT 50ML</v>
      </c>
      <c r="EG13" s="441">
        <f>IFERROR(IF('BHPC MANAGER'!$EE13="","",INDEX(inventory[ESISTENZA],MATCH('BHPC MANAGER'!$EE13,inventory[SKU],0))),0)</f>
        <v>0</v>
      </c>
      <c r="EH13" s="442">
        <v>0</v>
      </c>
      <c r="EI13" s="442">
        <f t="shared" si="1"/>
        <v>0</v>
      </c>
      <c r="EJ13" s="443">
        <v>0</v>
      </c>
      <c r="EK13" s="444">
        <f t="shared" si="2"/>
        <v>0</v>
      </c>
      <c r="FD13" s="498"/>
      <c r="FE13" s="499"/>
      <c r="FF13" s="500"/>
      <c r="FG13" s="500"/>
      <c r="FH13" s="501"/>
      <c r="FI13" s="263"/>
      <c r="FJ13" s="498"/>
      <c r="FK13" s="499"/>
      <c r="FL13" s="500"/>
      <c r="FM13" s="500"/>
      <c r="FN13" s="501"/>
      <c r="FO13" s="263"/>
      <c r="FP13" s="263"/>
      <c r="FQ13" s="263"/>
      <c r="FR13" s="263"/>
      <c r="FS13" s="263"/>
      <c r="FT13" s="263"/>
      <c r="FU13" s="263"/>
      <c r="FV13" s="263"/>
      <c r="FW13" s="263"/>
      <c r="FX13" s="263"/>
      <c r="FY13" s="263"/>
      <c r="FZ13" s="263"/>
      <c r="GA13" s="263"/>
      <c r="GB13" s="263"/>
      <c r="GC13" s="263"/>
      <c r="GD13" s="263"/>
      <c r="GE13" s="263"/>
      <c r="GF13" s="263"/>
      <c r="GG13" s="263"/>
      <c r="GH13" s="263"/>
      <c r="GI13" s="263"/>
      <c r="GJ13" s="263"/>
      <c r="GK13" s="263"/>
      <c r="GL13" s="263"/>
      <c r="GM13" s="263"/>
      <c r="GN13" s="263"/>
      <c r="GO13" s="263"/>
      <c r="GP13" s="263"/>
      <c r="GQ13" s="263"/>
      <c r="GR13" s="263"/>
      <c r="GS13" s="263"/>
      <c r="GT13" s="263"/>
      <c r="GU13" s="263"/>
      <c r="GV13" s="263"/>
      <c r="GW13" s="263"/>
      <c r="GX13" s="263"/>
      <c r="GY13" s="263"/>
      <c r="GZ13" s="263"/>
      <c r="HA13" s="263"/>
      <c r="HB13" s="263"/>
      <c r="HC13" s="263"/>
      <c r="HD13" s="263"/>
      <c r="HE13" s="263"/>
      <c r="HF13" s="263"/>
      <c r="HG13" s="263"/>
      <c r="HH13" s="263"/>
      <c r="HI13" s="263"/>
      <c r="HJ13" s="263"/>
      <c r="HK13" s="263"/>
      <c r="HL13" s="263"/>
      <c r="HM13" s="263"/>
      <c r="HN13" s="263"/>
      <c r="HO13" s="263"/>
      <c r="HP13" s="263"/>
      <c r="HQ13" s="263"/>
      <c r="HR13" s="263"/>
      <c r="HS13" s="263"/>
      <c r="HT13" s="263"/>
    </row>
    <row r="14" spans="1:702" ht="15" customHeight="1" x14ac:dyDescent="0.35">
      <c r="B14" s="140"/>
      <c r="D14" s="265" t="s">
        <v>921</v>
      </c>
      <c r="F14" s="87"/>
      <c r="G14" s="857" t="str">
        <f>IFERROR(INDEX(clientData[payment_account],MATCH($B$6,clientData[cod_cliente],0)),"")</f>
        <v>"BANCO BPM" - IBAN: IT 98 R 05034 10500 000000000813 - (BIC)  SWIFT: BAPPIT22</v>
      </c>
      <c r="H14" s="858"/>
      <c r="I14" s="859"/>
      <c r="J14" s="77"/>
      <c r="L14" s="381" t="str">
        <f t="array" ref="L14">IFERROR(IF($D$9="",IF($D$11="",IF($D$13="",IF($D$15="",INDEX(orderHistory[customer],SMALL(MATCH(ROW(orderHistory[customer]),ROW(orderHistory[customer])),ROWS($A$15:A19)+$B$3)),INDEX(orderHistory[customer],SMALL(IF(ISNUMBER(MATCH(YEAR(orderHistory[invoice_date]),$D$15,0)),MATCH(ROW(orderHistory[customer]),ROW(orderHistory[customer])),""),ROWS($A$15:A19)+$B$3))),IF($D$15="",INDEX(orderHistory[customer],SMALL(IF(ISNUMBER(MATCH(orderHistory[order_type],$D$13,0)),MATCH(ROW(orderHistory[customer]),ROW(orderHistory[customer])),""),ROWS($A$15:A19)+$B$3)),INDEX(orderHistory[customer],SMALL(IF(ISNUMBER(MATCH(orderHistory[order_type],$D$13,0)*MATCH(YEAR(orderHistory[invoice_date]),$D$15,0)),MATCH(ROW(orderHistory[customer]),ROW(orderHistory[customer])),""),ROWS($A$15:A19)+$B$3)))),IF($D$13="",IF($D$15="",INDEX(orderHistory[customer],SMALL(IF(ISNUMBER(MATCH(orderHistory[status],$D$11,0)),MATCH(ROW(orderHistory[customer]),ROW(orderHistory[customer])),""),ROWS($A$15:A19)+$B$3)),INDEX(orderHistory[customer],SMALL(IF(ISNUMBER(MATCH(orderHistory[status],$D$11,0)*MATCH(YEAR(orderHistory[invoice_date]),$D$15,0)),MATCH(ROW(orderHistory[customer]),ROW(orderHistory[customer])),""),ROWS($A$15:A19)+$B$3))),IF($D$15="",INDEX(orderHistory[customer],SMALL(IF(ISNUMBER(MATCH(orderHistory[status],$D$11,0)*MATCH(orderHistory[order_type],$D$13,0)),MATCH(ROW(orderHistory[customer]),ROW(orderHistory[customer])),""),ROWS($A$15:A19)+$B$3)),INDEX(orderHistory[customer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customer],SMALL(IF(ISNUMBER(MATCH(orderHistory[customer],$D$9,0)),MATCH(ROW(orderHistory[customer]),ROW(orderHistory[customer])),""),ROWS($A$15:A19)+$B$3)),INDEX(orderHistory[customer],SMALL(IF(ISNUMBER(MATCH(orderHistory[customer],$D$9,0)*MATCH(YEAR(orderHistory[invoice_date]),$D$15,0)),MATCH(ROW(orderHistory[customer]),ROW(orderHistory[customer])),""),ROWS($A$15:A19)+$B$3))),IF($D$15="",INDEX(orderHistory[customer],SMALL(IF(ISNUMBER(MATCH(orderHistory[customer],$D$9,0)*MATCH(orderHistory[order_type],$D$13,0)),MATCH(ROW(orderHistory[customer]),ROW(orderHistory[customer])),""),ROWS($A$15:A19)+$B$3)),INDEX(orderHistory[customer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customer],SMALL(IF(ISNUMBER(MATCH(orderHistory[customer],$D$9,0)*MATCH(orderHistory[status],$D$11,0)),MATCH(ROW(orderHistory[customer]),ROW(orderHistory[customer])),""),ROWS($A$15:A19)+$B$3)),INDEX(orderHistory[customer],SMALL(IF(ISNUMBER(MATCH(orderHistory[customer],$D$9,0)*MATCH(orderHistory[status],$D$11,0)*MATCH(YEAR(orderHistory[invoice_date]),$D$15,0)),MATCH(ROW(orderHistory[customer]),ROW(orderHistory[customer])),""),ROWS($A$15:A19)+$B$3))),IF($D$15="",INDEX(orderHistory[customer],SMALL(IF(ISNUMBER(MATCH(orderHistory[customer],$D$9,0)*MATCH(orderHistory[status],$D$11,0)*MATCH(orderHistory[order_type],$D$13,0)),MATCH(ROW(orderHistory[customer]),ROW(orderHistory[customer])),""),ROWS($A$15:A19)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LUXUM BEAUTY - ULM</v>
      </c>
      <c r="M14" s="382">
        <f t="array" ref="M14">IFERROR(IF($D$9="",IF($D$11="",IF($D$13="",IF($D$15="",INDEX(orderHistory[order_no],SMALL(MATCH(ROW(orderHistory[customer]),ROW(orderHistory[customer])),ROWS($A$15:A19)+$B$3)),INDEX(orderHistory[order_no],SMALL(IF(ISNUMBER(MATCH(YEAR(orderHistory[invoice_date]),$D$15,0)),MATCH(ROW(orderHistory[customer]),ROW(orderHistory[customer])),""),ROWS($A$15:A19)+$B$3))),IF($D$15="",INDEX(orderHistory[order_no],SMALL(IF(ISNUMBER(MATCH(orderHistory[order_type],$D$13,0)),MATCH(ROW(orderHistory[customer]),ROW(orderHistory[customer])),""),ROWS($A$15:A19)+$B$3)),INDEX(orderHistory[order_no],SMALL(IF(ISNUMBER(MATCH(orderHistory[order_type],$D$13,0)*MATCH(YEAR(orderHistory[invoice_date]),$D$15,0)),MATCH(ROW(orderHistory[customer]),ROW(orderHistory[customer])),""),ROWS($A$15:A19)+$B$3)))),IF($D$13="",IF($D$15="",INDEX(orderHistory[order_no],SMALL(IF(ISNUMBER(MATCH(orderHistory[status],$D$11,0)),MATCH(ROW(orderHistory[customer]),ROW(orderHistory[customer])),""),ROWS($A$15:A19)+$B$3)),INDEX(orderHistory[order_no],SMALL(IF(ISNUMBER(MATCH(orderHistory[status],$D$11,0)*MATCH(YEAR(orderHistory[invoice_date]),$D$15,0)),MATCH(ROW(orderHistory[customer]),ROW(orderHistory[customer])),""),ROWS($A$15:A19)+$B$3))),IF($D$15="",INDEX(orderHistory[order_no],SMALL(IF(ISNUMBER(MATCH(orderHistory[status],$D$11,0)*MATCH(orderHistory[order_type],$D$13,0)),MATCH(ROW(orderHistory[customer]),ROW(orderHistory[customer])),""),ROWS($A$15:A19)+$B$3)),INDEX(orderHistory[order_no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order_no],SMALL(IF(ISNUMBER(MATCH(orderHistory[customer],$D$9,0)),MATCH(ROW(orderHistory[customer]),ROW(orderHistory[customer])),""),ROWS($A$15:A19)+$B$3)),INDEX(orderHistory[order_no],SMALL(IF(ISNUMBER(MATCH(orderHistory[customer],$D$9,0)*MATCH(YEAR(orderHistory[invoice_date]),$D$15,0)),MATCH(ROW(orderHistory[customer]),ROW(orderHistory[customer])),""),ROWS($A$15:A19)+$B$3))),IF($D$15="",INDEX(orderHistory[order_no],SMALL(IF(ISNUMBER(MATCH(orderHistory[customer],$D$9,0)*MATCH(orderHistory[order_type],$D$13,0)),MATCH(ROW(orderHistory[customer]),ROW(orderHistory[customer])),""),ROWS($A$15:A19)+$B$3)),INDEX(orderHistory[order_no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order_no],SMALL(IF(ISNUMBER(MATCH(orderHistory[customer],$D$9,0)*MATCH(orderHistory[status],$D$11,0)),MATCH(ROW(orderHistory[customer]),ROW(orderHistory[customer])),""),ROWS($A$15:A19)+$B$3)),INDEX(orderHistory[order_no],SMALL(IF(ISNUMBER(MATCH(orderHistory[customer],$D$9,0)*MATCH(orderHistory[status],$D$11,0)*MATCH(YEAR(orderHistory[invoice_date]),$D$15,0)),MATCH(ROW(orderHistory[customer]),ROW(orderHistory[customer])),""),ROWS($A$15:A19)+$B$3))),IF($D$15="",INDEX(orderHistory[order_no],SMALL(IF(ISNUMBER(MATCH(orderHistory[customer],$D$9,0)*MATCH(orderHistory[status],$D$11,0)*MATCH(orderHistory[order_type],$D$13,0)),MATCH(ROW(orderHistory[customer]),ROW(orderHistory[customer])),""),ROWS($A$15:A19)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111</v>
      </c>
      <c r="N14" s="383" t="str">
        <f t="array" ref="N14">IFERROR(IF($D$9="",IF($D$11="",IF($D$13="",IF($D$15="",INDEX(orderHistory[order_type],SMALL(MATCH(ROW(orderHistory[customer]),ROW(orderHistory[customer])),ROWS($A$15:A19)+$B$3)),INDEX(orderHistory[order_type],SMALL(IF(ISNUMBER(MATCH(YEAR(orderHistory[invoice_date]),$D$15,0)),MATCH(ROW(orderHistory[customer]),ROW(orderHistory[customer])),""),ROWS($A$15:A19)+$B$3))),IF($D$15="",INDEX(orderHistory[order_type],SMALL(IF(ISNUMBER(MATCH(orderHistory[order_type],$D$13,0)),MATCH(ROW(orderHistory[customer]),ROW(orderHistory[customer])),""),ROWS($A$15:A19)+$B$3)),INDEX(orderHistory[order_type],SMALL(IF(ISNUMBER(MATCH(orderHistory[order_type],$D$13,0)*MATCH(YEAR(orderHistory[invoice_date]),$D$15,0)),MATCH(ROW(orderHistory[customer]),ROW(orderHistory[customer])),""),ROWS($A$15:A19)+$B$3)))),IF($D$13="",IF($D$15="",INDEX(orderHistory[order_type],SMALL(IF(ISNUMBER(MATCH(orderHistory[status],$D$11,0)),MATCH(ROW(orderHistory[customer]),ROW(orderHistory[customer])),""),ROWS($A$15:A19)+$B$3)),INDEX(orderHistory[order_type],SMALL(IF(ISNUMBER(MATCH(orderHistory[status],$D$11,0)*MATCH(YEAR(orderHistory[invoice_date]),$D$15,0)),MATCH(ROW(orderHistory[customer]),ROW(orderHistory[customer])),""),ROWS($A$15:A19)+$B$3))),IF($D$15="",INDEX(orderHistory[order_type],SMALL(IF(ISNUMBER(MATCH(orderHistory[status],$D$11,0)*MATCH(orderHistory[order_type],$D$13,0)),MATCH(ROW(orderHistory[customer]),ROW(orderHistory[customer])),""),ROWS($A$15:A19)+$B$3)),INDEX(orderHistory[order_type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order_type],SMALL(IF(ISNUMBER(MATCH(orderHistory[customer],$D$9,0)),MATCH(ROW(orderHistory[customer]),ROW(orderHistory[customer])),""),ROWS($A$15:A19)+$B$3)),INDEX(orderHistory[order_type],SMALL(IF(ISNUMBER(MATCH(orderHistory[customer],$D$9,0)*MATCH(YEAR(orderHistory[invoice_date]),$D$15,0)),MATCH(ROW(orderHistory[customer]),ROW(orderHistory[customer])),""),ROWS($A$15:A19)+$B$3))),IF($D$15="",INDEX(orderHistory[order_type],SMALL(IF(ISNUMBER(MATCH(orderHistory[customer],$D$9,0)*MATCH(orderHistory[order_type],$D$13,0)),MATCH(ROW(orderHistory[customer]),ROW(orderHistory[customer])),""),ROWS($A$15:A19)+$B$3)),INDEX(orderHistory[order_type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order_type],SMALL(IF(ISNUMBER(MATCH(orderHistory[customer],$D$9,0)*MATCH(orderHistory[status],$D$11,0)),MATCH(ROW(orderHistory[customer]),ROW(orderHistory[customer])),""),ROWS($A$15:A19)+$B$3)),INDEX(orderHistory[order_type],SMALL(IF(ISNUMBER(MATCH(orderHistory[customer],$D$9,0)*MATCH(orderHistory[status],$D$11,0)*MATCH(YEAR(orderHistory[invoice_date]),$D$15,0)),MATCH(ROW(orderHistory[customer]),ROW(orderHistory[customer])),""),ROWS($A$15:A19)+$B$3))),IF($D$15="",INDEX(orderHistory[order_type],SMALL(IF(ISNUMBER(MATCH(orderHistory[customer],$D$9,0)*MATCH(orderHistory[status],$D$11,0)*MATCH(orderHistory[order_type],$D$13,0)),MATCH(ROW(orderHistory[customer]),ROW(orderHistory[customer])),""),ROWS($A$15:A19)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SALE</v>
      </c>
      <c r="O14" s="384">
        <f t="array" ref="O14">IFERROR(IF($D$9="",IF($D$11="",IF($D$13="",IF($D$15="",INDEX(orderHistory[order_date],SMALL(MATCH(ROW(orderHistory[customer]),ROW(orderHistory[customer])),ROWS($A$15:A19)+$B$3)),INDEX(orderHistory[order_date],SMALL(IF(ISNUMBER(MATCH(YEAR(orderHistory[invoice_date]),$D$15,0)),MATCH(ROW(orderHistory[customer]),ROW(orderHistory[customer])),""),ROWS($A$15:A19)+$B$3))),IF($D$15="",INDEX(orderHistory[order_date],SMALL(IF(ISNUMBER(MATCH(orderHistory[order_type],$D$13,0)),MATCH(ROW(orderHistory[customer]),ROW(orderHistory[customer])),""),ROWS($A$15:A19)+$B$3)),INDEX(orderHistory[order_date],SMALL(IF(ISNUMBER(MATCH(orderHistory[order_type],$D$13,0)*MATCH(YEAR(orderHistory[invoice_date]),$D$15,0)),MATCH(ROW(orderHistory[customer]),ROW(orderHistory[customer])),""),ROWS($A$15:A19)+$B$3)))),IF($D$13="",IF($D$15="",INDEX(orderHistory[order_date],SMALL(IF(ISNUMBER(MATCH(orderHistory[status],$D$11,0)),MATCH(ROW(orderHistory[customer]),ROW(orderHistory[customer])),""),ROWS($A$15:A19)+$B$3)),INDEX(orderHistory[order_date],SMALL(IF(ISNUMBER(MATCH(orderHistory[status],$D$11,0)*MATCH(YEAR(orderHistory[invoice_date]),$D$15,0)),MATCH(ROW(orderHistory[customer]),ROW(orderHistory[customer])),""),ROWS($A$15:A19)+$B$3))),IF($D$15="",INDEX(orderHistory[order_date],SMALL(IF(ISNUMBER(MATCH(orderHistory[status],$D$11,0)*MATCH(orderHistory[order_type],$D$13,0)),MATCH(ROW(orderHistory[customer]),ROW(orderHistory[customer])),""),ROWS($A$15:A19)+$B$3)),INDEX(orderHistory[order_date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order_date],SMALL(IF(ISNUMBER(MATCH(orderHistory[customer],$D$9,0)),MATCH(ROW(orderHistory[customer]),ROW(orderHistory[customer])),""),ROWS($A$15:A19)+$B$3)),INDEX(orderHistory[order_date],SMALL(IF(ISNUMBER(MATCH(orderHistory[customer],$D$9,0)*MATCH(YEAR(orderHistory[invoice_date]),$D$15,0)),MATCH(ROW(orderHistory[customer]),ROW(orderHistory[customer])),""),ROWS($A$15:A19)+$B$3))),IF($D$15="",INDEX(orderHistory[order_date],SMALL(IF(ISNUMBER(MATCH(orderHistory[customer],$D$9,0)*MATCH(orderHistory[order_type],$D$13,0)),MATCH(ROW(orderHistory[customer]),ROW(orderHistory[customer])),""),ROWS($A$15:A19)+$B$3)),INDEX(orderHistory[order_date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order_date],SMALL(IF(ISNUMBER(MATCH(orderHistory[customer],$D$9,0)*MATCH(orderHistory[status],$D$11,0)),MATCH(ROW(orderHistory[customer]),ROW(orderHistory[customer])),""),ROWS($A$15:A19)+$B$3)),INDEX(orderHistory[order_date],SMALL(IF(ISNUMBER(MATCH(orderHistory[customer],$D$9,0)*MATCH(orderHistory[status],$D$11,0)*MATCH(YEAR(orderHistory[invoice_date]),$D$15,0)),MATCH(ROW(orderHistory[customer]),ROW(orderHistory[customer])),""),ROWS($A$15:A19)+$B$3))),IF($D$15="",INDEX(orderHistory[order_date],SMALL(IF(ISNUMBER(MATCH(orderHistory[customer],$D$9,0)*MATCH(orderHistory[status],$D$11,0)*MATCH(orderHistory[order_type],$D$13,0)),MATCH(ROW(orderHistory[customer]),ROW(orderHistory[customer])),""),ROWS($A$15:A19)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45537</v>
      </c>
      <c r="P14" s="385" t="str">
        <f t="array" ref="P14">IFERROR(IF($D$9="",IF($D$11="",IF($D$13="",IF($D$15="",INDEX(orderHistory[invoice_no],SMALL(MATCH(ROW(orderHistory[customer]),ROW(orderHistory[customer])),ROWS($A$15:A19)+$B$3)),INDEX(orderHistory[invoice_no],SMALL(IF(ISNUMBER(MATCH(YEAR(orderHistory[invoice_date]),$D$15,0)),MATCH(ROW(orderHistory[customer]),ROW(orderHistory[customer])),""),ROWS($A$15:A19)+$B$3))),IF($D$15="",INDEX(orderHistory[invoice_no],SMALL(IF(ISNUMBER(MATCH(orderHistory[order_type],$D$13,0)),MATCH(ROW(orderHistory[customer]),ROW(orderHistory[customer])),""),ROWS($A$15:A19)+$B$3)),INDEX(orderHistory[invoice_no],SMALL(IF(ISNUMBER(MATCH(orderHistory[order_type],$D$13,0)*MATCH(YEAR(orderHistory[invoice_date]),$D$15,0)),MATCH(ROW(orderHistory[customer]),ROW(orderHistory[customer])),""),ROWS($A$15:A19)+$B$3)))),IF($D$13="",IF($D$15="",INDEX(orderHistory[invoice_no],SMALL(IF(ISNUMBER(MATCH(orderHistory[status],$D$11,0)),MATCH(ROW(orderHistory[customer]),ROW(orderHistory[customer])),""),ROWS($A$15:A19)+$B$3)),INDEX(orderHistory[invoice_no],SMALL(IF(ISNUMBER(MATCH(orderHistory[status],$D$11,0)*MATCH(YEAR(orderHistory[invoice_date]),$D$15,0)),MATCH(ROW(orderHistory[customer]),ROW(orderHistory[customer])),""),ROWS($A$15:A19)+$B$3))),IF($D$15="",INDEX(orderHistory[invoice_no],SMALL(IF(ISNUMBER(MATCH(orderHistory[status],$D$11,0)*MATCH(orderHistory[order_type],$D$13,0)),MATCH(ROW(orderHistory[customer]),ROW(orderHistory[customer])),""),ROWS($A$15:A19)+$B$3)),INDEX(orderHistory[invoice_no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invoice_no],SMALL(IF(ISNUMBER(MATCH(orderHistory[customer],$D$9,0)),MATCH(ROW(orderHistory[customer]),ROW(orderHistory[customer])),""),ROWS($A$15:A19)+$B$3)),INDEX(orderHistory[invoice_no],SMALL(IF(ISNUMBER(MATCH(orderHistory[customer],$D$9,0)*MATCH(YEAR(orderHistory[invoice_date]),$D$15,0)),MATCH(ROW(orderHistory[customer]),ROW(orderHistory[customer])),""),ROWS($A$15:A19)+$B$3))),IF($D$15="",INDEX(orderHistory[invoice_no],SMALL(IF(ISNUMBER(MATCH(orderHistory[customer],$D$9,0)*MATCH(orderHistory[order_type],$D$13,0)),MATCH(ROW(orderHistory[customer]),ROW(orderHistory[customer])),""),ROWS($A$15:A19)+$B$3)),INDEX(orderHistory[invoice_no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invoice_no],SMALL(IF(ISNUMBER(MATCH(orderHistory[customer],$D$9,0)*MATCH(orderHistory[status],$D$11,0)),MATCH(ROW(orderHistory[customer]),ROW(orderHistory[customer])),""),ROWS($A$15:A19)+$B$3)),INDEX(orderHistory[invoice_no],SMALL(IF(ISNUMBER(MATCH(orderHistory[customer],$D$9,0)*MATCH(orderHistory[status],$D$11,0)*MATCH(YEAR(orderHistory[invoice_date]),$D$15,0)),MATCH(ROW(orderHistory[customer]),ROW(orderHistory[customer])),""),ROWS($A$15:A19)+$B$3))),IF($D$15="",INDEX(orderHistory[invoice_no],SMALL(IF(ISNUMBER(MATCH(orderHistory[customer],$D$9,0)*MATCH(orderHistory[status],$D$11,0)*MATCH(orderHistory[order_type],$D$13,0)),MATCH(ROW(orderHistory[customer]),ROW(orderHistory[customer])),""),ROWS($A$15:A19)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342</v>
      </c>
      <c r="Q14" s="386">
        <f t="array" ref="Q14">IFERROR(IF($D$9="",IF($D$11="",IF($D$13="",IF($D$15="",INDEX(orderHistory[invoice_date],SMALL(MATCH(ROW(orderHistory[customer]),ROW(orderHistory[customer])),ROWS($A$15:A19)+$B$3)),INDEX(orderHistory[invoice_date],SMALL(IF(ISNUMBER(MATCH(YEAR(orderHistory[invoice_date]),$D$15,0)),MATCH(ROW(orderHistory[customer]),ROW(orderHistory[customer])),""),ROWS($A$15:A19)+$B$3))),IF($D$15="",INDEX(orderHistory[invoice_date],SMALL(IF(ISNUMBER(MATCH(orderHistory[order_type],$D$13,0)),MATCH(ROW(orderHistory[customer]),ROW(orderHistory[customer])),""),ROWS($A$15:A19)+$B$3)),INDEX(orderHistory[invoice_date],SMALL(IF(ISNUMBER(MATCH(orderHistory[order_type],$D$13,0)*MATCH(YEAR(orderHistory[invoice_date]),$D$15,0)),MATCH(ROW(orderHistory[customer]),ROW(orderHistory[customer])),""),ROWS($A$15:A19)+$B$3)))),IF($D$13="",IF($D$15="",INDEX(orderHistory[invoice_date],SMALL(IF(ISNUMBER(MATCH(orderHistory[status],$D$11,0)),MATCH(ROW(orderHistory[customer]),ROW(orderHistory[customer])),""),ROWS($A$15:A19)+$B$3)),INDEX(orderHistory[invoice_date],SMALL(IF(ISNUMBER(MATCH(orderHistory[status],$D$11,0)*MATCH(YEAR(orderHistory[invoice_date]),$D$15,0)),MATCH(ROW(orderHistory[customer]),ROW(orderHistory[customer])),""),ROWS($A$15:A19)+$B$3))),IF($D$15="",INDEX(orderHistory[invoice_date],SMALL(IF(ISNUMBER(MATCH(orderHistory[status],$D$11,0)*MATCH(orderHistory[order_type],$D$13,0)),MATCH(ROW(orderHistory[customer]),ROW(orderHistory[customer])),""),ROWS($A$15:A19)+$B$3)),INDEX(orderHistory[invoice_date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invoice_date],SMALL(IF(ISNUMBER(MATCH(orderHistory[customer],$D$9,0)),MATCH(ROW(orderHistory[customer]),ROW(orderHistory[customer])),""),ROWS($A$15:A19)+$B$3)),INDEX(orderHistory[invoice_date],SMALL(IF(ISNUMBER(MATCH(orderHistory[customer],$D$9,0)*MATCH(YEAR(orderHistory[invoice_date]),$D$15,0)),MATCH(ROW(orderHistory[customer]),ROW(orderHistory[customer])),""),ROWS($A$15:A19)+$B$3))),IF($D$15="",INDEX(orderHistory[invoice_date],SMALL(IF(ISNUMBER(MATCH(orderHistory[customer],$D$9,0)*MATCH(orderHistory[order_type],$D$13,0)),MATCH(ROW(orderHistory[customer]),ROW(orderHistory[customer])),""),ROWS($A$15:A19)+$B$3)),INDEX(orderHistory[invoice_date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invoice_date],SMALL(IF(ISNUMBER(MATCH(orderHistory[customer],$D$9,0)*MATCH(orderHistory[status],$D$11,0)),MATCH(ROW(orderHistory[customer]),ROW(orderHistory[customer])),""),ROWS($A$15:A19)+$B$3)),INDEX(orderHistory[invoice_date],SMALL(IF(ISNUMBER(MATCH(orderHistory[customer],$D$9,0)*MATCH(orderHistory[status],$D$11,0)*MATCH(YEAR(orderHistory[invoice_date]),$D$15,0)),MATCH(ROW(orderHistory[customer]),ROW(orderHistory[customer])),""),ROWS($A$15:A19)+$B$3))),IF($D$15="",INDEX(orderHistory[invoice_date],SMALL(IF(ISNUMBER(MATCH(orderHistory[customer],$D$9,0)*MATCH(orderHistory[status],$D$11,0)*MATCH(orderHistory[order_type],$D$13,0)),MATCH(ROW(orderHistory[customer]),ROW(orderHistory[customer])),""),ROWS($A$15:A19)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45561</v>
      </c>
      <c r="R14" s="387">
        <f t="array" ref="R14">IFERROR(IF($D$9="",IF($D$11="",IF($D$13="",IF($D$15="",INDEX(orderHistory[inv_amount],SMALL(MATCH(ROW(orderHistory[customer]),ROW(orderHistory[customer])),ROWS($A$15:A19)+$B$3)),INDEX(orderHistory[inv_amount],SMALL(IF(ISNUMBER(MATCH(YEAR(orderHistory[invoice_date]),$D$15,0)),MATCH(ROW(orderHistory[customer]),ROW(orderHistory[customer])),""),ROWS($A$15:A19)+$B$3))),IF($D$15="",INDEX(orderHistory[inv_amount],SMALL(IF(ISNUMBER(MATCH(orderHistory[order_type],$D$13,0)),MATCH(ROW(orderHistory[customer]),ROW(orderHistory[customer])),""),ROWS($A$15:A19)+$B$3)),INDEX(orderHistory[inv_amount],SMALL(IF(ISNUMBER(MATCH(orderHistory[order_type],$D$13,0)*MATCH(YEAR(orderHistory[invoice_date]),$D$15,0)),MATCH(ROW(orderHistory[customer]),ROW(orderHistory[customer])),""),ROWS($A$15:A19)+$B$3)))),IF($D$13="",IF($D$15="",INDEX(orderHistory[inv_amount],SMALL(IF(ISNUMBER(MATCH(orderHistory[status],$D$11,0)),MATCH(ROW(orderHistory[customer]),ROW(orderHistory[customer])),""),ROWS($A$15:A19)+$B$3)),INDEX(orderHistory[inv_amount],SMALL(IF(ISNUMBER(MATCH(orderHistory[status],$D$11,0)*MATCH(YEAR(orderHistory[invoice_date]),$D$15,0)),MATCH(ROW(orderHistory[customer]),ROW(orderHistory[customer])),""),ROWS($A$15:A19)+$B$3))),IF($D$15="",INDEX(orderHistory[inv_amount],SMALL(IF(ISNUMBER(MATCH(orderHistory[status],$D$11,0)*MATCH(orderHistory[order_type],$D$13,0)),MATCH(ROW(orderHistory[customer]),ROW(orderHistory[customer])),""),ROWS($A$15:A19)+$B$3)),INDEX(orderHistory[inv_amount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inv_amount],SMALL(IF(ISNUMBER(MATCH(orderHistory[customer],$D$9,0)),MATCH(ROW(orderHistory[customer]),ROW(orderHistory[customer])),""),ROWS($A$15:A19)+$B$3)),INDEX(orderHistory[inv_amount],SMALL(IF(ISNUMBER(MATCH(orderHistory[customer],$D$9,0)*MATCH(YEAR(orderHistory[invoice_date]),$D$15,0)),MATCH(ROW(orderHistory[customer]),ROW(orderHistory[customer])),""),ROWS($A$15:A19)+$B$3))),IF($D$15="",INDEX(orderHistory[inv_amount],SMALL(IF(ISNUMBER(MATCH(orderHistory[customer],$D$9,0)*MATCH(orderHistory[order_type],$D$13,0)),MATCH(ROW(orderHistory[customer]),ROW(orderHistory[customer])),""),ROWS($A$15:A19)+$B$3)),INDEX(orderHistory[inv_amount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inv_amount],SMALL(IF(ISNUMBER(MATCH(orderHistory[customer],$D$9,0)*MATCH(orderHistory[status],$D$11,0)),MATCH(ROW(orderHistory[customer]),ROW(orderHistory[customer])),""),ROWS($A$15:A19)+$B$3)),INDEX(orderHistory[inv_amount],SMALL(IF(ISNUMBER(MATCH(orderHistory[customer],$D$9,0)*MATCH(orderHistory[status],$D$11,0)*MATCH(YEAR(orderHistory[inv_amount]),$D$15,0)),MATCH(ROW(orderHistory[customer]),ROW(orderHistory[customer])),""),ROWS($A$15:A19)+$B$3))),IF($D$15="",INDEX(orderHistory[inv_amount],SMALL(IF(ISNUMBER(MATCH(orderHistory[customer],$D$9,0)*MATCH(orderHistory[status],$D$11,0)*MATCH(orderHistory[order_type],$D$13,0)),MATCH(ROW(orderHistory[customer]),ROW(orderHistory[customer])),""),ROWS($A$15:A19)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50700</v>
      </c>
      <c r="S14" s="465" t="str">
        <f t="array" ref="S14">IFERROR(IF($D$9="",IF($D$11="",IF($D$13="",IF($D$15="",INDEX(orderHistory[lock_goods],SMALL(MATCH(ROW(orderHistory[customer]),ROW(orderHistory[customer])),ROWS($A$15:A19)+$B$3)),INDEX(orderHistory[lock_goods],SMALL(IF(ISNUMBER(MATCH(YEAR(orderHistory[invoice_date]),$D$15,0)),MATCH(ROW(orderHistory[customer]),ROW(orderHistory[customer])),""),ROWS($A$15:A19)+$B$3))),IF($D$15="",INDEX(orderHistory[lock_goods],SMALL(IF(ISNUMBER(MATCH(orderHistory[order_type],$D$13,0)),MATCH(ROW(orderHistory[customer]),ROW(orderHistory[customer])),""),ROWS($A$15:A19)+$B$3)),INDEX(orderHistory[lock_goods],SMALL(IF(ISNUMBER(MATCH(orderHistory[order_type],$D$13,0)*MATCH(YEAR(orderHistory[invoice_date]),$D$15,0)),MATCH(ROW(orderHistory[customer]),ROW(orderHistory[customer])),""),ROWS($A$15:A19)+$B$3)))),IF($D$13="",IF($D$15="",INDEX(orderHistory[lock_goods],SMALL(IF(ISNUMBER(MATCH(orderHistory[status],$D$11,0)),MATCH(ROW(orderHistory[customer]),ROW(orderHistory[customer])),""),ROWS($A$15:A19)+$B$3)),INDEX(orderHistory[lock_goods],SMALL(IF(ISNUMBER(MATCH(orderHistory[status],$D$11,0)*MATCH(YEAR(orderHistory[invoice_date]),$D$15,0)),MATCH(ROW(orderHistory[customer]),ROW(orderHistory[customer])),""),ROWS($A$15:A19)+$B$3))),IF($D$15="",INDEX(orderHistory[lock_goods],SMALL(IF(ISNUMBER(MATCH(orderHistory[status],$D$11,0)*MATCH(orderHistory[order_type],$D$13,0)),MATCH(ROW(orderHistory[customer]),ROW(orderHistory[customer])),""),ROWS($A$15:A19)+$B$3)),INDEX(orderHistory[lock_goods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lock_goods],SMALL(IF(ISNUMBER(MATCH(orderHistory[customer],$D$9,0)),MATCH(ROW(orderHistory[customer]),ROW(orderHistory[customer])),""),ROWS($A$15:A19)+$B$3)),INDEX(orderHistory[lock_goods],SMALL(IF(ISNUMBER(MATCH(orderHistory[customer],$D$9,0)*MATCH(YEAR(orderHistory[invoice_date]),$D$15,0)),MATCH(ROW(orderHistory[customer]),ROW(orderHistory[customer])),""),ROWS($A$15:A19)+$B$3))),IF($D$15="",INDEX(orderHistory[lock_goods],SMALL(IF(ISNUMBER(MATCH(orderHistory[customer],$D$9,0)*MATCH(orderHistory[order_type],$D$13,0)),MATCH(ROW(orderHistory[customer]),ROW(orderHistory[customer])),""),ROWS($A$15:A19)+$B$3)),INDEX(orderHistory[lock_goods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lock_goods],SMALL(IF(ISNUMBER(MATCH(orderHistory[customer],$D$9,0)*MATCH(orderHistory[status],$D$11,0)),MATCH(ROW(orderHistory[customer]),ROW(orderHistory[customer])),""),ROWS($A$15:A19)+$B$3)),INDEX(orderHistory[lock_goods],SMALL(IF(ISNUMBER(MATCH(orderHistory[customer],$D$9,0)*MATCH(orderHistory[status],$D$11,0)*MATCH(YEAR(orderHistory[payed]),$D$15,0)),MATCH(ROW(orderHistory[customer]),ROW(orderHistory[customer])),""),ROWS($A$15:A19)+$B$3))),IF($D$15="",INDEX(orderHistory[lock_goods],SMALL(IF(ISNUMBER(MATCH(orderHistory[customer],$D$9,0)*MATCH(orderHistory[status],$D$11,0)*MATCH(orderHistory[order_type],$D$13,0)),MATCH(ROW(orderHistory[customer]),ROW(orderHistory[customer])),""),ROWS($A$15:A19)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GOODS SENT</v>
      </c>
      <c r="T14" s="388" t="b">
        <f t="array" ref="T14">IFERROR(IF($D$9="",IF($D$11="",IF($D$13="",IF($D$15="",INDEX(orderHistory[payed],SMALL(MATCH(ROW(orderHistory[customer]),ROW(orderHistory[customer])),ROWS($A$15:A19)+$B$3)),INDEX(orderHistory[payed],SMALL(IF(ISNUMBER(MATCH(YEAR(orderHistory[invoice_date]),$D$15,0)),MATCH(ROW(orderHistory[customer]),ROW(orderHistory[customer])),""),ROWS($A$15:A19)+$B$3))),IF($D$15="",INDEX(orderHistory[payed],SMALL(IF(ISNUMBER(MATCH(orderHistory[order_type],$D$13,0)),MATCH(ROW(orderHistory[customer]),ROW(orderHistory[customer])),""),ROWS($A$15:A19)+$B$3)),INDEX(orderHistory[payed],SMALL(IF(ISNUMBER(MATCH(orderHistory[order_type],$D$13,0)*MATCH(YEAR(orderHistory[invoice_date]),$D$15,0)),MATCH(ROW(orderHistory[customer]),ROW(orderHistory[customer])),""),ROWS($A$15:A19)+$B$3)))),IF($D$13="",IF($D$15="",INDEX(orderHistory[payed],SMALL(IF(ISNUMBER(MATCH(orderHistory[status],$D$11,0)),MATCH(ROW(orderHistory[customer]),ROW(orderHistory[customer])),""),ROWS($A$15:A19)+$B$3)),INDEX(orderHistory[payed],SMALL(IF(ISNUMBER(MATCH(orderHistory[status],$D$11,0)*MATCH(YEAR(orderHistory[invoice_date]),$D$15,0)),MATCH(ROW(orderHistory[customer]),ROW(orderHistory[customer])),""),ROWS($A$15:A19)+$B$3))),IF($D$15="",INDEX(orderHistory[payed],SMALL(IF(ISNUMBER(MATCH(orderHistory[status],$D$11,0)*MATCH(orderHistory[order_type],$D$13,0)),MATCH(ROW(orderHistory[customer]),ROW(orderHistory[customer])),""),ROWS($A$15:A19)+$B$3)),INDEX(orderHistory[payed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payed],SMALL(IF(ISNUMBER(MATCH(orderHistory[customer],$D$9,0)),MATCH(ROW(orderHistory[customer]),ROW(orderHistory[customer])),""),ROWS($A$15:A19)+$B$3)),INDEX(orderHistory[payed],SMALL(IF(ISNUMBER(MATCH(orderHistory[customer],$D$9,0)*MATCH(YEAR(orderHistory[invoice_date]),$D$15,0)),MATCH(ROW(orderHistory[customer]),ROW(orderHistory[customer])),""),ROWS($A$15:A19)+$B$3))),IF($D$15="",INDEX(orderHistory[payed],SMALL(IF(ISNUMBER(MATCH(orderHistory[customer],$D$9,0)*MATCH(orderHistory[order_type],$D$13,0)),MATCH(ROW(orderHistory[customer]),ROW(orderHistory[customer])),""),ROWS($A$15:A19)+$B$3)),INDEX(orderHistory[payed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payed],SMALL(IF(ISNUMBER(MATCH(orderHistory[customer],$D$9,0)*MATCH(orderHistory[status],$D$11,0)),MATCH(ROW(orderHistory[customer]),ROW(orderHistory[customer])),""),ROWS($A$15:A19)+$B$3)),INDEX(orderHistory[payed],SMALL(IF(ISNUMBER(MATCH(orderHistory[customer],$D$9,0)*MATCH(orderHistory[status],$D$11,0)*MATCH(YEAR(orderHistory[payed]),$D$15,0)),MATCH(ROW(orderHistory[customer]),ROW(orderHistory[customer])),""),ROWS($A$15:A19)+$B$3))),IF($D$15="",INDEX(orderHistory[payed],SMALL(IF(ISNUMBER(MATCH(orderHistory[customer],$D$9,0)*MATCH(orderHistory[status],$D$11,0)*MATCH(orderHistory[order_type],$D$13,0)),MATCH(ROW(orderHistory[customer]),ROW(orderHistory[customer])),""),ROWS($A$15:A19)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0</v>
      </c>
      <c r="U14" s="383" t="str">
        <f t="array" ref="U14">IFERROR(IF($D$9="",IF($D$11="",IF($D$13="",IF($D$15="",INDEX(orderHistory[shipping_method],SMALL(MATCH(ROW(orderHistory[customer]),ROW(orderHistory[customer])),ROWS($A$15:A19)+$B$3)),INDEX(orderHistory[shipping_method],SMALL(IF(ISNUMBER(MATCH(YEAR(orderHistory[invoice_date]),$D$15,0)),MATCH(ROW(orderHistory[customer]),ROW(orderHistory[customer])),""),ROWS($A$15:A19)+$B$3))),IF($D$15="",INDEX(orderHistory[shipping_method],SMALL(IF(ISNUMBER(MATCH(orderHistory[order_type],$D$13,0)),MATCH(ROW(orderHistory[customer]),ROW(orderHistory[customer])),""),ROWS($A$15:A19)+$B$3)),INDEX(orderHistory[shipping_method],SMALL(IF(ISNUMBER(MATCH(orderHistory[order_type],$D$13,0)*MATCH(YEAR(orderHistory[invoice_date]),$D$15,0)),MATCH(ROW(orderHistory[customer]),ROW(orderHistory[customer])),""),ROWS($A$15:A19)+$B$3)))),IF($D$13="",IF($D$15="",INDEX(orderHistory[shipping_method],SMALL(IF(ISNUMBER(MATCH(orderHistory[status],$D$11,0)),MATCH(ROW(orderHistory[customer]),ROW(orderHistory[customer])),""),ROWS($A$15:A19)+$B$3)),INDEX(orderHistory[shipping_method],SMALL(IF(ISNUMBER(MATCH(orderHistory[status],$D$11,0)*MATCH(YEAR(orderHistory[invoice_date]),$D$15,0)),MATCH(ROW(orderHistory[customer]),ROW(orderHistory[customer])),""),ROWS($A$15:A19)+$B$3))),IF($D$15="",INDEX(orderHistory[shipping_method],SMALL(IF(ISNUMBER(MATCH(orderHistory[status],$D$11,0)*MATCH(orderHistory[order_type],$D$13,0)),MATCH(ROW(orderHistory[customer]),ROW(orderHistory[customer])),""),ROWS($A$15:A19)+$B$3)),INDEX(orderHistory[shipping_method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shipping_method],SMALL(IF(ISNUMBER(MATCH(orderHistory[customer],$D$9,0)),MATCH(ROW(orderHistory[customer]),ROW(orderHistory[customer])),""),ROWS($A$15:A19)+$B$3)),INDEX(orderHistory[shipping_method],SMALL(IF(ISNUMBER(MATCH(orderHistory[customer],$D$9,0)*MATCH(YEAR(orderHistory[invoice_date]),$D$15,0)),MATCH(ROW(orderHistory[customer]),ROW(orderHistory[customer])),""),ROWS($A$15:A19)+$B$3))),IF($D$15="",INDEX(orderHistory[shipping_method],SMALL(IF(ISNUMBER(MATCH(orderHistory[customer],$D$9,0)*MATCH(orderHistory[order_type],$D$13,0)),MATCH(ROW(orderHistory[customer]),ROW(orderHistory[customer])),""),ROWS($A$15:A19)+$B$3)),INDEX(orderHistory[shipping_method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shipping_method],SMALL(IF(ISNUMBER(MATCH(orderHistory[customer],$D$9,0)*MATCH(orderHistory[status],$D$11,0)),MATCH(ROW(orderHistory[customer]),ROW(orderHistory[customer])),""),ROWS($A$15:A19)+$B$3)),INDEX(orderHistory[shipping_method],SMALL(IF(ISNUMBER(MATCH(orderHistory[customer],$D$9,0)*MATCH(orderHistory[status],$D$11,0)*MATCH(YEAR(orderHistory[shipping_method]),$D$15,0)),MATCH(ROW(orderHistory[customer]),ROW(orderHistory[customer])),""),ROWS($A$15:A19)+$B$3))),IF($D$15="",INDEX(orderHistory[shipping_method],SMALL(IF(ISNUMBER(MATCH(orderHistory[customer],$D$9,0)*MATCH(orderHistory[status],$D$11,0)*MATCH(orderHistory[order_type],$D$13,0)),MATCH(ROW(orderHistory[customer]),ROW(orderHistory[customer])),""),ROWS($A$15:A19)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BY ROAD</v>
      </c>
      <c r="V14" s="388" t="str">
        <f t="array" ref="V14">IFERROR(IF($D$9="",IF($D$11="",IF($D$13="",IF($D$15="",INDEX(orderHistory[status],SMALL(MATCH(ROW(orderHistory[customer]),ROW(orderHistory[customer])),ROWS($A$15:A19)+$B$3)),INDEX(orderHistory[status],SMALL(IF(ISNUMBER(MATCH(YEAR(orderHistory[invoice_date]),$D$15,0)),MATCH(ROW(orderHistory[customer]),ROW(orderHistory[customer])),""),ROWS($A$15:A19)+$B$3))),IF($D$15="",INDEX(orderHistory[status],SMALL(IF(ISNUMBER(MATCH(orderHistory[order_type],$D$13,0)),MATCH(ROW(orderHistory[customer]),ROW(orderHistory[customer])),""),ROWS($A$15:A19)+$B$3)),INDEX(orderHistory[status],SMALL(IF(ISNUMBER(MATCH(orderHistory[order_type],$D$13,0)*MATCH(YEAR(orderHistory[invoice_date]),$D$15,0)),MATCH(ROW(orderHistory[customer]),ROW(orderHistory[customer])),""),ROWS($A$15:A19)+$B$3)))),IF($D$13="",IF($D$15="",INDEX(orderHistory[status],SMALL(IF(ISNUMBER(MATCH(orderHistory[status],$D$11,0)),MATCH(ROW(orderHistory[customer]),ROW(orderHistory[customer])),""),ROWS($A$15:A19)+$B$3)),INDEX(orderHistory[status],SMALL(IF(ISNUMBER(MATCH(orderHistory[status],$D$11,0)*MATCH(YEAR(orderHistory[invoice_date]),$D$15,0)),MATCH(ROW(orderHistory[customer]),ROW(orderHistory[customer])),""),ROWS($A$15:A19)+$B$3))),IF($D$15="",INDEX(orderHistory[status],SMALL(IF(ISNUMBER(MATCH(orderHistory[status],$D$11,0)*MATCH(orderHistory[order_type],$D$13,0)),MATCH(ROW(orderHistory[customer]),ROW(orderHistory[customer])),""),ROWS($A$15:A19)+$B$3)),INDEX(orderHistory[status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status],SMALL(IF(ISNUMBER(MATCH(orderHistory[customer],$D$9,0)),MATCH(ROW(orderHistory[customer]),ROW(orderHistory[customer])),""),ROWS($A$15:A19)+$B$3)),INDEX(orderHistory[status],SMALL(IF(ISNUMBER(MATCH(orderHistory[customer],$D$9,0)*MATCH(YEAR(orderHistory[invoice_date]),$D$15,0)),MATCH(ROW(orderHistory[customer]),ROW(orderHistory[customer])),""),ROWS($A$15:A19)+$B$3))),IF($D$15="",INDEX(orderHistory[status],SMALL(IF(ISNUMBER(MATCH(orderHistory[customer],$D$9,0)*MATCH(orderHistory[order_type],$D$13,0)),MATCH(ROW(orderHistory[customer]),ROW(orderHistory[customer])),""),ROWS($A$15:A19)+$B$3)),INDEX(orderHistory[status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status],SMALL(IF(ISNUMBER(MATCH(orderHistory[customer],$D$9,0)*MATCH(orderHistory[status],$D$11,0)),MATCH(ROW(orderHistory[customer]),ROW(orderHistory[customer])),""),ROWS($A$15:A19)+$B$3)),INDEX(orderHistory[status],SMALL(IF(ISNUMBER(MATCH(orderHistory[customer],$D$9,0)*MATCH(orderHistory[status],$D$11,0)*MATCH(YEAR(orderHistory[status]),$D$15,0)),MATCH(ROW(orderHistory[customer]),ROW(orderHistory[customer])),""),ROWS($A$15:A19)+$B$3))),IF($D$15="",INDEX(orderHistory[status],SMALL(IF(ISNUMBER(MATCH(orderHistory[customer],$D$9,0)*MATCH(orderHistory[status],$D$11,0)*MATCH(orderHistory[order_type],$D$13,0)),MATCH(ROW(orderHistory[customer]),ROW(orderHistory[customer])),""),ROWS($A$15:A19)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SHIPPED</v>
      </c>
      <c r="W14" s="547" t="str">
        <f t="array" ref="W14">IFERROR(IF($D$9="",IF($D$11="",IF($D$13="",IF($D$15="",INDEX(orderHistory[custom_docs],SMALL(MATCH(ROW(orderHistory[customer]),ROW(orderHistory[customer])),ROWS($A$15:A19)+$B$3)),INDEX(orderHistory[custom_docs],SMALL(IF(ISNUMBER(MATCH(YEAR(orderHistory[invoice_date]),$D$15,0)),MATCH(ROW(orderHistory[customer]),ROW(orderHistory[customer])),""),ROWS($A$15:A19)+$B$3))),IF($D$15="",INDEX(orderHistory[custom_docs],SMALL(IF(ISNUMBER(MATCH(orderHistory[order_type],$D$13,0)),MATCH(ROW(orderHistory[customer]),ROW(orderHistory[customer])),""),ROWS($A$15:A19)+$B$3)),INDEX(orderHistory[custom_docs],SMALL(IF(ISNUMBER(MATCH(orderHistory[order_type],$D$13,0)*MATCH(YEAR(orderHistory[invoice_date]),$D$15,0)),MATCH(ROW(orderHistory[customer]),ROW(orderHistory[customer])),""),ROWS($A$15:A19)+$B$3)))),IF($D$13="",IF($D$15="",INDEX(orderHistory[custom_docs],SMALL(IF(ISNUMBER(MATCH(orderHistory[status],$D$11,0)),MATCH(ROW(orderHistory[customer]),ROW(orderHistory[customer])),""),ROWS($A$15:A19)+$B$3)),INDEX(orderHistory[custom_docs],SMALL(IF(ISNUMBER(MATCH(orderHistory[status],$D$11,0)*MATCH(YEAR(orderHistory[invoice_date]),$D$15,0)),MATCH(ROW(orderHistory[customer]),ROW(orderHistory[customer])),""),ROWS($A$15:A19)+$B$3))),IF($D$15="",INDEX(orderHistory[custom_docs],SMALL(IF(ISNUMBER(MATCH(orderHistory[status],$D$11,0)*MATCH(orderHistory[order_type],$D$13,0)),MATCH(ROW(orderHistory[customer]),ROW(orderHistory[customer])),""),ROWS($A$15:A19)+$B$3)),INDEX(orderHistory[custom_docs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custom_docs],SMALL(IF(ISNUMBER(MATCH(orderHistory[customer],$D$9,0)),MATCH(ROW(orderHistory[customer]),ROW(orderHistory[customer])),""),ROWS($A$15:A19)+$B$3)),INDEX(orderHistory[custom_docs],SMALL(IF(ISNUMBER(MATCH(orderHistory[customer],$D$9,0)*MATCH(YEAR(orderHistory[invoice_date]),$D$15,0)),MATCH(ROW(orderHistory[customer]),ROW(orderHistory[customer])),""),ROWS($A$15:A19)+$B$3))),IF($D$15="",INDEX(orderHistory[custom_docs],SMALL(IF(ISNUMBER(MATCH(orderHistory[customer],$D$9,0)*MATCH(orderHistory[order_type],$D$13,0)),MATCH(ROW(orderHistory[customer]),ROW(orderHistory[customer])),""),ROWS($A$15:A19)+$B$3)),INDEX(orderHistory[custom_docs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custom_docs],SMALL(IF(ISNUMBER(MATCH(orderHistory[customer],$D$9,0)*MATCH(orderHistory[status],$D$11,0)),MATCH(ROW(orderHistory[customer]),ROW(orderHistory[customer])),""),ROWS($A$15:A19)+$B$3)),INDEX(orderHistory[custom_docs],SMALL(IF(ISNUMBER(MATCH(orderHistory[customer],$D$9,0)*MATCH(orderHistory[status],$D$11,0)*MATCH(YEAR(orderHistory[status]),$D$15,0)),MATCH(ROW(orderHistory[customer]),ROW(orderHistory[customer])),""),ROWS($A$15:A19)+$B$3))),IF($D$15="",INDEX(orderHistory[custom_docs],SMALL(IF(ISNUMBER(MATCH(orderHistory[customer],$D$9,0)*MATCH(orderHistory[status],$D$11,0)*MATCH(orderHistory[order_type],$D$13,0)),MATCH(ROW(orderHistory[customer]),ROW(orderHistory[customer])),""),ROWS($A$15:A19)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OK</v>
      </c>
      <c r="AQ14" s="308"/>
      <c r="AR14" s="324"/>
      <c r="AS14" s="310"/>
      <c r="AT14" s="325"/>
      <c r="AU14" s="271"/>
      <c r="AW14" s="308"/>
      <c r="AX14" s="273"/>
      <c r="BD14" s="306"/>
      <c r="BE14" s="306"/>
      <c r="BF14" s="312"/>
      <c r="BG14" s="312"/>
      <c r="BH14" s="312"/>
      <c r="BJ14" s="271"/>
      <c r="BK14" s="321"/>
      <c r="BL14" s="297"/>
      <c r="BM14" s="298"/>
      <c r="BN14" s="297"/>
      <c r="BO14" s="298"/>
      <c r="BX14" s="263" t="s">
        <v>763</v>
      </c>
      <c r="BZ14" s="412" t="s">
        <v>116</v>
      </c>
      <c r="CA14" s="401" t="str">
        <f>IFERROR(IF(BZ14="","",INDEX(bhpc_data[description],MATCH(BZ14,bhpc_data[sku],0))),"")</f>
        <v>BHPC PRESTIGE ELEGANCE 100ML EDP WOMEN</v>
      </c>
      <c r="CB14" s="402">
        <v>48</v>
      </c>
      <c r="CC14" s="886">
        <v>15.849721162312886</v>
      </c>
      <c r="CD14" s="411"/>
      <c r="CE14" s="890"/>
      <c r="CF14" s="404"/>
      <c r="CG14" s="405">
        <f>IFERROR(ROUNDUP(CB14/INDEX(bhpc_data[units_per_carton],MATCH(BZ14,bhpc_data[sku],0)),0),"")</f>
        <v>2</v>
      </c>
      <c r="CH14" s="406">
        <f>IFERROR(ROUNDUP(CD14/INDEX(bhpc_data[units_per_carton],MATCH(BZ14,bhpc_data[sku],0)),0),"")</f>
        <v>0</v>
      </c>
      <c r="CI14" s="406" t="str">
        <f>IFERROR(ROUNDUP(CF14/INDEX(bhpc_data[units_per_carton],MATCH(BZ14,bhpc_data[sku])),0),"")</f>
        <v/>
      </c>
      <c r="CJ14" s="406">
        <f>IFERROR(((CB14+CD14+CF14)/INDEX(bhpc_data[units_per_carton],MATCH(BZ14,bhpc_data[sku],0)))*INDEX(bhpc_data[net_weight],MATCH(BZ14,bhpc_data[sku],0)),"")</f>
        <v>18.239999999999998</v>
      </c>
      <c r="CK14" s="406">
        <f>IFERROR(((CB14+CD14+CF14)/INDEX(bhpc_data[units_per_carton],MATCH(BZ14,bhpc_data[sku],0)))*INDEX(bhpc_data[gross_weight],MATCH(BZ14,bhpc_data[sku],0)),"")</f>
        <v>19</v>
      </c>
      <c r="CL14" s="602">
        <f>IFERROR((CB14+CD14+CF14)/INDEX(bhpc_data[units_per_carton],MATCH(BZ14,bhpc_data[sku],0))*INDEX(bhpc_data[length],MATCH(BZ14,bhpc_data[sku],0))*INDEX(bhpc_data[width],MATCH(BZ14,bhpc_data[sku],0))*INDEX(bhpc_data[height],MATCH(BZ14,bhpc_data[sku],0))/1000000000,"")</f>
        <v>3.5062500000000003E-2</v>
      </c>
      <c r="CM14" s="407" t="str">
        <f>IFERROR(INDEX(bhpc_data[category],MATCH(BZ14,bhpc_data[sku],0)),"")</f>
        <v>PRESTIGE</v>
      </c>
      <c r="CN14" s="407">
        <f>IFERROR(INDEX(bhpc_data[size],MATCH(BZ14,bhpc_data[sku],0)),"")</f>
        <v>100</v>
      </c>
      <c r="CO14" s="408" t="str">
        <f>IFERROR(INDEX(bhpc_data[hs_code],MATCH(BZ14,bhpc_data[sku],0)),"")</f>
        <v>33030010</v>
      </c>
      <c r="CP14" s="489" t="str">
        <f>IFERROR(INDEX(bhpc_data[sku_geko],MATCH(BZ14,bhpc_data[sku],0)),"")</f>
        <v>P06004</v>
      </c>
      <c r="CQ14" s="404"/>
      <c r="CR14" s="516">
        <f>IFERROR(IF(BZ14="","",IF($BX$15="SALE",INDEX(inventory[COSTO UNITARIO],MATCH(BZ14,inventory[SKU],0)),IF($BX$15="SAMPLING",INDEX(inventory[COSTO UNITARIO],MATCH(BZ14,inventory[SKU],0)),""))),"")</f>
        <v>11.68</v>
      </c>
      <c r="CS14" s="516">
        <f>IFERROR(IF(BZ14="","",(CB14+CD14)*CR14),"")</f>
        <v>560.64</v>
      </c>
      <c r="CT14" s="896">
        <f>IF(BZ14="","",CB14*CC14+CD14*CE14)</f>
        <v>760.78661579101845</v>
      </c>
      <c r="CU14" s="469" t="str">
        <f t="shared" si="0"/>
        <v>OK</v>
      </c>
      <c r="CW14" s="80"/>
      <c r="CX14" s="84" t="s">
        <v>561</v>
      </c>
      <c r="CY14" s="533">
        <f>SUM($CB$10:$CB$110,$CD$10:$CD$110,$CF$10:$CF$110)</f>
        <v>480</v>
      </c>
      <c r="CZ14" s="240" t="s">
        <v>371</v>
      </c>
      <c r="DA14" s="899">
        <f>IF($BX$15="SUPPLY",0,$DA$11-$DA$12)</f>
        <v>2001.4661579101839</v>
      </c>
      <c r="DB14" s="77"/>
      <c r="DH14" s="215"/>
      <c r="EC14" s="263"/>
      <c r="EE14" s="445" t="str" cm="1">
        <f t="array" ref="EE14">IFERROR(IF($EC$9="",IF($EC$11="",IF($EC$13="",INDEX(bhpc_data[sku],SMALL(MATCH(ROW(bhpc_data[sku]),ROW(bhpc_data[sku])),ROWS($A$15:A19)+$B$3)),INDEX(bhpc_data[sku],SMALL(IF(ISNUMBER(MATCH(bhpc_data[size],$EC$13,0)),MATCH(ROW(bhpc_data[sku]),ROW(bhpc_data[sku])),""),ROWS($A$15:A19)+$B$3))),IF($EC$13="",INDEX(bhpc_data[sku],SMALL(IF(ISNUMBER(MATCH(bhpc_data[sex],$EC$11,0)),MATCH(ROW(bhpc_data[sku]),ROW(bhpc_data[sku])),""),ROWS($A$15:A19)+$B$3)),INDEX(bhpc_data[sku],SMALL(IF(ISNUMBER(MATCH(bhpc_data[sex],$EC$11,0)*MATCH(bhpc_data[size],$EC$13,0)),MATCH(ROW(bhpc_data[sku]),ROW(bhpc_data[sku])),""),ROWS($A$15:A19)+$B$3)))),IF($EC$11="",IF($EC$13="",INDEX(bhpc_data[sku],SMALL(IF(ISNUMBER(MATCH(bhpc_data[category],$EC$9,0)),MATCH(ROW(bhpc_data[sku]),ROW(bhpc_data[sku])),""),ROWS($A$15:A19)+$B$3)),INDEX(bhpc_data[sku],SMALL(IF(ISNUMBER(MATCH(bhpc_data[category],$EC$9,0)*MATCH(bhpc_data[size],$EC$13,0)),MATCH(ROW(bhpc_data[sku]),ROW(bhpc_data[sku])),""),ROWS($A$15:A19)+$B$3))),IF($EC$13="",INDEX(bhpc_data[sku],SMALL(IF(ISNUMBER(MATCH(bhpc_data[category],$EC$9,0)*MATCH(bhpc_data[sex],$EC$11,0)),MATCH(ROW(bhpc_data[sku]),ROW(bhpc_data[sku])),""),ROWS($A$15:A19)+$B$3)),INDEX(bhpc_data[sku],SMALL(IF(ISNUMBER(MATCH(bhpc_data[category],$EC$9,0)*MATCH(bhpc_data[sex],$EC$11,0)*MATCH(bhpc_data[size],$EC$13,0)),MATCH(ROW(bhpc_data[sku]),ROW(bhpc_data[sku])),""),ROWS($A$15:A19)+$B$3))))),"")</f>
        <v>P05009L</v>
      </c>
      <c r="EF14" s="446" t="str" cm="1">
        <f t="array" ref="EF14">IFERROR(IF($EC$9="",IF($EC$11="",IF($EC$13="",INDEX(bhpc_data[description],SMALL(MATCH(ROW(bhpc_data[sku]),ROW(bhpc_data[sku])),ROWS($A$15:A19)+$B$3)),INDEX(bhpc_data[description],SMALL(IF(ISNUMBER(MATCH(bhpc_data[size],$EC$13,0)),MATCH(ROW(bhpc_data[sku]),ROW(bhpc_data[sku])),""),ROWS($A$15:A19)+$B$3))),IF($EC$13="",INDEX(bhpc_data[description],SMALL(IF(ISNUMBER(MATCH(bhpc_data[sex],$EC$11,0)),MATCH(ROW(bhpc_data[sku]),ROW(bhpc_data[sku])),""),ROWS($A$15:A19)+$B$3)),INDEX(bhpc_data[description],SMALL(IF(ISNUMBER(MATCH(bhpc_data[sex],$EC$11,0)*MATCH(bhpc_data[size],$EC$13,0)),MATCH(ROW(bhpc_data[sku]),ROW(bhpc_data[sku])),""),ROWS($A$15:A19)+$B$3)))),IF($EC$11="",IF($EC$13="",INDEX(bhpc_data[description],SMALL(IF(ISNUMBER(MATCH(bhpc_data[category],$EC$9,0)),MATCH(ROW(bhpc_data[sku]),ROW(bhpc_data[sku])),""),ROWS($A$15:A19)+$B$3)),INDEX(bhpc_data[description],SMALL(IF(ISNUMBER(MATCH(bhpc_data[category],$EC$9,0)*MATCH(bhpc_data[size],$EC$13,0)),MATCH(ROW(bhpc_data[sku]),ROW(bhpc_data[sku])),""),ROWS($A$15:A19)+$B$3))),IF($EC$13="",INDEX(bhpc_data[description],SMALL(IF(ISNUMBER(MATCH(bhpc_data[category],$EC$9,0)*MATCH(bhpc_data[sex],$EC$11,0)),MATCH(ROW(bhpc_data[sku]),ROW(bhpc_data[sku])),""),ROWS($A$15:A19)+$B$3)),INDEX(bhpc_data[description],SMALL(IF(ISNUMBER(MATCH(bhpc_data[category],$EC$9,0)*MATCH(bhpc_data[sex],$EC$11,0)*MATCH(bhpc_data[size],$EC$13,0)),MATCH(ROW(bhpc_data[sku]),ROW(bhpc_data[sku])),""),ROWS($A$15:A19)+$B$3))))),"")</f>
        <v>BHPC SPORT MEN 9 EDT 50ML (UNBOXED)</v>
      </c>
      <c r="EG14" s="447">
        <f>IFERROR(IF('BHPC MANAGER'!$EE14="","",INDEX(inventory[ESISTENZA],MATCH('BHPC MANAGER'!$EE14,inventory[SKU],0))),0)</f>
        <v>7568</v>
      </c>
      <c r="EH14" s="448">
        <v>-88</v>
      </c>
      <c r="EI14" s="448">
        <f t="shared" si="1"/>
        <v>7480</v>
      </c>
      <c r="EJ14" s="449">
        <v>0</v>
      </c>
      <c r="EK14" s="450">
        <f t="shared" si="2"/>
        <v>7480</v>
      </c>
      <c r="FD14" s="282" t="s">
        <v>1078</v>
      </c>
      <c r="FF14" s="263"/>
      <c r="FG14" s="263"/>
      <c r="FH14" s="263"/>
      <c r="FI14" s="263"/>
      <c r="FJ14" s="282" t="s">
        <v>1418</v>
      </c>
      <c r="FL14" s="263"/>
      <c r="FM14" s="263"/>
      <c r="FN14" s="263"/>
      <c r="FO14" s="263"/>
      <c r="FP14" s="263"/>
      <c r="FQ14" s="263"/>
      <c r="FR14" s="263"/>
      <c r="FS14" s="263"/>
      <c r="FT14" s="263"/>
      <c r="FU14" s="263"/>
      <c r="FV14" s="263"/>
      <c r="FW14" s="263"/>
      <c r="FX14" s="263"/>
      <c r="FY14" s="263"/>
      <c r="FZ14" s="263"/>
      <c r="GA14" s="263"/>
      <c r="GB14" s="263"/>
      <c r="GC14" s="263"/>
      <c r="GD14" s="263"/>
      <c r="GE14" s="263"/>
      <c r="GF14" s="263"/>
      <c r="GG14" s="263"/>
      <c r="GH14" s="263"/>
      <c r="GI14" s="263"/>
      <c r="GJ14" s="263"/>
      <c r="GK14" s="263"/>
      <c r="GL14" s="263"/>
      <c r="GM14" s="263"/>
      <c r="GN14" s="263"/>
      <c r="GO14" s="263"/>
      <c r="GP14" s="263"/>
      <c r="GQ14" s="263"/>
      <c r="GR14" s="263"/>
      <c r="GS14" s="263"/>
      <c r="GT14" s="263"/>
      <c r="GU14" s="263"/>
      <c r="GV14" s="263"/>
      <c r="GW14" s="263"/>
      <c r="GX14" s="263"/>
      <c r="GY14" s="263"/>
      <c r="GZ14" s="263"/>
      <c r="HA14" s="263"/>
      <c r="HB14" s="263"/>
      <c r="HC14" s="263"/>
      <c r="HD14" s="263"/>
      <c r="HE14" s="263"/>
      <c r="HF14" s="263"/>
      <c r="HG14" s="263"/>
      <c r="HH14" s="263"/>
      <c r="HI14" s="263"/>
      <c r="HJ14" s="263"/>
      <c r="HK14" s="263"/>
      <c r="HL14" s="263"/>
      <c r="HM14" s="263"/>
      <c r="HN14" s="263"/>
      <c r="HO14" s="263"/>
      <c r="HP14" s="263"/>
      <c r="HQ14" s="263"/>
      <c r="HR14" s="263"/>
      <c r="HS14" s="263"/>
      <c r="HT14" s="263"/>
    </row>
    <row r="15" spans="1:702" ht="15" customHeight="1" thickBot="1" x14ac:dyDescent="0.4">
      <c r="A15" s="142" t="s">
        <v>582</v>
      </c>
      <c r="B15" s="143">
        <v>45488.760925925926</v>
      </c>
      <c r="D15" s="272">
        <v>2024</v>
      </c>
      <c r="F15" s="87"/>
      <c r="G15" s="860"/>
      <c r="H15" s="861"/>
      <c r="I15" s="862"/>
      <c r="J15" s="77"/>
      <c r="L15" s="381" t="str" cm="1">
        <f t="array" ref="L15">IFERROR(IF($D$9="",IF($D$11="",IF($D$13="",IF($D$15="",INDEX(orderHistory[customer],SMALL(MATCH(ROW(orderHistory[customer]),ROW(orderHistory[customer])),ROWS($A$15:A20)+$B$3)),INDEX(orderHistory[customer],SMALL(IF(ISNUMBER(MATCH(YEAR(orderHistory[invoice_date]),$D$15,0)),MATCH(ROW(orderHistory[customer]),ROW(orderHistory[customer])),""),ROWS($A$15:A20)+$B$3))),IF($D$15="",INDEX(orderHistory[customer],SMALL(IF(ISNUMBER(MATCH(orderHistory[order_type],$D$13,0)),MATCH(ROW(orderHistory[customer]),ROW(orderHistory[customer])),""),ROWS($A$15:A20)+$B$3)),INDEX(orderHistory[customer],SMALL(IF(ISNUMBER(MATCH(orderHistory[order_type],$D$13,0)*MATCH(YEAR(orderHistory[invoice_date]),$D$15,0)),MATCH(ROW(orderHistory[customer]),ROW(orderHistory[customer])),""),ROWS($A$15:A20)+$B$3)))),IF($D$13="",IF($D$15="",INDEX(orderHistory[customer],SMALL(IF(ISNUMBER(MATCH(orderHistory[status],$D$11,0)),MATCH(ROW(orderHistory[customer]),ROW(orderHistory[customer])),""),ROWS($A$15:A20)+$B$3)),INDEX(orderHistory[customer],SMALL(IF(ISNUMBER(MATCH(orderHistory[status],$D$11,0)*MATCH(YEAR(orderHistory[invoice_date]),$D$15,0)),MATCH(ROW(orderHistory[customer]),ROW(orderHistory[customer])),""),ROWS($A$15:A20)+$B$3))),IF($D$15="",INDEX(orderHistory[customer],SMALL(IF(ISNUMBER(MATCH(orderHistory[status],$D$11,0)*MATCH(orderHistory[order_type],$D$13,0)),MATCH(ROW(orderHistory[customer]),ROW(orderHistory[customer])),""),ROWS($A$15:A20)+$B$3)),INDEX(orderHistory[customer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customer],SMALL(IF(ISNUMBER(MATCH(orderHistory[customer],$D$9,0)),MATCH(ROW(orderHistory[customer]),ROW(orderHistory[customer])),""),ROWS($A$15:A20)+$B$3)),INDEX(orderHistory[customer],SMALL(IF(ISNUMBER(MATCH(orderHistory[customer],$D$9,0)*MATCH(YEAR(orderHistory[invoice_date]),$D$15,0)),MATCH(ROW(orderHistory[customer]),ROW(orderHistory[customer])),""),ROWS($A$15:A20)+$B$3))),IF($D$15="",INDEX(orderHistory[customer],SMALL(IF(ISNUMBER(MATCH(orderHistory[customer],$D$9,0)*MATCH(orderHistory[order_type],$D$13,0)),MATCH(ROW(orderHistory[customer]),ROW(orderHistory[customer])),""),ROWS($A$15:A20)+$B$3)),INDEX(orderHistory[customer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customer],SMALL(IF(ISNUMBER(MATCH(orderHistory[customer],$D$9,0)*MATCH(orderHistory[status],$D$11,0)),MATCH(ROW(orderHistory[customer]),ROW(orderHistory[customer])),""),ROWS($A$15:A20)+$B$3)),INDEX(orderHistory[customer],SMALL(IF(ISNUMBER(MATCH(orderHistory[customer],$D$9,0)*MATCH(orderHistory[status],$D$11,0)*MATCH(YEAR(orderHistory[invoice_date]),$D$15,0)),MATCH(ROW(orderHistory[customer]),ROW(orderHistory[customer])),""),ROWS($A$15:A20)+$B$3))),IF($D$15="",INDEX(orderHistory[customer],SMALL(IF(ISNUMBER(MATCH(orderHistory[customer],$D$9,0)*MATCH(orderHistory[status],$D$11,0)*MATCH(orderHistory[order_type],$D$13,0)),MATCH(ROW(orderHistory[customer]),ROW(orderHistory[customer])),""),ROWS($A$15:A20)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BRANDSHAPERS</v>
      </c>
      <c r="M15" s="382">
        <f t="array" ref="M15">IFERROR(IF($D$9="",IF($D$11="",IF($D$13="",IF($D$15="",INDEX(orderHistory[order_no],SMALL(MATCH(ROW(orderHistory[customer]),ROW(orderHistory[customer])),ROWS($A$15:A20)+$B$3)),INDEX(orderHistory[order_no],SMALL(IF(ISNUMBER(MATCH(YEAR(orderHistory[invoice_date]),$D$15,0)),MATCH(ROW(orderHistory[customer]),ROW(orderHistory[customer])),""),ROWS($A$15:A20)+$B$3))),IF($D$15="",INDEX(orderHistory[order_no],SMALL(IF(ISNUMBER(MATCH(orderHistory[order_type],$D$13,0)),MATCH(ROW(orderHistory[customer]),ROW(orderHistory[customer])),""),ROWS($A$15:A20)+$B$3)),INDEX(orderHistory[order_no],SMALL(IF(ISNUMBER(MATCH(orderHistory[order_type],$D$13,0)*MATCH(YEAR(orderHistory[invoice_date]),$D$15,0)),MATCH(ROW(orderHistory[customer]),ROW(orderHistory[customer])),""),ROWS($A$15:A20)+$B$3)))),IF($D$13="",IF($D$15="",INDEX(orderHistory[order_no],SMALL(IF(ISNUMBER(MATCH(orderHistory[status],$D$11,0)),MATCH(ROW(orderHistory[customer]),ROW(orderHistory[customer])),""),ROWS($A$15:A20)+$B$3)),INDEX(orderHistory[order_no],SMALL(IF(ISNUMBER(MATCH(orderHistory[status],$D$11,0)*MATCH(YEAR(orderHistory[invoice_date]),$D$15,0)),MATCH(ROW(orderHistory[customer]),ROW(orderHistory[customer])),""),ROWS($A$15:A20)+$B$3))),IF($D$15="",INDEX(orderHistory[order_no],SMALL(IF(ISNUMBER(MATCH(orderHistory[status],$D$11,0)*MATCH(orderHistory[order_type],$D$13,0)),MATCH(ROW(orderHistory[customer]),ROW(orderHistory[customer])),""),ROWS($A$15:A20)+$B$3)),INDEX(orderHistory[order_no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order_no],SMALL(IF(ISNUMBER(MATCH(orderHistory[customer],$D$9,0)),MATCH(ROW(orderHistory[customer]),ROW(orderHistory[customer])),""),ROWS($A$15:A20)+$B$3)),INDEX(orderHistory[order_no],SMALL(IF(ISNUMBER(MATCH(orderHistory[customer],$D$9,0)*MATCH(YEAR(orderHistory[invoice_date]),$D$15,0)),MATCH(ROW(orderHistory[customer]),ROW(orderHistory[customer])),""),ROWS($A$15:A20)+$B$3))),IF($D$15="",INDEX(orderHistory[order_no],SMALL(IF(ISNUMBER(MATCH(orderHistory[customer],$D$9,0)*MATCH(orderHistory[order_type],$D$13,0)),MATCH(ROW(orderHistory[customer]),ROW(orderHistory[customer])),""),ROWS($A$15:A20)+$B$3)),INDEX(orderHistory[order_no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order_no],SMALL(IF(ISNUMBER(MATCH(orderHistory[customer],$D$9,0)*MATCH(orderHistory[status],$D$11,0)),MATCH(ROW(orderHistory[customer]),ROW(orderHistory[customer])),""),ROWS($A$15:A20)+$B$3)),INDEX(orderHistory[order_no],SMALL(IF(ISNUMBER(MATCH(orderHistory[customer],$D$9,0)*MATCH(orderHistory[status],$D$11,0)*MATCH(YEAR(orderHistory[invoice_date]),$D$15,0)),MATCH(ROW(orderHistory[customer]),ROW(orderHistory[customer])),""),ROWS($A$15:A20)+$B$3))),IF($D$15="",INDEX(orderHistory[order_no],SMALL(IF(ISNUMBER(MATCH(orderHistory[customer],$D$9,0)*MATCH(orderHistory[status],$D$11,0)*MATCH(orderHistory[order_type],$D$13,0)),MATCH(ROW(orderHistory[customer]),ROW(orderHistory[customer])),""),ROWS($A$15:A20)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120</v>
      </c>
      <c r="N15" s="383" t="str">
        <f t="array" ref="N15">IFERROR(IF($D$9="",IF($D$11="",IF($D$13="",IF($D$15="",INDEX(orderHistory[order_type],SMALL(MATCH(ROW(orderHistory[customer]),ROW(orderHistory[customer])),ROWS($A$15:A20)+$B$3)),INDEX(orderHistory[order_type],SMALL(IF(ISNUMBER(MATCH(YEAR(orderHistory[invoice_date]),$D$15,0)),MATCH(ROW(orderHistory[customer]),ROW(orderHistory[customer])),""),ROWS($A$15:A20)+$B$3))),IF($D$15="",INDEX(orderHistory[order_type],SMALL(IF(ISNUMBER(MATCH(orderHistory[order_type],$D$13,0)),MATCH(ROW(orderHistory[customer]),ROW(orderHistory[customer])),""),ROWS($A$15:A20)+$B$3)),INDEX(orderHistory[order_type],SMALL(IF(ISNUMBER(MATCH(orderHistory[order_type],$D$13,0)*MATCH(YEAR(orderHistory[invoice_date]),$D$15,0)),MATCH(ROW(orderHistory[customer]),ROW(orderHistory[customer])),""),ROWS($A$15:A20)+$B$3)))),IF($D$13="",IF($D$15="",INDEX(orderHistory[order_type],SMALL(IF(ISNUMBER(MATCH(orderHistory[status],$D$11,0)),MATCH(ROW(orderHistory[customer]),ROW(orderHistory[customer])),""),ROWS($A$15:A20)+$B$3)),INDEX(orderHistory[order_type],SMALL(IF(ISNUMBER(MATCH(orderHistory[status],$D$11,0)*MATCH(YEAR(orderHistory[invoice_date]),$D$15,0)),MATCH(ROW(orderHistory[customer]),ROW(orderHistory[customer])),""),ROWS($A$15:A20)+$B$3))),IF($D$15="",INDEX(orderHistory[order_type],SMALL(IF(ISNUMBER(MATCH(orderHistory[status],$D$11,0)*MATCH(orderHistory[order_type],$D$13,0)),MATCH(ROW(orderHistory[customer]),ROW(orderHistory[customer])),""),ROWS($A$15:A20)+$B$3)),INDEX(orderHistory[order_type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order_type],SMALL(IF(ISNUMBER(MATCH(orderHistory[customer],$D$9,0)),MATCH(ROW(orderHistory[customer]),ROW(orderHistory[customer])),""),ROWS($A$15:A20)+$B$3)),INDEX(orderHistory[order_type],SMALL(IF(ISNUMBER(MATCH(orderHistory[customer],$D$9,0)*MATCH(YEAR(orderHistory[invoice_date]),$D$15,0)),MATCH(ROW(orderHistory[customer]),ROW(orderHistory[customer])),""),ROWS($A$15:A20)+$B$3))),IF($D$15="",INDEX(orderHistory[order_type],SMALL(IF(ISNUMBER(MATCH(orderHistory[customer],$D$9,0)*MATCH(orderHistory[order_type],$D$13,0)),MATCH(ROW(orderHistory[customer]),ROW(orderHistory[customer])),""),ROWS($A$15:A20)+$B$3)),INDEX(orderHistory[order_type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order_type],SMALL(IF(ISNUMBER(MATCH(orderHistory[customer],$D$9,0)*MATCH(orderHistory[status],$D$11,0)),MATCH(ROW(orderHistory[customer]),ROW(orderHistory[customer])),""),ROWS($A$15:A20)+$B$3)),INDEX(orderHistory[order_type],SMALL(IF(ISNUMBER(MATCH(orderHistory[customer],$D$9,0)*MATCH(orderHistory[status],$D$11,0)*MATCH(YEAR(orderHistory[invoice_date]),$D$15,0)),MATCH(ROW(orderHistory[customer]),ROW(orderHistory[customer])),""),ROWS($A$15:A20)+$B$3))),IF($D$15="",INDEX(orderHistory[order_type],SMALL(IF(ISNUMBER(MATCH(orderHistory[customer],$D$9,0)*MATCH(orderHistory[status],$D$11,0)*MATCH(orderHistory[order_type],$D$13,0)),MATCH(ROW(orderHistory[customer]),ROW(orderHistory[customer])),""),ROWS($A$15:A20)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SALE</v>
      </c>
      <c r="O15" s="384">
        <f t="array" ref="O15">IFERROR(IF($D$9="",IF($D$11="",IF($D$13="",IF($D$15="",INDEX(orderHistory[order_date],SMALL(MATCH(ROW(orderHistory[customer]),ROW(orderHistory[customer])),ROWS($A$15:A20)+$B$3)),INDEX(orderHistory[order_date],SMALL(IF(ISNUMBER(MATCH(YEAR(orderHistory[invoice_date]),$D$15,0)),MATCH(ROW(orderHistory[customer]),ROW(orderHistory[customer])),""),ROWS($A$15:A20)+$B$3))),IF($D$15="",INDEX(orderHistory[order_date],SMALL(IF(ISNUMBER(MATCH(orderHistory[order_type],$D$13,0)),MATCH(ROW(orderHistory[customer]),ROW(orderHistory[customer])),""),ROWS($A$15:A20)+$B$3)),INDEX(orderHistory[order_date],SMALL(IF(ISNUMBER(MATCH(orderHistory[order_type],$D$13,0)*MATCH(YEAR(orderHistory[invoice_date]),$D$15,0)),MATCH(ROW(orderHistory[customer]),ROW(orderHistory[customer])),""),ROWS($A$15:A20)+$B$3)))),IF($D$13="",IF($D$15="",INDEX(orderHistory[order_date],SMALL(IF(ISNUMBER(MATCH(orderHistory[status],$D$11,0)),MATCH(ROW(orderHistory[customer]),ROW(orderHistory[customer])),""),ROWS($A$15:A20)+$B$3)),INDEX(orderHistory[order_date],SMALL(IF(ISNUMBER(MATCH(orderHistory[status],$D$11,0)*MATCH(YEAR(orderHistory[invoice_date]),$D$15,0)),MATCH(ROW(orderHistory[customer]),ROW(orderHistory[customer])),""),ROWS($A$15:A20)+$B$3))),IF($D$15="",INDEX(orderHistory[order_date],SMALL(IF(ISNUMBER(MATCH(orderHistory[status],$D$11,0)*MATCH(orderHistory[order_type],$D$13,0)),MATCH(ROW(orderHistory[customer]),ROW(orderHistory[customer])),""),ROWS($A$15:A20)+$B$3)),INDEX(orderHistory[order_date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order_date],SMALL(IF(ISNUMBER(MATCH(orderHistory[customer],$D$9,0)),MATCH(ROW(orderHistory[customer]),ROW(orderHistory[customer])),""),ROWS($A$15:A20)+$B$3)),INDEX(orderHistory[order_date],SMALL(IF(ISNUMBER(MATCH(orderHistory[customer],$D$9,0)*MATCH(YEAR(orderHistory[invoice_date]),$D$15,0)),MATCH(ROW(orderHistory[customer]),ROW(orderHistory[customer])),""),ROWS($A$15:A20)+$B$3))),IF($D$15="",INDEX(orderHistory[order_date],SMALL(IF(ISNUMBER(MATCH(orderHistory[customer],$D$9,0)*MATCH(orderHistory[order_type],$D$13,0)),MATCH(ROW(orderHistory[customer]),ROW(orderHistory[customer])),""),ROWS($A$15:A20)+$B$3)),INDEX(orderHistory[order_date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order_date],SMALL(IF(ISNUMBER(MATCH(orderHistory[customer],$D$9,0)*MATCH(orderHistory[status],$D$11,0)),MATCH(ROW(orderHistory[customer]),ROW(orderHistory[customer])),""),ROWS($A$15:A20)+$B$3)),INDEX(orderHistory[order_date],SMALL(IF(ISNUMBER(MATCH(orderHistory[customer],$D$9,0)*MATCH(orderHistory[status],$D$11,0)*MATCH(YEAR(orderHistory[invoice_date]),$D$15,0)),MATCH(ROW(orderHistory[customer]),ROW(orderHistory[customer])),""),ROWS($A$15:A20)+$B$3))),IF($D$15="",INDEX(orderHistory[order_date],SMALL(IF(ISNUMBER(MATCH(orderHistory[customer],$D$9,0)*MATCH(orderHistory[status],$D$11,0)*MATCH(orderHistory[order_type],$D$13,0)),MATCH(ROW(orderHistory[customer]),ROW(orderHistory[customer])),""),ROWS($A$15:A20)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45547</v>
      </c>
      <c r="P15" s="385" t="str">
        <f t="array" ref="P15">IFERROR(IF($D$9="",IF($D$11="",IF($D$13="",IF($D$15="",INDEX(orderHistory[invoice_no],SMALL(MATCH(ROW(orderHistory[customer]),ROW(orderHistory[customer])),ROWS($A$15:A20)+$B$3)),INDEX(orderHistory[invoice_no],SMALL(IF(ISNUMBER(MATCH(YEAR(orderHistory[invoice_date]),$D$15,0)),MATCH(ROW(orderHistory[customer]),ROW(orderHistory[customer])),""),ROWS($A$15:A20)+$B$3))),IF($D$15="",INDEX(orderHistory[invoice_no],SMALL(IF(ISNUMBER(MATCH(orderHistory[order_type],$D$13,0)),MATCH(ROW(orderHistory[customer]),ROW(orderHistory[customer])),""),ROWS($A$15:A20)+$B$3)),INDEX(orderHistory[invoice_no],SMALL(IF(ISNUMBER(MATCH(orderHistory[order_type],$D$13,0)*MATCH(YEAR(orderHistory[invoice_date]),$D$15,0)),MATCH(ROW(orderHistory[customer]),ROW(orderHistory[customer])),""),ROWS($A$15:A20)+$B$3)))),IF($D$13="",IF($D$15="",INDEX(orderHistory[invoice_no],SMALL(IF(ISNUMBER(MATCH(orderHistory[status],$D$11,0)),MATCH(ROW(orderHistory[customer]),ROW(orderHistory[customer])),""),ROWS($A$15:A20)+$B$3)),INDEX(orderHistory[invoice_no],SMALL(IF(ISNUMBER(MATCH(orderHistory[status],$D$11,0)*MATCH(YEAR(orderHistory[invoice_date]),$D$15,0)),MATCH(ROW(orderHistory[customer]),ROW(orderHistory[customer])),""),ROWS($A$15:A20)+$B$3))),IF($D$15="",INDEX(orderHistory[invoice_no],SMALL(IF(ISNUMBER(MATCH(orderHistory[status],$D$11,0)*MATCH(orderHistory[order_type],$D$13,0)),MATCH(ROW(orderHistory[customer]),ROW(orderHistory[customer])),""),ROWS($A$15:A20)+$B$3)),INDEX(orderHistory[invoice_no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invoice_no],SMALL(IF(ISNUMBER(MATCH(orderHistory[customer],$D$9,0)),MATCH(ROW(orderHistory[customer]),ROW(orderHistory[customer])),""),ROWS($A$15:A20)+$B$3)),INDEX(orderHistory[invoice_no],SMALL(IF(ISNUMBER(MATCH(orderHistory[customer],$D$9,0)*MATCH(YEAR(orderHistory[invoice_date]),$D$15,0)),MATCH(ROW(orderHistory[customer]),ROW(orderHistory[customer])),""),ROWS($A$15:A20)+$B$3))),IF($D$15="",INDEX(orderHistory[invoice_no],SMALL(IF(ISNUMBER(MATCH(orderHistory[customer],$D$9,0)*MATCH(orderHistory[order_type],$D$13,0)),MATCH(ROW(orderHistory[customer]),ROW(orderHistory[customer])),""),ROWS($A$15:A20)+$B$3)),INDEX(orderHistory[invoice_no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invoice_no],SMALL(IF(ISNUMBER(MATCH(orderHistory[customer],$D$9,0)*MATCH(orderHistory[status],$D$11,0)),MATCH(ROW(orderHistory[customer]),ROW(orderHistory[customer])),""),ROWS($A$15:A20)+$B$3)),INDEX(orderHistory[invoice_no],SMALL(IF(ISNUMBER(MATCH(orderHistory[customer],$D$9,0)*MATCH(orderHistory[status],$D$11,0)*MATCH(YEAR(orderHistory[invoice_date]),$D$15,0)),MATCH(ROW(orderHistory[customer]),ROW(orderHistory[customer])),""),ROWS($A$15:A20)+$B$3))),IF($D$15="",INDEX(orderHistory[invoice_no],SMALL(IF(ISNUMBER(MATCH(orderHistory[customer],$D$9,0)*MATCH(orderHistory[status],$D$11,0)*MATCH(orderHistory[order_type],$D$13,0)),MATCH(ROW(orderHistory[customer]),ROW(orderHistory[customer])),""),ROWS($A$15:A20)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341</v>
      </c>
      <c r="Q15" s="386">
        <f t="array" ref="Q15">IFERROR(IF($D$9="",IF($D$11="",IF($D$13="",IF($D$15="",INDEX(orderHistory[invoice_date],SMALL(MATCH(ROW(orderHistory[customer]),ROW(orderHistory[customer])),ROWS($A$15:A20)+$B$3)),INDEX(orderHistory[invoice_date],SMALL(IF(ISNUMBER(MATCH(YEAR(orderHistory[invoice_date]),$D$15,0)),MATCH(ROW(orderHistory[customer]),ROW(orderHistory[customer])),""),ROWS($A$15:A20)+$B$3))),IF($D$15="",INDEX(orderHistory[invoice_date],SMALL(IF(ISNUMBER(MATCH(orderHistory[order_type],$D$13,0)),MATCH(ROW(orderHistory[customer]),ROW(orderHistory[customer])),""),ROWS($A$15:A20)+$B$3)),INDEX(orderHistory[invoice_date],SMALL(IF(ISNUMBER(MATCH(orderHistory[order_type],$D$13,0)*MATCH(YEAR(orderHistory[invoice_date]),$D$15,0)),MATCH(ROW(orderHistory[customer]),ROW(orderHistory[customer])),""),ROWS($A$15:A20)+$B$3)))),IF($D$13="",IF($D$15="",INDEX(orderHistory[invoice_date],SMALL(IF(ISNUMBER(MATCH(orderHistory[status],$D$11,0)),MATCH(ROW(orderHistory[customer]),ROW(orderHistory[customer])),""),ROWS($A$15:A20)+$B$3)),INDEX(orderHistory[invoice_date],SMALL(IF(ISNUMBER(MATCH(orderHistory[status],$D$11,0)*MATCH(YEAR(orderHistory[invoice_date]),$D$15,0)),MATCH(ROW(orderHistory[customer]),ROW(orderHistory[customer])),""),ROWS($A$15:A20)+$B$3))),IF($D$15="",INDEX(orderHistory[invoice_date],SMALL(IF(ISNUMBER(MATCH(orderHistory[status],$D$11,0)*MATCH(orderHistory[order_type],$D$13,0)),MATCH(ROW(orderHistory[customer]),ROW(orderHistory[customer])),""),ROWS($A$15:A20)+$B$3)),INDEX(orderHistory[invoice_date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invoice_date],SMALL(IF(ISNUMBER(MATCH(orderHistory[customer],$D$9,0)),MATCH(ROW(orderHistory[customer]),ROW(orderHistory[customer])),""),ROWS($A$15:A20)+$B$3)),INDEX(orderHistory[invoice_date],SMALL(IF(ISNUMBER(MATCH(orderHistory[customer],$D$9,0)*MATCH(YEAR(orderHistory[invoice_date]),$D$15,0)),MATCH(ROW(orderHistory[customer]),ROW(orderHistory[customer])),""),ROWS($A$15:A20)+$B$3))),IF($D$15="",INDEX(orderHistory[invoice_date],SMALL(IF(ISNUMBER(MATCH(orderHistory[customer],$D$9,0)*MATCH(orderHistory[order_type],$D$13,0)),MATCH(ROW(orderHistory[customer]),ROW(orderHistory[customer])),""),ROWS($A$15:A20)+$B$3)),INDEX(orderHistory[invoice_date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invoice_date],SMALL(IF(ISNUMBER(MATCH(orderHistory[customer],$D$9,0)*MATCH(orderHistory[status],$D$11,0)),MATCH(ROW(orderHistory[customer]),ROW(orderHistory[customer])),""),ROWS($A$15:A20)+$B$3)),INDEX(orderHistory[invoice_date],SMALL(IF(ISNUMBER(MATCH(orderHistory[customer],$D$9,0)*MATCH(orderHistory[status],$D$11,0)*MATCH(YEAR(orderHistory[invoice_date]),$D$15,0)),MATCH(ROW(orderHistory[customer]),ROW(orderHistory[customer])),""),ROWS($A$15:A20)+$B$3))),IF($D$15="",INDEX(orderHistory[invoice_date],SMALL(IF(ISNUMBER(MATCH(orderHistory[customer],$D$9,0)*MATCH(orderHistory[status],$D$11,0)*MATCH(orderHistory[order_type],$D$13,0)),MATCH(ROW(orderHistory[customer]),ROW(orderHistory[customer])),""),ROWS($A$15:A20)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45558</v>
      </c>
      <c r="R15" s="387">
        <f t="array" ref="R15">IFERROR(IF($D$9="",IF($D$11="",IF($D$13="",IF($D$15="",INDEX(orderHistory[inv_amount],SMALL(MATCH(ROW(orderHistory[customer]),ROW(orderHistory[customer])),ROWS($A$15:A20)+$B$3)),INDEX(orderHistory[inv_amount],SMALL(IF(ISNUMBER(MATCH(YEAR(orderHistory[invoice_date]),$D$15,0)),MATCH(ROW(orderHistory[customer]),ROW(orderHistory[customer])),""),ROWS($A$15:A20)+$B$3))),IF($D$15="",INDEX(orderHistory[inv_amount],SMALL(IF(ISNUMBER(MATCH(orderHistory[order_type],$D$13,0)),MATCH(ROW(orderHistory[customer]),ROW(orderHistory[customer])),""),ROWS($A$15:A20)+$B$3)),INDEX(orderHistory[inv_amount],SMALL(IF(ISNUMBER(MATCH(orderHistory[order_type],$D$13,0)*MATCH(YEAR(orderHistory[invoice_date]),$D$15,0)),MATCH(ROW(orderHistory[customer]),ROW(orderHistory[customer])),""),ROWS($A$15:A20)+$B$3)))),IF($D$13="",IF($D$15="",INDEX(orderHistory[inv_amount],SMALL(IF(ISNUMBER(MATCH(orderHistory[status],$D$11,0)),MATCH(ROW(orderHistory[customer]),ROW(orderHistory[customer])),""),ROWS($A$15:A20)+$B$3)),INDEX(orderHistory[inv_amount],SMALL(IF(ISNUMBER(MATCH(orderHistory[status],$D$11,0)*MATCH(YEAR(orderHistory[invoice_date]),$D$15,0)),MATCH(ROW(orderHistory[customer]),ROW(orderHistory[customer])),""),ROWS($A$15:A20)+$B$3))),IF($D$15="",INDEX(orderHistory[inv_amount],SMALL(IF(ISNUMBER(MATCH(orderHistory[status],$D$11,0)*MATCH(orderHistory[order_type],$D$13,0)),MATCH(ROW(orderHistory[customer]),ROW(orderHistory[customer])),""),ROWS($A$15:A20)+$B$3)),INDEX(orderHistory[inv_amount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inv_amount],SMALL(IF(ISNUMBER(MATCH(orderHistory[customer],$D$9,0)),MATCH(ROW(orderHistory[customer]),ROW(orderHistory[customer])),""),ROWS($A$15:A20)+$B$3)),INDEX(orderHistory[inv_amount],SMALL(IF(ISNUMBER(MATCH(orderHistory[customer],$D$9,0)*MATCH(YEAR(orderHistory[invoice_date]),$D$15,0)),MATCH(ROW(orderHistory[customer]),ROW(orderHistory[customer])),""),ROWS($A$15:A20)+$B$3))),IF($D$15="",INDEX(orderHistory[inv_amount],SMALL(IF(ISNUMBER(MATCH(orderHistory[customer],$D$9,0)*MATCH(orderHistory[order_type],$D$13,0)),MATCH(ROW(orderHistory[customer]),ROW(orderHistory[customer])),""),ROWS($A$15:A20)+$B$3)),INDEX(orderHistory[inv_amount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inv_amount],SMALL(IF(ISNUMBER(MATCH(orderHistory[customer],$D$9,0)*MATCH(orderHistory[status],$D$11,0)),MATCH(ROW(orderHistory[customer]),ROW(orderHistory[customer])),""),ROWS($A$15:A20)+$B$3)),INDEX(orderHistory[inv_amount],SMALL(IF(ISNUMBER(MATCH(orderHistory[customer],$D$9,0)*MATCH(orderHistory[status],$D$11,0)*MATCH(YEAR(orderHistory[inv_amount]),$D$15,0)),MATCH(ROW(orderHistory[customer]),ROW(orderHistory[customer])),""),ROWS($A$15:A20)+$B$3))),IF($D$15="",INDEX(orderHistory[inv_amount],SMALL(IF(ISNUMBER(MATCH(orderHistory[customer],$D$9,0)*MATCH(orderHistory[status],$D$11,0)*MATCH(orderHistory[order_type],$D$13,0)),MATCH(ROW(orderHistory[customer]),ROW(orderHistory[customer])),""),ROWS($A$15:A20)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34021.560000000005</v>
      </c>
      <c r="S15" s="465" t="str">
        <f t="array" ref="S15">IFERROR(IF($D$9="",IF($D$11="",IF($D$13="",IF($D$15="",INDEX(orderHistory[lock_goods],SMALL(MATCH(ROW(orderHistory[customer]),ROW(orderHistory[customer])),ROWS($A$15:A20)+$B$3)),INDEX(orderHistory[lock_goods],SMALL(IF(ISNUMBER(MATCH(YEAR(orderHistory[invoice_date]),$D$15,0)),MATCH(ROW(orderHistory[customer]),ROW(orderHistory[customer])),""),ROWS($A$15:A20)+$B$3))),IF($D$15="",INDEX(orderHistory[lock_goods],SMALL(IF(ISNUMBER(MATCH(orderHistory[order_type],$D$13,0)),MATCH(ROW(orderHistory[customer]),ROW(orderHistory[customer])),""),ROWS($A$15:A20)+$B$3)),INDEX(orderHistory[lock_goods],SMALL(IF(ISNUMBER(MATCH(orderHistory[order_type],$D$13,0)*MATCH(YEAR(orderHistory[invoice_date]),$D$15,0)),MATCH(ROW(orderHistory[customer]),ROW(orderHistory[customer])),""),ROWS($A$15:A20)+$B$3)))),IF($D$13="",IF($D$15="",INDEX(orderHistory[lock_goods],SMALL(IF(ISNUMBER(MATCH(orderHistory[status],$D$11,0)),MATCH(ROW(orderHistory[customer]),ROW(orderHistory[customer])),""),ROWS($A$15:A20)+$B$3)),INDEX(orderHistory[lock_goods],SMALL(IF(ISNUMBER(MATCH(orderHistory[status],$D$11,0)*MATCH(YEAR(orderHistory[invoice_date]),$D$15,0)),MATCH(ROW(orderHistory[customer]),ROW(orderHistory[customer])),""),ROWS($A$15:A20)+$B$3))),IF($D$15="",INDEX(orderHistory[lock_goods],SMALL(IF(ISNUMBER(MATCH(orderHistory[status],$D$11,0)*MATCH(orderHistory[order_type],$D$13,0)),MATCH(ROW(orderHistory[customer]),ROW(orderHistory[customer])),""),ROWS($A$15:A20)+$B$3)),INDEX(orderHistory[lock_goods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lock_goods],SMALL(IF(ISNUMBER(MATCH(orderHistory[customer],$D$9,0)),MATCH(ROW(orderHistory[customer]),ROW(orderHistory[customer])),""),ROWS($A$15:A20)+$B$3)),INDEX(orderHistory[lock_goods],SMALL(IF(ISNUMBER(MATCH(orderHistory[customer],$D$9,0)*MATCH(YEAR(orderHistory[invoice_date]),$D$15,0)),MATCH(ROW(orderHistory[customer]),ROW(orderHistory[customer])),""),ROWS($A$15:A20)+$B$3))),IF($D$15="",INDEX(orderHistory[lock_goods],SMALL(IF(ISNUMBER(MATCH(orderHistory[customer],$D$9,0)*MATCH(orderHistory[order_type],$D$13,0)),MATCH(ROW(orderHistory[customer]),ROW(orderHistory[customer])),""),ROWS($A$15:A20)+$B$3)),INDEX(orderHistory[lock_goods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lock_goods],SMALL(IF(ISNUMBER(MATCH(orderHistory[customer],$D$9,0)*MATCH(orderHistory[status],$D$11,0)),MATCH(ROW(orderHistory[customer]),ROW(orderHistory[customer])),""),ROWS($A$15:A20)+$B$3)),INDEX(orderHistory[lock_goods],SMALL(IF(ISNUMBER(MATCH(orderHistory[customer],$D$9,0)*MATCH(orderHistory[status],$D$11,0)*MATCH(YEAR(orderHistory[payed]),$D$15,0)),MATCH(ROW(orderHistory[customer]),ROW(orderHistory[customer])),""),ROWS($A$15:A20)+$B$3))),IF($D$15="",INDEX(orderHistory[lock_goods],SMALL(IF(ISNUMBER(MATCH(orderHistory[customer],$D$9,0)*MATCH(orderHistory[status],$D$11,0)*MATCH(orderHistory[order_type],$D$13,0)),MATCH(ROW(orderHistory[customer]),ROW(orderHistory[customer])),""),ROWS($A$15:A20)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GOODS SENT</v>
      </c>
      <c r="T15" s="388" t="b">
        <f t="array" ref="T15">IFERROR(IF($D$9="",IF($D$11="",IF($D$13="",IF($D$15="",INDEX(orderHistory[payed],SMALL(MATCH(ROW(orderHistory[customer]),ROW(orderHistory[customer])),ROWS($A$15:A20)+$B$3)),INDEX(orderHistory[payed],SMALL(IF(ISNUMBER(MATCH(YEAR(orderHistory[invoice_date]),$D$15,0)),MATCH(ROW(orderHistory[customer]),ROW(orderHistory[customer])),""),ROWS($A$15:A20)+$B$3))),IF($D$15="",INDEX(orderHistory[payed],SMALL(IF(ISNUMBER(MATCH(orderHistory[order_type],$D$13,0)),MATCH(ROW(orderHistory[customer]),ROW(orderHistory[customer])),""),ROWS($A$15:A20)+$B$3)),INDEX(orderHistory[payed],SMALL(IF(ISNUMBER(MATCH(orderHistory[order_type],$D$13,0)*MATCH(YEAR(orderHistory[invoice_date]),$D$15,0)),MATCH(ROW(orderHistory[customer]),ROW(orderHistory[customer])),""),ROWS($A$15:A20)+$B$3)))),IF($D$13="",IF($D$15="",INDEX(orderHistory[payed],SMALL(IF(ISNUMBER(MATCH(orderHistory[status],$D$11,0)),MATCH(ROW(orderHistory[customer]),ROW(orderHistory[customer])),""),ROWS($A$15:A20)+$B$3)),INDEX(orderHistory[payed],SMALL(IF(ISNUMBER(MATCH(orderHistory[status],$D$11,0)*MATCH(YEAR(orderHistory[invoice_date]),$D$15,0)),MATCH(ROW(orderHistory[customer]),ROW(orderHistory[customer])),""),ROWS($A$15:A20)+$B$3))),IF($D$15="",INDEX(orderHistory[payed],SMALL(IF(ISNUMBER(MATCH(orderHistory[status],$D$11,0)*MATCH(orderHistory[order_type],$D$13,0)),MATCH(ROW(orderHistory[customer]),ROW(orderHistory[customer])),""),ROWS($A$15:A20)+$B$3)),INDEX(orderHistory[payed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payed],SMALL(IF(ISNUMBER(MATCH(orderHistory[customer],$D$9,0)),MATCH(ROW(orderHistory[customer]),ROW(orderHistory[customer])),""),ROWS($A$15:A20)+$B$3)),INDEX(orderHistory[payed],SMALL(IF(ISNUMBER(MATCH(orderHistory[customer],$D$9,0)*MATCH(YEAR(orderHistory[invoice_date]),$D$15,0)),MATCH(ROW(orderHistory[customer]),ROW(orderHistory[customer])),""),ROWS($A$15:A20)+$B$3))),IF($D$15="",INDEX(orderHistory[payed],SMALL(IF(ISNUMBER(MATCH(orderHistory[customer],$D$9,0)*MATCH(orderHistory[order_type],$D$13,0)),MATCH(ROW(orderHistory[customer]),ROW(orderHistory[customer])),""),ROWS($A$15:A20)+$B$3)),INDEX(orderHistory[payed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payed],SMALL(IF(ISNUMBER(MATCH(orderHistory[customer],$D$9,0)*MATCH(orderHistory[status],$D$11,0)),MATCH(ROW(orderHistory[customer]),ROW(orderHistory[customer])),""),ROWS($A$15:A20)+$B$3)),INDEX(orderHistory[payed],SMALL(IF(ISNUMBER(MATCH(orderHistory[customer],$D$9,0)*MATCH(orderHistory[status],$D$11,0)*MATCH(YEAR(orderHistory[payed]),$D$15,0)),MATCH(ROW(orderHistory[customer]),ROW(orderHistory[customer])),""),ROWS($A$15:A20)+$B$3))),IF($D$15="",INDEX(orderHistory[payed],SMALL(IF(ISNUMBER(MATCH(orderHistory[customer],$D$9,0)*MATCH(orderHistory[status],$D$11,0)*MATCH(orderHistory[order_type],$D$13,0)),MATCH(ROW(orderHistory[customer]),ROW(orderHistory[customer])),""),ROWS($A$15:A20)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1</v>
      </c>
      <c r="U15" s="383" t="str">
        <f t="array" ref="U15">IFERROR(IF($D$9="",IF($D$11="",IF($D$13="",IF($D$15="",INDEX(orderHistory[shipping_method],SMALL(MATCH(ROW(orderHistory[customer]),ROW(orderHistory[customer])),ROWS($A$15:A20)+$B$3)),INDEX(orderHistory[shipping_method],SMALL(IF(ISNUMBER(MATCH(YEAR(orderHistory[invoice_date]),$D$15,0)),MATCH(ROW(orderHistory[customer]),ROW(orderHistory[customer])),""),ROWS($A$15:A20)+$B$3))),IF($D$15="",INDEX(orderHistory[shipping_method],SMALL(IF(ISNUMBER(MATCH(orderHistory[order_type],$D$13,0)),MATCH(ROW(orderHistory[customer]),ROW(orderHistory[customer])),""),ROWS($A$15:A20)+$B$3)),INDEX(orderHistory[shipping_method],SMALL(IF(ISNUMBER(MATCH(orderHistory[order_type],$D$13,0)*MATCH(YEAR(orderHistory[invoice_date]),$D$15,0)),MATCH(ROW(orderHistory[customer]),ROW(orderHistory[customer])),""),ROWS($A$15:A20)+$B$3)))),IF($D$13="",IF($D$15="",INDEX(orderHistory[shipping_method],SMALL(IF(ISNUMBER(MATCH(orderHistory[status],$D$11,0)),MATCH(ROW(orderHistory[customer]),ROW(orderHistory[customer])),""),ROWS($A$15:A20)+$B$3)),INDEX(orderHistory[shipping_method],SMALL(IF(ISNUMBER(MATCH(orderHistory[status],$D$11,0)*MATCH(YEAR(orderHistory[invoice_date]),$D$15,0)),MATCH(ROW(orderHistory[customer]),ROW(orderHistory[customer])),""),ROWS($A$15:A20)+$B$3))),IF($D$15="",INDEX(orderHistory[shipping_method],SMALL(IF(ISNUMBER(MATCH(orderHistory[status],$D$11,0)*MATCH(orderHistory[order_type],$D$13,0)),MATCH(ROW(orderHistory[customer]),ROW(orderHistory[customer])),""),ROWS($A$15:A20)+$B$3)),INDEX(orderHistory[shipping_method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shipping_method],SMALL(IF(ISNUMBER(MATCH(orderHistory[customer],$D$9,0)),MATCH(ROW(orderHistory[customer]),ROW(orderHistory[customer])),""),ROWS($A$15:A20)+$B$3)),INDEX(orderHistory[shipping_method],SMALL(IF(ISNUMBER(MATCH(orderHistory[customer],$D$9,0)*MATCH(YEAR(orderHistory[invoice_date]),$D$15,0)),MATCH(ROW(orderHistory[customer]),ROW(orderHistory[customer])),""),ROWS($A$15:A20)+$B$3))),IF($D$15="",INDEX(orderHistory[shipping_method],SMALL(IF(ISNUMBER(MATCH(orderHistory[customer],$D$9,0)*MATCH(orderHistory[order_type],$D$13,0)),MATCH(ROW(orderHistory[customer]),ROW(orderHistory[customer])),""),ROWS($A$15:A20)+$B$3)),INDEX(orderHistory[shipping_method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shipping_method],SMALL(IF(ISNUMBER(MATCH(orderHistory[customer],$D$9,0)*MATCH(orderHistory[status],$D$11,0)),MATCH(ROW(orderHistory[customer]),ROW(orderHistory[customer])),""),ROWS($A$15:A20)+$B$3)),INDEX(orderHistory[shipping_method],SMALL(IF(ISNUMBER(MATCH(orderHistory[customer],$D$9,0)*MATCH(orderHistory[status],$D$11,0)*MATCH(YEAR(orderHistory[shipping_method]),$D$15,0)),MATCH(ROW(orderHistory[customer]),ROW(orderHistory[customer])),""),ROWS($A$15:A20)+$B$3))),IF($D$15="",INDEX(orderHistory[shipping_method],SMALL(IF(ISNUMBER(MATCH(orderHistory[customer],$D$9,0)*MATCH(orderHistory[status],$D$11,0)*MATCH(orderHistory[order_type],$D$13,0)),MATCH(ROW(orderHistory[customer]),ROW(orderHistory[customer])),""),ROWS($A$15:A20)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BY ROAD</v>
      </c>
      <c r="V15" s="388" t="str">
        <f t="array" ref="V15">IFERROR(IF($D$9="",IF($D$11="",IF($D$13="",IF($D$15="",INDEX(orderHistory[status],SMALL(MATCH(ROW(orderHistory[customer]),ROW(orderHistory[customer])),ROWS($A$15:A20)+$B$3)),INDEX(orderHistory[status],SMALL(IF(ISNUMBER(MATCH(YEAR(orderHistory[invoice_date]),$D$15,0)),MATCH(ROW(orderHistory[customer]),ROW(orderHistory[customer])),""),ROWS($A$15:A20)+$B$3))),IF($D$15="",INDEX(orderHistory[status],SMALL(IF(ISNUMBER(MATCH(orderHistory[order_type],$D$13,0)),MATCH(ROW(orderHistory[customer]),ROW(orderHistory[customer])),""),ROWS($A$15:A20)+$B$3)),INDEX(orderHistory[status],SMALL(IF(ISNUMBER(MATCH(orderHistory[order_type],$D$13,0)*MATCH(YEAR(orderHistory[invoice_date]),$D$15,0)),MATCH(ROW(orderHistory[customer]),ROW(orderHistory[customer])),""),ROWS($A$15:A20)+$B$3)))),IF($D$13="",IF($D$15="",INDEX(orderHistory[status],SMALL(IF(ISNUMBER(MATCH(orderHistory[status],$D$11,0)),MATCH(ROW(orderHistory[customer]),ROW(orderHistory[customer])),""),ROWS($A$15:A20)+$B$3)),INDEX(orderHistory[status],SMALL(IF(ISNUMBER(MATCH(orderHistory[status],$D$11,0)*MATCH(YEAR(orderHistory[invoice_date]),$D$15,0)),MATCH(ROW(orderHistory[customer]),ROW(orderHistory[customer])),""),ROWS($A$15:A20)+$B$3))),IF($D$15="",INDEX(orderHistory[status],SMALL(IF(ISNUMBER(MATCH(orderHistory[status],$D$11,0)*MATCH(orderHistory[order_type],$D$13,0)),MATCH(ROW(orderHistory[customer]),ROW(orderHistory[customer])),""),ROWS($A$15:A20)+$B$3)),INDEX(orderHistory[status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status],SMALL(IF(ISNUMBER(MATCH(orderHistory[customer],$D$9,0)),MATCH(ROW(orderHistory[customer]),ROW(orderHistory[customer])),""),ROWS($A$15:A20)+$B$3)),INDEX(orderHistory[status],SMALL(IF(ISNUMBER(MATCH(orderHistory[customer],$D$9,0)*MATCH(YEAR(orderHistory[invoice_date]),$D$15,0)),MATCH(ROW(orderHistory[customer]),ROW(orderHistory[customer])),""),ROWS($A$15:A20)+$B$3))),IF($D$15="",INDEX(orderHistory[status],SMALL(IF(ISNUMBER(MATCH(orderHistory[customer],$D$9,0)*MATCH(orderHistory[order_type],$D$13,0)),MATCH(ROW(orderHistory[customer]),ROW(orderHistory[customer])),""),ROWS($A$15:A20)+$B$3)),INDEX(orderHistory[status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status],SMALL(IF(ISNUMBER(MATCH(orderHistory[customer],$D$9,0)*MATCH(orderHistory[status],$D$11,0)),MATCH(ROW(orderHistory[customer]),ROW(orderHistory[customer])),""),ROWS($A$15:A20)+$B$3)),INDEX(orderHistory[status],SMALL(IF(ISNUMBER(MATCH(orderHistory[customer],$D$9,0)*MATCH(orderHistory[status],$D$11,0)*MATCH(YEAR(orderHistory[status]),$D$15,0)),MATCH(ROW(orderHistory[customer]),ROW(orderHistory[customer])),""),ROWS($A$15:A20)+$B$3))),IF($D$15="",INDEX(orderHistory[status],SMALL(IF(ISNUMBER(MATCH(orderHistory[customer],$D$9,0)*MATCH(orderHistory[status],$D$11,0)*MATCH(orderHistory[order_type],$D$13,0)),MATCH(ROW(orderHistory[customer]),ROW(orderHistory[customer])),""),ROWS($A$15:A20)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SHIPPED</v>
      </c>
      <c r="W15" s="547" t="str">
        <f t="array" ref="W15">IFERROR(IF($D$9="",IF($D$11="",IF($D$13="",IF($D$15="",INDEX(orderHistory[custom_docs],SMALL(MATCH(ROW(orderHistory[customer]),ROW(orderHistory[customer])),ROWS($A$15:A20)+$B$3)),INDEX(orderHistory[custom_docs],SMALL(IF(ISNUMBER(MATCH(YEAR(orderHistory[invoice_date]),$D$15,0)),MATCH(ROW(orderHistory[customer]),ROW(orderHistory[customer])),""),ROWS($A$15:A20)+$B$3))),IF($D$15="",INDEX(orderHistory[custom_docs],SMALL(IF(ISNUMBER(MATCH(orderHistory[order_type],$D$13,0)),MATCH(ROW(orderHistory[customer]),ROW(orderHistory[customer])),""),ROWS($A$15:A20)+$B$3)),INDEX(orderHistory[custom_docs],SMALL(IF(ISNUMBER(MATCH(orderHistory[order_type],$D$13,0)*MATCH(YEAR(orderHistory[invoice_date]),$D$15,0)),MATCH(ROW(orderHistory[customer]),ROW(orderHistory[customer])),""),ROWS($A$15:A20)+$B$3)))),IF($D$13="",IF($D$15="",INDEX(orderHistory[custom_docs],SMALL(IF(ISNUMBER(MATCH(orderHistory[status],$D$11,0)),MATCH(ROW(orderHistory[customer]),ROW(orderHistory[customer])),""),ROWS($A$15:A20)+$B$3)),INDEX(orderHistory[custom_docs],SMALL(IF(ISNUMBER(MATCH(orderHistory[status],$D$11,0)*MATCH(YEAR(orderHistory[invoice_date]),$D$15,0)),MATCH(ROW(orderHistory[customer]),ROW(orderHistory[customer])),""),ROWS($A$15:A20)+$B$3))),IF($D$15="",INDEX(orderHistory[custom_docs],SMALL(IF(ISNUMBER(MATCH(orderHistory[status],$D$11,0)*MATCH(orderHistory[order_type],$D$13,0)),MATCH(ROW(orderHistory[customer]),ROW(orderHistory[customer])),""),ROWS($A$15:A20)+$B$3)),INDEX(orderHistory[custom_docs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custom_docs],SMALL(IF(ISNUMBER(MATCH(orderHistory[customer],$D$9,0)),MATCH(ROW(orderHistory[customer]),ROW(orderHistory[customer])),""),ROWS($A$15:A20)+$B$3)),INDEX(orderHistory[custom_docs],SMALL(IF(ISNUMBER(MATCH(orderHistory[customer],$D$9,0)*MATCH(YEAR(orderHistory[invoice_date]),$D$15,0)),MATCH(ROW(orderHistory[customer]),ROW(orderHistory[customer])),""),ROWS($A$15:A20)+$B$3))),IF($D$15="",INDEX(orderHistory[custom_docs],SMALL(IF(ISNUMBER(MATCH(orderHistory[customer],$D$9,0)*MATCH(orderHistory[order_type],$D$13,0)),MATCH(ROW(orderHistory[customer]),ROW(orderHistory[customer])),""),ROWS($A$15:A20)+$B$3)),INDEX(orderHistory[custom_docs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custom_docs],SMALL(IF(ISNUMBER(MATCH(orderHistory[customer],$D$9,0)*MATCH(orderHistory[status],$D$11,0)),MATCH(ROW(orderHistory[customer]),ROW(orderHistory[customer])),""),ROWS($A$15:A20)+$B$3)),INDEX(orderHistory[custom_docs],SMALL(IF(ISNUMBER(MATCH(orderHistory[customer],$D$9,0)*MATCH(orderHistory[status],$D$11,0)*MATCH(YEAR(orderHistory[status]),$D$15,0)),MATCH(ROW(orderHistory[customer]),ROW(orderHistory[customer])),""),ROWS($A$15:A20)+$B$3))),IF($D$15="",INDEX(orderHistory[custom_docs],SMALL(IF(ISNUMBER(MATCH(orderHistory[customer],$D$9,0)*MATCH(orderHistory[status],$D$11,0)*MATCH(orderHistory[order_type],$D$13,0)),MATCH(ROW(orderHistory[customer]),ROW(orderHistory[customer])),""),ROWS($A$15:A20)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OK</v>
      </c>
      <c r="AQ15" s="326"/>
      <c r="AR15" s="327"/>
      <c r="AS15" s="327"/>
      <c r="AT15" s="327"/>
      <c r="AU15" s="277"/>
      <c r="AW15" s="308"/>
      <c r="AX15" s="318"/>
      <c r="BD15" s="306"/>
      <c r="BE15" s="306"/>
      <c r="BF15" s="320"/>
      <c r="BG15" s="312"/>
      <c r="BH15" s="312"/>
      <c r="BJ15" s="271"/>
      <c r="BK15" s="321"/>
      <c r="BL15" s="297"/>
      <c r="BM15" s="298"/>
      <c r="BN15" s="297"/>
      <c r="BO15" s="298"/>
      <c r="BX15" s="302" t="str">
        <f>IF(BX9="","",INDEX(orderHistory[order_type],MATCH($BX$11,orderHistory[order_no],0)))</f>
        <v>SALE</v>
      </c>
      <c r="BZ15" s="412" t="s">
        <v>118</v>
      </c>
      <c r="CA15" s="401" t="str">
        <f>IFERROR(IF(BZ15="","",INDEX(bhpc_data[description],MATCH(BZ15,bhpc_data[sku],0))),"")</f>
        <v>BHPC PRESTIGE CHALLENGE 100ML EDP WOMEN</v>
      </c>
      <c r="CB15" s="403">
        <v>48</v>
      </c>
      <c r="CC15" s="886">
        <v>15.849721162312886</v>
      </c>
      <c r="CD15" s="411"/>
      <c r="CE15" s="890"/>
      <c r="CF15" s="404"/>
      <c r="CG15" s="405">
        <f>IFERROR(ROUNDUP(CB15/INDEX(bhpc_data[units_per_carton],MATCH(BZ15,bhpc_data[sku],0)),0),"")</f>
        <v>2</v>
      </c>
      <c r="CH15" s="406">
        <f>IFERROR(ROUNDUP(CD15/INDEX(bhpc_data[units_per_carton],MATCH(BZ15,bhpc_data[sku],0)),0),"")</f>
        <v>0</v>
      </c>
      <c r="CI15" s="406" t="str">
        <f>IFERROR(ROUNDUP(CF15/INDEX(bhpc_data[units_per_carton],MATCH(BZ15,bhpc_data[sku])),0),"")</f>
        <v/>
      </c>
      <c r="CJ15" s="406">
        <f>IFERROR(((CB15+CD15+CF15)/INDEX(bhpc_data[units_per_carton],MATCH(BZ15,bhpc_data[sku],0)))*INDEX(bhpc_data[net_weight],MATCH(BZ15,bhpc_data[sku],0)),"")</f>
        <v>18.239999999999998</v>
      </c>
      <c r="CK15" s="406">
        <f>IFERROR(((CB15+CD15+CF15)/INDEX(bhpc_data[units_per_carton],MATCH(BZ15,bhpc_data[sku],0)))*INDEX(bhpc_data[gross_weight],MATCH(BZ15,bhpc_data[sku],0)),"")</f>
        <v>19</v>
      </c>
      <c r="CL15" s="602">
        <f>IFERROR((CB15+CD15+CF15)/INDEX(bhpc_data[units_per_carton],MATCH(BZ15,bhpc_data[sku],0))*INDEX(bhpc_data[length],MATCH(BZ15,bhpc_data[sku],0))*INDEX(bhpc_data[width],MATCH(BZ15,bhpc_data[sku],0))*INDEX(bhpc_data[height],MATCH(BZ15,bhpc_data[sku],0))/1000000000,"")</f>
        <v>3.5062500000000003E-2</v>
      </c>
      <c r="CM15" s="407" t="str">
        <f>IFERROR(INDEX(bhpc_data[category],MATCH(BZ15,bhpc_data[sku],0)),"")</f>
        <v>PRESTIGE</v>
      </c>
      <c r="CN15" s="407">
        <f>IFERROR(INDEX(bhpc_data[size],MATCH(BZ15,bhpc_data[sku],0)),"")</f>
        <v>100</v>
      </c>
      <c r="CO15" s="408" t="str">
        <f>IFERROR(INDEX(bhpc_data[hs_code],MATCH(BZ15,bhpc_data[sku],0)),"")</f>
        <v>33030010</v>
      </c>
      <c r="CP15" s="489" t="str">
        <f>IFERROR(INDEX(bhpc_data[sku_geko],MATCH(BZ15,bhpc_data[sku],0)),"")</f>
        <v>P06005</v>
      </c>
      <c r="CQ15" s="404"/>
      <c r="CR15" s="516">
        <f>IFERROR(IF(BZ15="","",IF($BX$15="SALE",INDEX(inventory[COSTO UNITARIO],MATCH(BZ15,inventory[SKU],0)),IF($BX$15="SAMPLING",INDEX(inventory[COSTO UNITARIO],MATCH(BZ15,inventory[SKU],0)),""))),"")</f>
        <v>11.68</v>
      </c>
      <c r="CS15" s="516">
        <f t="shared" ref="CS15:CS21" si="3">IFERROR(IF(BZ15="","",(CB15+CD15)*CR15),"")</f>
        <v>560.64</v>
      </c>
      <c r="CT15" s="896">
        <f t="shared" ref="CT15:CT21" si="4">IF(BZ15="","",CB15*CC15+CD15*CE15)</f>
        <v>760.78661579101845</v>
      </c>
      <c r="CU15" s="469" t="str">
        <f t="shared" si="0"/>
        <v>OK</v>
      </c>
      <c r="CW15" s="80"/>
      <c r="CX15" s="84" t="s">
        <v>562</v>
      </c>
      <c r="CY15" s="210">
        <f>SUM($CD$10:$CD$110)</f>
        <v>0</v>
      </c>
      <c r="CZ15" s="240" t="s">
        <v>563</v>
      </c>
      <c r="DA15" s="899">
        <f>IF($BX$15="SUPPLY",0,DA11*7%)</f>
        <v>532.550631053713</v>
      </c>
      <c r="DB15" s="77"/>
      <c r="DH15" s="215"/>
      <c r="EE15" s="439" t="str" cm="1">
        <f t="array" ref="EE15">IFERROR(IF($EC$9="",IF($EC$11="",IF($EC$13="",INDEX(bhpc_data[sku],SMALL(MATCH(ROW(bhpc_data[sku]),ROW(bhpc_data[sku])),ROWS($A$15:A20)+$B$3)),INDEX(bhpc_data[sku],SMALL(IF(ISNUMBER(MATCH(bhpc_data[size],$EC$13,0)),MATCH(ROW(bhpc_data[sku]),ROW(bhpc_data[sku])),""),ROWS($A$15:A20)+$B$3))),IF($EC$13="",INDEX(bhpc_data[sku],SMALL(IF(ISNUMBER(MATCH(bhpc_data[sex],$EC$11,0)),MATCH(ROW(bhpc_data[sku]),ROW(bhpc_data[sku])),""),ROWS($A$15:A20)+$B$3)),INDEX(bhpc_data[sku],SMALL(IF(ISNUMBER(MATCH(bhpc_data[sex],$EC$11,0)*MATCH(bhpc_data[size],$EC$13,0)),MATCH(ROW(bhpc_data[sku]),ROW(bhpc_data[sku])),""),ROWS($A$15:A20)+$B$3)))),IF($EC$11="",IF($EC$13="",INDEX(bhpc_data[sku],SMALL(IF(ISNUMBER(MATCH(bhpc_data[category],$EC$9,0)),MATCH(ROW(bhpc_data[sku]),ROW(bhpc_data[sku])),""),ROWS($A$15:A20)+$B$3)),INDEX(bhpc_data[sku],SMALL(IF(ISNUMBER(MATCH(bhpc_data[category],$EC$9,0)*MATCH(bhpc_data[size],$EC$13,0)),MATCH(ROW(bhpc_data[sku]),ROW(bhpc_data[sku])),""),ROWS($A$15:A20)+$B$3))),IF($EC$13="",INDEX(bhpc_data[sku],SMALL(IF(ISNUMBER(MATCH(bhpc_data[category],$EC$9,0)*MATCH(bhpc_data[sex],$EC$11,0)),MATCH(ROW(bhpc_data[sku]),ROW(bhpc_data[sku])),""),ROWS($A$15:A20)+$B$3)),INDEX(bhpc_data[sku],SMALL(IF(ISNUMBER(MATCH(bhpc_data[category],$EC$9,0)*MATCH(bhpc_data[sex],$EC$11,0)*MATCH(bhpc_data[size],$EC$13,0)),MATCH(ROW(bhpc_data[sku]),ROW(bhpc_data[sku])),""),ROWS($A$15:A20)+$B$3))))),"")</f>
        <v>P05010</v>
      </c>
      <c r="EF15" s="440" t="str" cm="1">
        <f t="array" ref="EF15">IFERROR(IF($EC$9="",IF($EC$11="",IF($EC$13="",INDEX(bhpc_data[description],SMALL(MATCH(ROW(bhpc_data[sku]),ROW(bhpc_data[sku])),ROWS($A$15:A20)+$B$3)),INDEX(bhpc_data[description],SMALL(IF(ISNUMBER(MATCH(bhpc_data[size],$EC$13,0)),MATCH(ROW(bhpc_data[sku]),ROW(bhpc_data[sku])),""),ROWS($A$15:A20)+$B$3))),IF($EC$13="",INDEX(bhpc_data[description],SMALL(IF(ISNUMBER(MATCH(bhpc_data[sex],$EC$11,0)),MATCH(ROW(bhpc_data[sku]),ROW(bhpc_data[sku])),""),ROWS($A$15:A20)+$B$3)),INDEX(bhpc_data[description],SMALL(IF(ISNUMBER(MATCH(bhpc_data[sex],$EC$11,0)*MATCH(bhpc_data[size],$EC$13,0)),MATCH(ROW(bhpc_data[sku]),ROW(bhpc_data[sku])),""),ROWS($A$15:A20)+$B$3)))),IF($EC$11="",IF($EC$13="",INDEX(bhpc_data[description],SMALL(IF(ISNUMBER(MATCH(bhpc_data[category],$EC$9,0)),MATCH(ROW(bhpc_data[sku]),ROW(bhpc_data[sku])),""),ROWS($A$15:A20)+$B$3)),INDEX(bhpc_data[description],SMALL(IF(ISNUMBER(MATCH(bhpc_data[category],$EC$9,0)*MATCH(bhpc_data[size],$EC$13,0)),MATCH(ROW(bhpc_data[sku]),ROW(bhpc_data[sku])),""),ROWS($A$15:A20)+$B$3))),IF($EC$13="",INDEX(bhpc_data[description],SMALL(IF(ISNUMBER(MATCH(bhpc_data[category],$EC$9,0)*MATCH(bhpc_data[sex],$EC$11,0)),MATCH(ROW(bhpc_data[sku]),ROW(bhpc_data[sku])),""),ROWS($A$15:A20)+$B$3)),INDEX(bhpc_data[description],SMALL(IF(ISNUMBER(MATCH(bhpc_data[category],$EC$9,0)*MATCH(bhpc_data[sex],$EC$11,0)*MATCH(bhpc_data[size],$EC$13,0)),MATCH(ROW(bhpc_data[sku]),ROW(bhpc_data[sku])),""),ROWS($A$15:A20)+$B$3))))),"")</f>
        <v>BHPC SPORT MEN 8 EDT 50ML</v>
      </c>
      <c r="EG15" s="441">
        <f>IFERROR(IF('BHPC MANAGER'!$EE15="","",INDEX(inventory[ESISTENZA],MATCH('BHPC MANAGER'!$EE15,inventory[SKU],0))),0)</f>
        <v>0</v>
      </c>
      <c r="EH15" s="442">
        <v>0</v>
      </c>
      <c r="EI15" s="442">
        <f t="shared" si="1"/>
        <v>0</v>
      </c>
      <c r="EJ15" s="443">
        <v>0</v>
      </c>
      <c r="EK15" s="444">
        <f t="shared" si="2"/>
        <v>0</v>
      </c>
      <c r="FD15" s="492"/>
      <c r="FE15" s="493"/>
      <c r="FF15" s="494"/>
      <c r="FG15" s="494"/>
      <c r="FH15" s="495"/>
      <c r="FI15" s="263"/>
      <c r="FJ15" s="492"/>
      <c r="FK15" s="493"/>
      <c r="FL15" s="494"/>
      <c r="FM15" s="494"/>
      <c r="FN15" s="495"/>
      <c r="FO15" s="263"/>
      <c r="FP15" s="263"/>
      <c r="FQ15" s="263"/>
      <c r="FR15" s="263"/>
      <c r="FS15" s="263"/>
      <c r="FT15" s="263"/>
      <c r="FU15" s="263"/>
      <c r="FV15" s="263"/>
      <c r="FW15" s="263"/>
      <c r="FX15" s="263"/>
      <c r="FY15" s="263"/>
      <c r="FZ15" s="263"/>
      <c r="GA15" s="263"/>
      <c r="GB15" s="263"/>
      <c r="GC15" s="263"/>
      <c r="GD15" s="263"/>
      <c r="GE15" s="263"/>
      <c r="GF15" s="263"/>
      <c r="GG15" s="263"/>
      <c r="GH15" s="263"/>
      <c r="GI15" s="263"/>
      <c r="GJ15" s="263"/>
      <c r="GK15" s="263"/>
      <c r="GL15" s="263"/>
      <c r="GM15" s="263"/>
      <c r="GN15" s="263"/>
      <c r="GO15" s="263"/>
      <c r="GP15" s="263"/>
      <c r="GQ15" s="263"/>
      <c r="GR15" s="263"/>
      <c r="GS15" s="263"/>
      <c r="GT15" s="263"/>
      <c r="GU15" s="263"/>
      <c r="GV15" s="263"/>
      <c r="GW15" s="263"/>
      <c r="GX15" s="263"/>
      <c r="GY15" s="263"/>
      <c r="GZ15" s="263"/>
      <c r="HA15" s="263"/>
      <c r="HB15" s="263"/>
      <c r="HC15" s="263"/>
      <c r="HD15" s="263"/>
      <c r="HE15" s="263"/>
      <c r="HF15" s="263"/>
      <c r="HG15" s="263"/>
      <c r="HH15" s="263"/>
      <c r="HI15" s="263"/>
      <c r="HJ15" s="263"/>
      <c r="HK15" s="263"/>
      <c r="HL15" s="263"/>
      <c r="HM15" s="263"/>
      <c r="HN15" s="263"/>
      <c r="HO15" s="263"/>
      <c r="HP15" s="263"/>
      <c r="HQ15" s="263"/>
      <c r="HR15" s="263"/>
      <c r="HS15" s="263"/>
      <c r="HT15" s="263"/>
    </row>
    <row r="16" spans="1:702" ht="15" customHeight="1" thickBot="1" x14ac:dyDescent="0.4">
      <c r="A16" s="142" t="s">
        <v>581</v>
      </c>
      <c r="B16" s="143">
        <v>45488.760925925926</v>
      </c>
      <c r="F16" s="88"/>
      <c r="G16" s="863"/>
      <c r="H16" s="864"/>
      <c r="I16" s="865"/>
      <c r="J16" s="77"/>
      <c r="L16" s="381" t="str">
        <f t="array" ref="L16">IFERROR(IF($D$9="",IF($D$11="",IF($D$13="",IF($D$15="",INDEX(orderHistory[customer],SMALL(MATCH(ROW(orderHistory[customer]),ROW(orderHistory[customer])),ROWS($A$15:A21)+$B$3)),INDEX(orderHistory[customer],SMALL(IF(ISNUMBER(MATCH(YEAR(orderHistory[invoice_date]),$D$15,0)),MATCH(ROW(orderHistory[customer]),ROW(orderHistory[customer])),""),ROWS($A$15:A21)+$B$3))),IF($D$15="",INDEX(orderHistory[customer],SMALL(IF(ISNUMBER(MATCH(orderHistory[order_type],$D$13,0)),MATCH(ROW(orderHistory[customer]),ROW(orderHistory[customer])),""),ROWS($A$15:A21)+$B$3)),INDEX(orderHistory[customer],SMALL(IF(ISNUMBER(MATCH(orderHistory[order_type],$D$13,0)*MATCH(YEAR(orderHistory[invoice_date]),$D$15,0)),MATCH(ROW(orderHistory[customer]),ROW(orderHistory[customer])),""),ROWS($A$15:A21)+$B$3)))),IF($D$13="",IF($D$15="",INDEX(orderHistory[customer],SMALL(IF(ISNUMBER(MATCH(orderHistory[status],$D$11,0)),MATCH(ROW(orderHistory[customer]),ROW(orderHistory[customer])),""),ROWS($A$15:A21)+$B$3)),INDEX(orderHistory[customer],SMALL(IF(ISNUMBER(MATCH(orderHistory[status],$D$11,0)*MATCH(YEAR(orderHistory[invoice_date]),$D$15,0)),MATCH(ROW(orderHistory[customer]),ROW(orderHistory[customer])),""),ROWS($A$15:A21)+$B$3))),IF($D$15="",INDEX(orderHistory[customer],SMALL(IF(ISNUMBER(MATCH(orderHistory[status],$D$11,0)*MATCH(orderHistory[order_type],$D$13,0)),MATCH(ROW(orderHistory[customer]),ROW(orderHistory[customer])),""),ROWS($A$15:A21)+$B$3)),INDEX(orderHistory[customer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customer],SMALL(IF(ISNUMBER(MATCH(orderHistory[customer],$D$9,0)),MATCH(ROW(orderHistory[customer]),ROW(orderHistory[customer])),""),ROWS($A$15:A21)+$B$3)),INDEX(orderHistory[customer],SMALL(IF(ISNUMBER(MATCH(orderHistory[customer],$D$9,0)*MATCH(YEAR(orderHistory[invoice_date]),$D$15,0)),MATCH(ROW(orderHistory[customer]),ROW(orderHistory[customer])),""),ROWS($A$15:A21)+$B$3))),IF($D$15="",INDEX(orderHistory[customer],SMALL(IF(ISNUMBER(MATCH(orderHistory[customer],$D$9,0)*MATCH(orderHistory[order_type],$D$13,0)),MATCH(ROW(orderHistory[customer]),ROW(orderHistory[customer])),""),ROWS($A$15:A21)+$B$3)),INDEX(orderHistory[customer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customer],SMALL(IF(ISNUMBER(MATCH(orderHistory[customer],$D$9,0)*MATCH(orderHistory[status],$D$11,0)),MATCH(ROW(orderHistory[customer]),ROW(orderHistory[customer])),""),ROWS($A$15:A21)+$B$3)),INDEX(orderHistory[customer],SMALL(IF(ISNUMBER(MATCH(orderHistory[customer],$D$9,0)*MATCH(orderHistory[status],$D$11,0)*MATCH(YEAR(orderHistory[invoice_date]),$D$15,0)),MATCH(ROW(orderHistory[customer]),ROW(orderHistory[customer])),""),ROWS($A$15:A21)+$B$3))),IF($D$15="",INDEX(orderHistory[customer],SMALL(IF(ISNUMBER(MATCH(orderHistory[customer],$D$9,0)*MATCH(orderHistory[status],$D$11,0)*MATCH(orderHistory[order_type],$D$13,0)),MATCH(ROW(orderHistory[customer]),ROW(orderHistory[customer])),""),ROWS($A$15:A21)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PANABEL CO</v>
      </c>
      <c r="M16" s="382">
        <f t="array" ref="M16">IFERROR(IF($D$9="",IF($D$11="",IF($D$13="",IF($D$15="",INDEX(orderHistory[order_no],SMALL(MATCH(ROW(orderHistory[customer]),ROW(orderHistory[customer])),ROWS($A$15:A21)+$B$3)),INDEX(orderHistory[order_no],SMALL(IF(ISNUMBER(MATCH(YEAR(orderHistory[invoice_date]),$D$15,0)),MATCH(ROW(orderHistory[customer]),ROW(orderHistory[customer])),""),ROWS($A$15:A21)+$B$3))),IF($D$15="",INDEX(orderHistory[order_no],SMALL(IF(ISNUMBER(MATCH(orderHistory[order_type],$D$13,0)),MATCH(ROW(orderHistory[customer]),ROW(orderHistory[customer])),""),ROWS($A$15:A21)+$B$3)),INDEX(orderHistory[order_no],SMALL(IF(ISNUMBER(MATCH(orderHistory[order_type],$D$13,0)*MATCH(YEAR(orderHistory[invoice_date]),$D$15,0)),MATCH(ROW(orderHistory[customer]),ROW(orderHistory[customer])),""),ROWS($A$15:A21)+$B$3)))),IF($D$13="",IF($D$15="",INDEX(orderHistory[order_no],SMALL(IF(ISNUMBER(MATCH(orderHistory[status],$D$11,0)),MATCH(ROW(orderHistory[customer]),ROW(orderHistory[customer])),""),ROWS($A$15:A21)+$B$3)),INDEX(orderHistory[order_no],SMALL(IF(ISNUMBER(MATCH(orderHistory[status],$D$11,0)*MATCH(YEAR(orderHistory[invoice_date]),$D$15,0)),MATCH(ROW(orderHistory[customer]),ROW(orderHistory[customer])),""),ROWS($A$15:A21)+$B$3))),IF($D$15="",INDEX(orderHistory[order_no],SMALL(IF(ISNUMBER(MATCH(orderHistory[status],$D$11,0)*MATCH(orderHistory[order_type],$D$13,0)),MATCH(ROW(orderHistory[customer]),ROW(orderHistory[customer])),""),ROWS($A$15:A21)+$B$3)),INDEX(orderHistory[order_no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order_no],SMALL(IF(ISNUMBER(MATCH(orderHistory[customer],$D$9,0)),MATCH(ROW(orderHistory[customer]),ROW(orderHistory[customer])),""),ROWS($A$15:A21)+$B$3)),INDEX(orderHistory[order_no],SMALL(IF(ISNUMBER(MATCH(orderHistory[customer],$D$9,0)*MATCH(YEAR(orderHistory[invoice_date]),$D$15,0)),MATCH(ROW(orderHistory[customer]),ROW(orderHistory[customer])),""),ROWS($A$15:A21)+$B$3))),IF($D$15="",INDEX(orderHistory[order_no],SMALL(IF(ISNUMBER(MATCH(orderHistory[customer],$D$9,0)*MATCH(orderHistory[order_type],$D$13,0)),MATCH(ROW(orderHistory[customer]),ROW(orderHistory[customer])),""),ROWS($A$15:A21)+$B$3)),INDEX(orderHistory[order_no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order_no],SMALL(IF(ISNUMBER(MATCH(orderHistory[customer],$D$9,0)*MATCH(orderHistory[status],$D$11,0)),MATCH(ROW(orderHistory[customer]),ROW(orderHistory[customer])),""),ROWS($A$15:A21)+$B$3)),INDEX(orderHistory[order_no],SMALL(IF(ISNUMBER(MATCH(orderHistory[customer],$D$9,0)*MATCH(orderHistory[status],$D$11,0)*MATCH(YEAR(orderHistory[invoice_date]),$D$15,0)),MATCH(ROW(orderHistory[customer]),ROW(orderHistory[customer])),""),ROWS($A$15:A21)+$B$3))),IF($D$15="",INDEX(orderHistory[order_no],SMALL(IF(ISNUMBER(MATCH(orderHistory[customer],$D$9,0)*MATCH(orderHistory[status],$D$11,0)*MATCH(orderHistory[order_type],$D$13,0)),MATCH(ROW(orderHistory[customer]),ROW(orderHistory[customer])),""),ROWS($A$15:A21)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83</v>
      </c>
      <c r="N16" s="383" t="str">
        <f t="array" ref="N16">IFERROR(IF($D$9="",IF($D$11="",IF($D$13="",IF($D$15="",INDEX(orderHistory[order_type],SMALL(MATCH(ROW(orderHistory[customer]),ROW(orderHistory[customer])),ROWS($A$15:A21)+$B$3)),INDEX(orderHistory[order_type],SMALL(IF(ISNUMBER(MATCH(YEAR(orderHistory[invoice_date]),$D$15,0)),MATCH(ROW(orderHistory[customer]),ROW(orderHistory[customer])),""),ROWS($A$15:A21)+$B$3))),IF($D$15="",INDEX(orderHistory[order_type],SMALL(IF(ISNUMBER(MATCH(orderHistory[order_type],$D$13,0)),MATCH(ROW(orderHistory[customer]),ROW(orderHistory[customer])),""),ROWS($A$15:A21)+$B$3)),INDEX(orderHistory[order_type],SMALL(IF(ISNUMBER(MATCH(orderHistory[order_type],$D$13,0)*MATCH(YEAR(orderHistory[invoice_date]),$D$15,0)),MATCH(ROW(orderHistory[customer]),ROW(orderHistory[customer])),""),ROWS($A$15:A21)+$B$3)))),IF($D$13="",IF($D$15="",INDEX(orderHistory[order_type],SMALL(IF(ISNUMBER(MATCH(orderHistory[status],$D$11,0)),MATCH(ROW(orderHistory[customer]),ROW(orderHistory[customer])),""),ROWS($A$15:A21)+$B$3)),INDEX(orderHistory[order_type],SMALL(IF(ISNUMBER(MATCH(orderHistory[status],$D$11,0)*MATCH(YEAR(orderHistory[invoice_date]),$D$15,0)),MATCH(ROW(orderHistory[customer]),ROW(orderHistory[customer])),""),ROWS($A$15:A21)+$B$3))),IF($D$15="",INDEX(orderHistory[order_type],SMALL(IF(ISNUMBER(MATCH(orderHistory[status],$D$11,0)*MATCH(orderHistory[order_type],$D$13,0)),MATCH(ROW(orderHistory[customer]),ROW(orderHistory[customer])),""),ROWS($A$15:A21)+$B$3)),INDEX(orderHistory[order_type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order_type],SMALL(IF(ISNUMBER(MATCH(orderHistory[customer],$D$9,0)),MATCH(ROW(orderHistory[customer]),ROW(orderHistory[customer])),""),ROWS($A$15:A21)+$B$3)),INDEX(orderHistory[order_type],SMALL(IF(ISNUMBER(MATCH(orderHistory[customer],$D$9,0)*MATCH(YEAR(orderHistory[invoice_date]),$D$15,0)),MATCH(ROW(orderHistory[customer]),ROW(orderHistory[customer])),""),ROWS($A$15:A21)+$B$3))),IF($D$15="",INDEX(orderHistory[order_type],SMALL(IF(ISNUMBER(MATCH(orderHistory[customer],$D$9,0)*MATCH(orderHistory[order_type],$D$13,0)),MATCH(ROW(orderHistory[customer]),ROW(orderHistory[customer])),""),ROWS($A$15:A21)+$B$3)),INDEX(orderHistory[order_type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order_type],SMALL(IF(ISNUMBER(MATCH(orderHistory[customer],$D$9,0)*MATCH(orderHistory[status],$D$11,0)),MATCH(ROW(orderHistory[customer]),ROW(orderHistory[customer])),""),ROWS($A$15:A21)+$B$3)),INDEX(orderHistory[order_type],SMALL(IF(ISNUMBER(MATCH(orderHistory[customer],$D$9,0)*MATCH(orderHistory[status],$D$11,0)*MATCH(YEAR(orderHistory[invoice_date]),$D$15,0)),MATCH(ROW(orderHistory[customer]),ROW(orderHistory[customer])),""),ROWS($A$15:A21)+$B$3))),IF($D$15="",INDEX(orderHistory[order_type],SMALL(IF(ISNUMBER(MATCH(orderHistory[customer],$D$9,0)*MATCH(orderHistory[status],$D$11,0)*MATCH(orderHistory[order_type],$D$13,0)),MATCH(ROW(orderHistory[customer]),ROW(orderHistory[customer])),""),ROWS($A$15:A21)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SALE</v>
      </c>
      <c r="O16" s="384">
        <f t="array" ref="O16">IFERROR(IF($D$9="",IF($D$11="",IF($D$13="",IF($D$15="",INDEX(orderHistory[order_date],SMALL(MATCH(ROW(orderHistory[customer]),ROW(orderHistory[customer])),ROWS($A$15:A21)+$B$3)),INDEX(orderHistory[order_date],SMALL(IF(ISNUMBER(MATCH(YEAR(orderHistory[invoice_date]),$D$15,0)),MATCH(ROW(orderHistory[customer]),ROW(orderHistory[customer])),""),ROWS($A$15:A21)+$B$3))),IF($D$15="",INDEX(orderHistory[order_date],SMALL(IF(ISNUMBER(MATCH(orderHistory[order_type],$D$13,0)),MATCH(ROW(orderHistory[customer]),ROW(orderHistory[customer])),""),ROWS($A$15:A21)+$B$3)),INDEX(orderHistory[order_date],SMALL(IF(ISNUMBER(MATCH(orderHistory[order_type],$D$13,0)*MATCH(YEAR(orderHistory[invoice_date]),$D$15,0)),MATCH(ROW(orderHistory[customer]),ROW(orderHistory[customer])),""),ROWS($A$15:A21)+$B$3)))),IF($D$13="",IF($D$15="",INDEX(orderHistory[order_date],SMALL(IF(ISNUMBER(MATCH(orderHistory[status],$D$11,0)),MATCH(ROW(orderHistory[customer]),ROW(orderHistory[customer])),""),ROWS($A$15:A21)+$B$3)),INDEX(orderHistory[order_date],SMALL(IF(ISNUMBER(MATCH(orderHistory[status],$D$11,0)*MATCH(YEAR(orderHistory[invoice_date]),$D$15,0)),MATCH(ROW(orderHistory[customer]),ROW(orderHistory[customer])),""),ROWS($A$15:A21)+$B$3))),IF($D$15="",INDEX(orderHistory[order_date],SMALL(IF(ISNUMBER(MATCH(orderHistory[status],$D$11,0)*MATCH(orderHistory[order_type],$D$13,0)),MATCH(ROW(orderHistory[customer]),ROW(orderHistory[customer])),""),ROWS($A$15:A21)+$B$3)),INDEX(orderHistory[order_date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order_date],SMALL(IF(ISNUMBER(MATCH(orderHistory[customer],$D$9,0)),MATCH(ROW(orderHistory[customer]),ROW(orderHistory[customer])),""),ROWS($A$15:A21)+$B$3)),INDEX(orderHistory[order_date],SMALL(IF(ISNUMBER(MATCH(orderHistory[customer],$D$9,0)*MATCH(YEAR(orderHistory[invoice_date]),$D$15,0)),MATCH(ROW(orderHistory[customer]),ROW(orderHistory[customer])),""),ROWS($A$15:A21)+$B$3))),IF($D$15="",INDEX(orderHistory[order_date],SMALL(IF(ISNUMBER(MATCH(orderHistory[customer],$D$9,0)*MATCH(orderHistory[order_type],$D$13,0)),MATCH(ROW(orderHistory[customer]),ROW(orderHistory[customer])),""),ROWS($A$15:A21)+$B$3)),INDEX(orderHistory[order_date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order_date],SMALL(IF(ISNUMBER(MATCH(orderHistory[customer],$D$9,0)*MATCH(orderHistory[status],$D$11,0)),MATCH(ROW(orderHistory[customer]),ROW(orderHistory[customer])),""),ROWS($A$15:A21)+$B$3)),INDEX(orderHistory[order_date],SMALL(IF(ISNUMBER(MATCH(orderHistory[customer],$D$9,0)*MATCH(orderHistory[status],$D$11,0)*MATCH(YEAR(orderHistory[invoice_date]),$D$15,0)),MATCH(ROW(orderHistory[customer]),ROW(orderHistory[customer])),""),ROWS($A$15:A21)+$B$3))),IF($D$15="",INDEX(orderHistory[order_date],SMALL(IF(ISNUMBER(MATCH(orderHistory[customer],$D$9,0)*MATCH(orderHistory[status],$D$11,0)*MATCH(orderHistory[order_type],$D$13,0)),MATCH(ROW(orderHistory[customer]),ROW(orderHistory[customer])),""),ROWS($A$15:A21)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45505</v>
      </c>
      <c r="P16" s="385" t="str">
        <f t="array" ref="P16">IFERROR(IF($D$9="",IF($D$11="",IF($D$13="",IF($D$15="",INDEX(orderHistory[invoice_no],SMALL(MATCH(ROW(orderHistory[customer]),ROW(orderHistory[customer])),ROWS($A$15:A21)+$B$3)),INDEX(orderHistory[invoice_no],SMALL(IF(ISNUMBER(MATCH(YEAR(orderHistory[invoice_date]),$D$15,0)),MATCH(ROW(orderHistory[customer]),ROW(orderHistory[customer])),""),ROWS($A$15:A21)+$B$3))),IF($D$15="",INDEX(orderHistory[invoice_no],SMALL(IF(ISNUMBER(MATCH(orderHistory[order_type],$D$13,0)),MATCH(ROW(orderHistory[customer]),ROW(orderHistory[customer])),""),ROWS($A$15:A21)+$B$3)),INDEX(orderHistory[invoice_no],SMALL(IF(ISNUMBER(MATCH(orderHistory[order_type],$D$13,0)*MATCH(YEAR(orderHistory[invoice_date]),$D$15,0)),MATCH(ROW(orderHistory[customer]),ROW(orderHistory[customer])),""),ROWS($A$15:A21)+$B$3)))),IF($D$13="",IF($D$15="",INDEX(orderHistory[invoice_no],SMALL(IF(ISNUMBER(MATCH(orderHistory[status],$D$11,0)),MATCH(ROW(orderHistory[customer]),ROW(orderHistory[customer])),""),ROWS($A$15:A21)+$B$3)),INDEX(orderHistory[invoice_no],SMALL(IF(ISNUMBER(MATCH(orderHistory[status],$D$11,0)*MATCH(YEAR(orderHistory[invoice_date]),$D$15,0)),MATCH(ROW(orderHistory[customer]),ROW(orderHistory[customer])),""),ROWS($A$15:A21)+$B$3))),IF($D$15="",INDEX(orderHistory[invoice_no],SMALL(IF(ISNUMBER(MATCH(orderHistory[status],$D$11,0)*MATCH(orderHistory[order_type],$D$13,0)),MATCH(ROW(orderHistory[customer]),ROW(orderHistory[customer])),""),ROWS($A$15:A21)+$B$3)),INDEX(orderHistory[invoice_no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invoice_no],SMALL(IF(ISNUMBER(MATCH(orderHistory[customer],$D$9,0)),MATCH(ROW(orderHistory[customer]),ROW(orderHistory[customer])),""),ROWS($A$15:A21)+$B$3)),INDEX(orderHistory[invoice_no],SMALL(IF(ISNUMBER(MATCH(orderHistory[customer],$D$9,0)*MATCH(YEAR(orderHistory[invoice_date]),$D$15,0)),MATCH(ROW(orderHistory[customer]),ROW(orderHistory[customer])),""),ROWS($A$15:A21)+$B$3))),IF($D$15="",INDEX(orderHistory[invoice_no],SMALL(IF(ISNUMBER(MATCH(orderHistory[customer],$D$9,0)*MATCH(orderHistory[order_type],$D$13,0)),MATCH(ROW(orderHistory[customer]),ROW(orderHistory[customer])),""),ROWS($A$15:A21)+$B$3)),INDEX(orderHistory[invoice_no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invoice_no],SMALL(IF(ISNUMBER(MATCH(orderHistory[customer],$D$9,0)*MATCH(orderHistory[status],$D$11,0)),MATCH(ROW(orderHistory[customer]),ROW(orderHistory[customer])),""),ROWS($A$15:A21)+$B$3)),INDEX(orderHistory[invoice_no],SMALL(IF(ISNUMBER(MATCH(orderHistory[customer],$D$9,0)*MATCH(orderHistory[status],$D$11,0)*MATCH(YEAR(orderHistory[invoice_date]),$D$15,0)),MATCH(ROW(orderHistory[customer]),ROW(orderHistory[customer])),""),ROWS($A$15:A21)+$B$3))),IF($D$15="",INDEX(orderHistory[invoice_no],SMALL(IF(ISNUMBER(MATCH(orderHistory[customer],$D$9,0)*MATCH(orderHistory[status],$D$11,0)*MATCH(orderHistory[order_type],$D$13,0)),MATCH(ROW(orderHistory[customer]),ROW(orderHistory[customer])),""),ROWS($A$15:A21)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332</v>
      </c>
      <c r="Q16" s="386">
        <f t="array" ref="Q16">IFERROR(IF($D$9="",IF($D$11="",IF($D$13="",IF($D$15="",INDEX(orderHistory[invoice_date],SMALL(MATCH(ROW(orderHistory[customer]),ROW(orderHistory[customer])),ROWS($A$15:A21)+$B$3)),INDEX(orderHistory[invoice_date],SMALL(IF(ISNUMBER(MATCH(YEAR(orderHistory[invoice_date]),$D$15,0)),MATCH(ROW(orderHistory[customer]),ROW(orderHistory[customer])),""),ROWS($A$15:A21)+$B$3))),IF($D$15="",INDEX(orderHistory[invoice_date],SMALL(IF(ISNUMBER(MATCH(orderHistory[order_type],$D$13,0)),MATCH(ROW(orderHistory[customer]),ROW(orderHistory[customer])),""),ROWS($A$15:A21)+$B$3)),INDEX(orderHistory[invoice_date],SMALL(IF(ISNUMBER(MATCH(orderHistory[order_type],$D$13,0)*MATCH(YEAR(orderHistory[invoice_date]),$D$15,0)),MATCH(ROW(orderHistory[customer]),ROW(orderHistory[customer])),""),ROWS($A$15:A21)+$B$3)))),IF($D$13="",IF($D$15="",INDEX(orderHistory[invoice_date],SMALL(IF(ISNUMBER(MATCH(orderHistory[status],$D$11,0)),MATCH(ROW(orderHistory[customer]),ROW(orderHistory[customer])),""),ROWS($A$15:A21)+$B$3)),INDEX(orderHistory[invoice_date],SMALL(IF(ISNUMBER(MATCH(orderHistory[status],$D$11,0)*MATCH(YEAR(orderHistory[invoice_date]),$D$15,0)),MATCH(ROW(orderHistory[customer]),ROW(orderHistory[customer])),""),ROWS($A$15:A21)+$B$3))),IF($D$15="",INDEX(orderHistory[invoice_date],SMALL(IF(ISNUMBER(MATCH(orderHistory[status],$D$11,0)*MATCH(orderHistory[order_type],$D$13,0)),MATCH(ROW(orderHistory[customer]),ROW(orderHistory[customer])),""),ROWS($A$15:A21)+$B$3)),INDEX(orderHistory[invoice_date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invoice_date],SMALL(IF(ISNUMBER(MATCH(orderHistory[customer],$D$9,0)),MATCH(ROW(orderHistory[customer]),ROW(orderHistory[customer])),""),ROWS($A$15:A21)+$B$3)),INDEX(orderHistory[invoice_date],SMALL(IF(ISNUMBER(MATCH(orderHistory[customer],$D$9,0)*MATCH(YEAR(orderHistory[invoice_date]),$D$15,0)),MATCH(ROW(orderHistory[customer]),ROW(orderHistory[customer])),""),ROWS($A$15:A21)+$B$3))),IF($D$15="",INDEX(orderHistory[invoice_date],SMALL(IF(ISNUMBER(MATCH(orderHistory[customer],$D$9,0)*MATCH(orderHistory[order_type],$D$13,0)),MATCH(ROW(orderHistory[customer]),ROW(orderHistory[customer])),""),ROWS($A$15:A21)+$B$3)),INDEX(orderHistory[invoice_date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invoice_date],SMALL(IF(ISNUMBER(MATCH(orderHistory[customer],$D$9,0)*MATCH(orderHistory[status],$D$11,0)),MATCH(ROW(orderHistory[customer]),ROW(orderHistory[customer])),""),ROWS($A$15:A21)+$B$3)),INDEX(orderHistory[invoice_date],SMALL(IF(ISNUMBER(MATCH(orderHistory[customer],$D$9,0)*MATCH(orderHistory[status],$D$11,0)*MATCH(YEAR(orderHistory[invoice_date]),$D$15,0)),MATCH(ROW(orderHistory[customer]),ROW(orderHistory[customer])),""),ROWS($A$15:A21)+$B$3))),IF($D$15="",INDEX(orderHistory[invoice_date],SMALL(IF(ISNUMBER(MATCH(orderHistory[customer],$D$9,0)*MATCH(orderHistory[status],$D$11,0)*MATCH(orderHistory[order_type],$D$13,0)),MATCH(ROW(orderHistory[customer]),ROW(orderHistory[customer])),""),ROWS($A$15:A21)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45552</v>
      </c>
      <c r="R16" s="387">
        <f t="array" ref="R16">IFERROR(IF($D$9="",IF($D$11="",IF($D$13="",IF($D$15="",INDEX(orderHistory[inv_amount],SMALL(MATCH(ROW(orderHistory[customer]),ROW(orderHistory[customer])),ROWS($A$15:A21)+$B$3)),INDEX(orderHistory[inv_amount],SMALL(IF(ISNUMBER(MATCH(YEAR(orderHistory[invoice_date]),$D$15,0)),MATCH(ROW(orderHistory[customer]),ROW(orderHistory[customer])),""),ROWS($A$15:A21)+$B$3))),IF($D$15="",INDEX(orderHistory[inv_amount],SMALL(IF(ISNUMBER(MATCH(orderHistory[order_type],$D$13,0)),MATCH(ROW(orderHistory[customer]),ROW(orderHistory[customer])),""),ROWS($A$15:A21)+$B$3)),INDEX(orderHistory[inv_amount],SMALL(IF(ISNUMBER(MATCH(orderHistory[order_type],$D$13,0)*MATCH(YEAR(orderHistory[invoice_date]),$D$15,0)),MATCH(ROW(orderHistory[customer]),ROW(orderHistory[customer])),""),ROWS($A$15:A21)+$B$3)))),IF($D$13="",IF($D$15="",INDEX(orderHistory[inv_amount],SMALL(IF(ISNUMBER(MATCH(orderHistory[status],$D$11,0)),MATCH(ROW(orderHistory[customer]),ROW(orderHistory[customer])),""),ROWS($A$15:A21)+$B$3)),INDEX(orderHistory[inv_amount],SMALL(IF(ISNUMBER(MATCH(orderHistory[status],$D$11,0)*MATCH(YEAR(orderHistory[invoice_date]),$D$15,0)),MATCH(ROW(orderHistory[customer]),ROW(orderHistory[customer])),""),ROWS($A$15:A21)+$B$3))),IF($D$15="",INDEX(orderHistory[inv_amount],SMALL(IF(ISNUMBER(MATCH(orderHistory[status],$D$11,0)*MATCH(orderHistory[order_type],$D$13,0)),MATCH(ROW(orderHistory[customer]),ROW(orderHistory[customer])),""),ROWS($A$15:A21)+$B$3)),INDEX(orderHistory[inv_amount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inv_amount],SMALL(IF(ISNUMBER(MATCH(orderHistory[customer],$D$9,0)),MATCH(ROW(orderHistory[customer]),ROW(orderHistory[customer])),""),ROWS($A$15:A21)+$B$3)),INDEX(orderHistory[inv_amount],SMALL(IF(ISNUMBER(MATCH(orderHistory[customer],$D$9,0)*MATCH(YEAR(orderHistory[invoice_date]),$D$15,0)),MATCH(ROW(orderHistory[customer]),ROW(orderHistory[customer])),""),ROWS($A$15:A21)+$B$3))),IF($D$15="",INDEX(orderHistory[inv_amount],SMALL(IF(ISNUMBER(MATCH(orderHistory[customer],$D$9,0)*MATCH(orderHistory[order_type],$D$13,0)),MATCH(ROW(orderHistory[customer]),ROW(orderHistory[customer])),""),ROWS($A$15:A21)+$B$3)),INDEX(orderHistory[inv_amount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inv_amount],SMALL(IF(ISNUMBER(MATCH(orderHistory[customer],$D$9,0)*MATCH(orderHistory[status],$D$11,0)),MATCH(ROW(orderHistory[customer]),ROW(orderHistory[customer])),""),ROWS($A$15:A21)+$B$3)),INDEX(orderHistory[inv_amount],SMALL(IF(ISNUMBER(MATCH(orderHistory[customer],$D$9,0)*MATCH(orderHistory[status],$D$11,0)*MATCH(YEAR(orderHistory[inv_amount]),$D$15,0)),MATCH(ROW(orderHistory[customer]),ROW(orderHistory[customer])),""),ROWS($A$15:A21)+$B$3))),IF($D$15="",INDEX(orderHistory[inv_amount],SMALL(IF(ISNUMBER(MATCH(orderHistory[customer],$D$9,0)*MATCH(orderHistory[status],$D$11,0)*MATCH(orderHistory[order_type],$D$13,0)),MATCH(ROW(orderHistory[customer]),ROW(orderHistory[customer])),""),ROWS($A$15:A21)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15380.33934823593</v>
      </c>
      <c r="S16" s="465" t="str">
        <f t="array" ref="S16">IFERROR(IF($D$9="",IF($D$11="",IF($D$13="",IF($D$15="",INDEX(orderHistory[lock_goods],SMALL(MATCH(ROW(orderHistory[customer]),ROW(orderHistory[customer])),ROWS($A$15:A21)+$B$3)),INDEX(orderHistory[lock_goods],SMALL(IF(ISNUMBER(MATCH(YEAR(orderHistory[invoice_date]),$D$15,0)),MATCH(ROW(orderHistory[customer]),ROW(orderHistory[customer])),""),ROWS($A$15:A21)+$B$3))),IF($D$15="",INDEX(orderHistory[lock_goods],SMALL(IF(ISNUMBER(MATCH(orderHistory[order_type],$D$13,0)),MATCH(ROW(orderHistory[customer]),ROW(orderHistory[customer])),""),ROWS($A$15:A21)+$B$3)),INDEX(orderHistory[lock_goods],SMALL(IF(ISNUMBER(MATCH(orderHistory[order_type],$D$13,0)*MATCH(YEAR(orderHistory[invoice_date]),$D$15,0)),MATCH(ROW(orderHistory[customer]),ROW(orderHistory[customer])),""),ROWS($A$15:A21)+$B$3)))),IF($D$13="",IF($D$15="",INDEX(orderHistory[lock_goods],SMALL(IF(ISNUMBER(MATCH(orderHistory[status],$D$11,0)),MATCH(ROW(orderHistory[customer]),ROW(orderHistory[customer])),""),ROWS($A$15:A21)+$B$3)),INDEX(orderHistory[lock_goods],SMALL(IF(ISNUMBER(MATCH(orderHistory[status],$D$11,0)*MATCH(YEAR(orderHistory[invoice_date]),$D$15,0)),MATCH(ROW(orderHistory[customer]),ROW(orderHistory[customer])),""),ROWS($A$15:A21)+$B$3))),IF($D$15="",INDEX(orderHistory[lock_goods],SMALL(IF(ISNUMBER(MATCH(orderHistory[status],$D$11,0)*MATCH(orderHistory[order_type],$D$13,0)),MATCH(ROW(orderHistory[customer]),ROW(orderHistory[customer])),""),ROWS($A$15:A21)+$B$3)),INDEX(orderHistory[lock_goods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lock_goods],SMALL(IF(ISNUMBER(MATCH(orderHistory[customer],$D$9,0)),MATCH(ROW(orderHistory[customer]),ROW(orderHistory[customer])),""),ROWS($A$15:A21)+$B$3)),INDEX(orderHistory[lock_goods],SMALL(IF(ISNUMBER(MATCH(orderHistory[customer],$D$9,0)*MATCH(YEAR(orderHistory[invoice_date]),$D$15,0)),MATCH(ROW(orderHistory[customer]),ROW(orderHistory[customer])),""),ROWS($A$15:A21)+$B$3))),IF($D$15="",INDEX(orderHistory[lock_goods],SMALL(IF(ISNUMBER(MATCH(orderHistory[customer],$D$9,0)*MATCH(orderHistory[order_type],$D$13,0)),MATCH(ROW(orderHistory[customer]),ROW(orderHistory[customer])),""),ROWS($A$15:A21)+$B$3)),INDEX(orderHistory[lock_goods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lock_goods],SMALL(IF(ISNUMBER(MATCH(orderHistory[customer],$D$9,0)*MATCH(orderHistory[status],$D$11,0)),MATCH(ROW(orderHistory[customer]),ROW(orderHistory[customer])),""),ROWS($A$15:A21)+$B$3)),INDEX(orderHistory[lock_goods],SMALL(IF(ISNUMBER(MATCH(orderHistory[customer],$D$9,0)*MATCH(orderHistory[status],$D$11,0)*MATCH(YEAR(orderHistory[payed]),$D$15,0)),MATCH(ROW(orderHistory[customer]),ROW(orderHistory[customer])),""),ROWS($A$15:A21)+$B$3))),IF($D$15="",INDEX(orderHistory[lock_goods],SMALL(IF(ISNUMBER(MATCH(orderHistory[customer],$D$9,0)*MATCH(orderHistory[status],$D$11,0)*MATCH(orderHistory[order_type],$D$13,0)),MATCH(ROW(orderHistory[customer]),ROW(orderHistory[customer])),""),ROWS($A$15:A21)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GOODS SENT</v>
      </c>
      <c r="T16" s="388" t="b">
        <f t="array" ref="T16">IFERROR(IF($D$9="",IF($D$11="",IF($D$13="",IF($D$15="",INDEX(orderHistory[payed],SMALL(MATCH(ROW(orderHistory[customer]),ROW(orderHistory[customer])),ROWS($A$15:A21)+$B$3)),INDEX(orderHistory[payed],SMALL(IF(ISNUMBER(MATCH(YEAR(orderHistory[invoice_date]),$D$15,0)),MATCH(ROW(orderHistory[customer]),ROW(orderHistory[customer])),""),ROWS($A$15:A21)+$B$3))),IF($D$15="",INDEX(orderHistory[payed],SMALL(IF(ISNUMBER(MATCH(orderHistory[order_type],$D$13,0)),MATCH(ROW(orderHistory[customer]),ROW(orderHistory[customer])),""),ROWS($A$15:A21)+$B$3)),INDEX(orderHistory[payed],SMALL(IF(ISNUMBER(MATCH(orderHistory[order_type],$D$13,0)*MATCH(YEAR(orderHistory[invoice_date]),$D$15,0)),MATCH(ROW(orderHistory[customer]),ROW(orderHistory[customer])),""),ROWS($A$15:A21)+$B$3)))),IF($D$13="",IF($D$15="",INDEX(orderHistory[payed],SMALL(IF(ISNUMBER(MATCH(orderHistory[status],$D$11,0)),MATCH(ROW(orderHistory[customer]),ROW(orderHistory[customer])),""),ROWS($A$15:A21)+$B$3)),INDEX(orderHistory[payed],SMALL(IF(ISNUMBER(MATCH(orderHistory[status],$D$11,0)*MATCH(YEAR(orderHistory[invoice_date]),$D$15,0)),MATCH(ROW(orderHistory[customer]),ROW(orderHistory[customer])),""),ROWS($A$15:A21)+$B$3))),IF($D$15="",INDEX(orderHistory[payed],SMALL(IF(ISNUMBER(MATCH(orderHistory[status],$D$11,0)*MATCH(orderHistory[order_type],$D$13,0)),MATCH(ROW(orderHistory[customer]),ROW(orderHistory[customer])),""),ROWS($A$15:A21)+$B$3)),INDEX(orderHistory[payed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payed],SMALL(IF(ISNUMBER(MATCH(orderHistory[customer],$D$9,0)),MATCH(ROW(orderHistory[customer]),ROW(orderHistory[customer])),""),ROWS($A$15:A21)+$B$3)),INDEX(orderHistory[payed],SMALL(IF(ISNUMBER(MATCH(orderHistory[customer],$D$9,0)*MATCH(YEAR(orderHistory[invoice_date]),$D$15,0)),MATCH(ROW(orderHistory[customer]),ROW(orderHistory[customer])),""),ROWS($A$15:A21)+$B$3))),IF($D$15="",INDEX(orderHistory[payed],SMALL(IF(ISNUMBER(MATCH(orderHistory[customer],$D$9,0)*MATCH(orderHistory[order_type],$D$13,0)),MATCH(ROW(orderHistory[customer]),ROW(orderHistory[customer])),""),ROWS($A$15:A21)+$B$3)),INDEX(orderHistory[payed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payed],SMALL(IF(ISNUMBER(MATCH(orderHistory[customer],$D$9,0)*MATCH(orderHistory[status],$D$11,0)),MATCH(ROW(orderHistory[customer]),ROW(orderHistory[customer])),""),ROWS($A$15:A21)+$B$3)),INDEX(orderHistory[payed],SMALL(IF(ISNUMBER(MATCH(orderHistory[customer],$D$9,0)*MATCH(orderHistory[status],$D$11,0)*MATCH(YEAR(orderHistory[payed]),$D$15,0)),MATCH(ROW(orderHistory[customer]),ROW(orderHistory[customer])),""),ROWS($A$15:A21)+$B$3))),IF($D$15="",INDEX(orderHistory[payed],SMALL(IF(ISNUMBER(MATCH(orderHistory[customer],$D$9,0)*MATCH(orderHistory[status],$D$11,0)*MATCH(orderHistory[order_type],$D$13,0)),MATCH(ROW(orderHistory[customer]),ROW(orderHistory[customer])),""),ROWS($A$15:A21)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0</v>
      </c>
      <c r="U16" s="383" t="str">
        <f t="array" ref="U16">IFERROR(IF($D$9="",IF($D$11="",IF($D$13="",IF($D$15="",INDEX(orderHistory[shipping_method],SMALL(MATCH(ROW(orderHistory[customer]),ROW(orderHistory[customer])),ROWS($A$15:A21)+$B$3)),INDEX(orderHistory[shipping_method],SMALL(IF(ISNUMBER(MATCH(YEAR(orderHistory[invoice_date]),$D$15,0)),MATCH(ROW(orderHistory[customer]),ROW(orderHistory[customer])),""),ROWS($A$15:A21)+$B$3))),IF($D$15="",INDEX(orderHistory[shipping_method],SMALL(IF(ISNUMBER(MATCH(orderHistory[order_type],$D$13,0)),MATCH(ROW(orderHistory[customer]),ROW(orderHistory[customer])),""),ROWS($A$15:A21)+$B$3)),INDEX(orderHistory[shipping_method],SMALL(IF(ISNUMBER(MATCH(orderHistory[order_type],$D$13,0)*MATCH(YEAR(orderHistory[invoice_date]),$D$15,0)),MATCH(ROW(orderHistory[customer]),ROW(orderHistory[customer])),""),ROWS($A$15:A21)+$B$3)))),IF($D$13="",IF($D$15="",INDEX(orderHistory[shipping_method],SMALL(IF(ISNUMBER(MATCH(orderHistory[status],$D$11,0)),MATCH(ROW(orderHistory[customer]),ROW(orderHistory[customer])),""),ROWS($A$15:A21)+$B$3)),INDEX(orderHistory[shipping_method],SMALL(IF(ISNUMBER(MATCH(orderHistory[status],$D$11,0)*MATCH(YEAR(orderHistory[invoice_date]),$D$15,0)),MATCH(ROW(orderHistory[customer]),ROW(orderHistory[customer])),""),ROWS($A$15:A21)+$B$3))),IF($D$15="",INDEX(orderHistory[shipping_method],SMALL(IF(ISNUMBER(MATCH(orderHistory[status],$D$11,0)*MATCH(orderHistory[order_type],$D$13,0)),MATCH(ROW(orderHistory[customer]),ROW(orderHistory[customer])),""),ROWS($A$15:A21)+$B$3)),INDEX(orderHistory[shipping_method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shipping_method],SMALL(IF(ISNUMBER(MATCH(orderHistory[customer],$D$9,0)),MATCH(ROW(orderHistory[customer]),ROW(orderHistory[customer])),""),ROWS($A$15:A21)+$B$3)),INDEX(orderHistory[shipping_method],SMALL(IF(ISNUMBER(MATCH(orderHistory[customer],$D$9,0)*MATCH(YEAR(orderHistory[invoice_date]),$D$15,0)),MATCH(ROW(orderHistory[customer]),ROW(orderHistory[customer])),""),ROWS($A$15:A21)+$B$3))),IF($D$15="",INDEX(orderHistory[shipping_method],SMALL(IF(ISNUMBER(MATCH(orderHistory[customer],$D$9,0)*MATCH(orderHistory[order_type],$D$13,0)),MATCH(ROW(orderHistory[customer]),ROW(orderHistory[customer])),""),ROWS($A$15:A21)+$B$3)),INDEX(orderHistory[shipping_method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shipping_method],SMALL(IF(ISNUMBER(MATCH(orderHistory[customer],$D$9,0)*MATCH(orderHistory[status],$D$11,0)),MATCH(ROW(orderHistory[customer]),ROW(orderHistory[customer])),""),ROWS($A$15:A21)+$B$3)),INDEX(orderHistory[shipping_method],SMALL(IF(ISNUMBER(MATCH(orderHistory[customer],$D$9,0)*MATCH(orderHistory[status],$D$11,0)*MATCH(YEAR(orderHistory[shipping_method]),$D$15,0)),MATCH(ROW(orderHistory[customer]),ROW(orderHistory[customer])),""),ROWS($A$15:A21)+$B$3))),IF($D$15="",INDEX(orderHistory[shipping_method],SMALL(IF(ISNUMBER(MATCH(orderHistory[customer],$D$9,0)*MATCH(orderHistory[status],$D$11,0)*MATCH(orderHistory[order_type],$D$13,0)),MATCH(ROW(orderHistory[customer]),ROW(orderHistory[customer])),""),ROWS($A$15:A21)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BY ROAD</v>
      </c>
      <c r="V16" s="388" t="str">
        <f t="array" ref="V16">IFERROR(IF($D$9="",IF($D$11="",IF($D$13="",IF($D$15="",INDEX(orderHistory[status],SMALL(MATCH(ROW(orderHistory[customer]),ROW(orderHistory[customer])),ROWS($A$15:A21)+$B$3)),INDEX(orderHistory[status],SMALL(IF(ISNUMBER(MATCH(YEAR(orderHistory[invoice_date]),$D$15,0)),MATCH(ROW(orderHistory[customer]),ROW(orderHistory[customer])),""),ROWS($A$15:A21)+$B$3))),IF($D$15="",INDEX(orderHistory[status],SMALL(IF(ISNUMBER(MATCH(orderHistory[order_type],$D$13,0)),MATCH(ROW(orderHistory[customer]),ROW(orderHistory[customer])),""),ROWS($A$15:A21)+$B$3)),INDEX(orderHistory[status],SMALL(IF(ISNUMBER(MATCH(orderHistory[order_type],$D$13,0)*MATCH(YEAR(orderHistory[invoice_date]),$D$15,0)),MATCH(ROW(orderHistory[customer]),ROW(orderHistory[customer])),""),ROWS($A$15:A21)+$B$3)))),IF($D$13="",IF($D$15="",INDEX(orderHistory[status],SMALL(IF(ISNUMBER(MATCH(orderHistory[status],$D$11,0)),MATCH(ROW(orderHistory[customer]),ROW(orderHistory[customer])),""),ROWS($A$15:A21)+$B$3)),INDEX(orderHistory[status],SMALL(IF(ISNUMBER(MATCH(orderHistory[status],$D$11,0)*MATCH(YEAR(orderHistory[invoice_date]),$D$15,0)),MATCH(ROW(orderHistory[customer]),ROW(orderHistory[customer])),""),ROWS($A$15:A21)+$B$3))),IF($D$15="",INDEX(orderHistory[status],SMALL(IF(ISNUMBER(MATCH(orderHistory[status],$D$11,0)*MATCH(orderHistory[order_type],$D$13,0)),MATCH(ROW(orderHistory[customer]),ROW(orderHistory[customer])),""),ROWS($A$15:A21)+$B$3)),INDEX(orderHistory[status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status],SMALL(IF(ISNUMBER(MATCH(orderHistory[customer],$D$9,0)),MATCH(ROW(orderHistory[customer]),ROW(orderHistory[customer])),""),ROWS($A$15:A21)+$B$3)),INDEX(orderHistory[status],SMALL(IF(ISNUMBER(MATCH(orderHistory[customer],$D$9,0)*MATCH(YEAR(orderHistory[invoice_date]),$D$15,0)),MATCH(ROW(orderHistory[customer]),ROW(orderHistory[customer])),""),ROWS($A$15:A21)+$B$3))),IF($D$15="",INDEX(orderHistory[status],SMALL(IF(ISNUMBER(MATCH(orderHistory[customer],$D$9,0)*MATCH(orderHistory[order_type],$D$13,0)),MATCH(ROW(orderHistory[customer]),ROW(orderHistory[customer])),""),ROWS($A$15:A21)+$B$3)),INDEX(orderHistory[status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status],SMALL(IF(ISNUMBER(MATCH(orderHistory[customer],$D$9,0)*MATCH(orderHistory[status],$D$11,0)),MATCH(ROW(orderHistory[customer]),ROW(orderHistory[customer])),""),ROWS($A$15:A21)+$B$3)),INDEX(orderHistory[status],SMALL(IF(ISNUMBER(MATCH(orderHistory[customer],$D$9,0)*MATCH(orderHistory[status],$D$11,0)*MATCH(YEAR(orderHistory[status]),$D$15,0)),MATCH(ROW(orderHistory[customer]),ROW(orderHistory[customer])),""),ROWS($A$15:A21)+$B$3))),IF($D$15="",INDEX(orderHistory[status],SMALL(IF(ISNUMBER(MATCH(orderHistory[customer],$D$9,0)*MATCH(orderHistory[status],$D$11,0)*MATCH(orderHistory[order_type],$D$13,0)),MATCH(ROW(orderHistory[customer]),ROW(orderHistory[customer])),""),ROWS($A$15:A21)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SHIPPED</v>
      </c>
      <c r="W16" s="547" t="str">
        <f t="array" ref="W16">IFERROR(IF($D$9="",IF($D$11="",IF($D$13="",IF($D$15="",INDEX(orderHistory[custom_docs],SMALL(MATCH(ROW(orderHistory[customer]),ROW(orderHistory[customer])),ROWS($A$15:A21)+$B$3)),INDEX(orderHistory[custom_docs],SMALL(IF(ISNUMBER(MATCH(YEAR(orderHistory[invoice_date]),$D$15,0)),MATCH(ROW(orderHistory[customer]),ROW(orderHistory[customer])),""),ROWS($A$15:A21)+$B$3))),IF($D$15="",INDEX(orderHistory[custom_docs],SMALL(IF(ISNUMBER(MATCH(orderHistory[order_type],$D$13,0)),MATCH(ROW(orderHistory[customer]),ROW(orderHistory[customer])),""),ROWS($A$15:A21)+$B$3)),INDEX(orderHistory[custom_docs],SMALL(IF(ISNUMBER(MATCH(orderHistory[order_type],$D$13,0)*MATCH(YEAR(orderHistory[invoice_date]),$D$15,0)),MATCH(ROW(orderHistory[customer]),ROW(orderHistory[customer])),""),ROWS($A$15:A21)+$B$3)))),IF($D$13="",IF($D$15="",INDEX(orderHistory[custom_docs],SMALL(IF(ISNUMBER(MATCH(orderHistory[status],$D$11,0)),MATCH(ROW(orderHistory[customer]),ROW(orderHistory[customer])),""),ROWS($A$15:A21)+$B$3)),INDEX(orderHistory[custom_docs],SMALL(IF(ISNUMBER(MATCH(orderHistory[status],$D$11,0)*MATCH(YEAR(orderHistory[invoice_date]),$D$15,0)),MATCH(ROW(orderHistory[customer]),ROW(orderHistory[customer])),""),ROWS($A$15:A21)+$B$3))),IF($D$15="",INDEX(orderHistory[custom_docs],SMALL(IF(ISNUMBER(MATCH(orderHistory[status],$D$11,0)*MATCH(orderHistory[order_type],$D$13,0)),MATCH(ROW(orderHistory[customer]),ROW(orderHistory[customer])),""),ROWS($A$15:A21)+$B$3)),INDEX(orderHistory[custom_docs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custom_docs],SMALL(IF(ISNUMBER(MATCH(orderHistory[customer],$D$9,0)),MATCH(ROW(orderHistory[customer]),ROW(orderHistory[customer])),""),ROWS($A$15:A21)+$B$3)),INDEX(orderHistory[custom_docs],SMALL(IF(ISNUMBER(MATCH(orderHistory[customer],$D$9,0)*MATCH(YEAR(orderHistory[invoice_date]),$D$15,0)),MATCH(ROW(orderHistory[customer]),ROW(orderHistory[customer])),""),ROWS($A$15:A21)+$B$3))),IF($D$15="",INDEX(orderHistory[custom_docs],SMALL(IF(ISNUMBER(MATCH(orderHistory[customer],$D$9,0)*MATCH(orderHistory[order_type],$D$13,0)),MATCH(ROW(orderHistory[customer]),ROW(orderHistory[customer])),""),ROWS($A$15:A21)+$B$3)),INDEX(orderHistory[custom_docs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custom_docs],SMALL(IF(ISNUMBER(MATCH(orderHistory[customer],$D$9,0)*MATCH(orderHistory[status],$D$11,0)),MATCH(ROW(orderHistory[customer]),ROW(orderHistory[customer])),""),ROWS($A$15:A21)+$B$3)),INDEX(orderHistory[custom_docs],SMALL(IF(ISNUMBER(MATCH(orderHistory[customer],$D$9,0)*MATCH(orderHistory[status],$D$11,0)*MATCH(YEAR(orderHistory[status]),$D$15,0)),MATCH(ROW(orderHistory[customer]),ROW(orderHistory[customer])),""),ROWS($A$15:A21)+$B$3))),IF($D$15="",INDEX(orderHistory[custom_docs],SMALL(IF(ISNUMBER(MATCH(orderHistory[customer],$D$9,0)*MATCH(orderHistory[status],$D$11,0)*MATCH(orderHistory[order_type],$D$13,0)),MATCH(ROW(orderHistory[customer]),ROW(orderHistory[customer])),""),ROWS($A$15:A21)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WAITING</v>
      </c>
      <c r="AO16" s="273"/>
      <c r="AQ16" s="266"/>
      <c r="AR16" s="291"/>
      <c r="AS16" s="291"/>
      <c r="AT16" s="291"/>
      <c r="AW16" s="308"/>
      <c r="AX16" s="273"/>
      <c r="AZ16" s="278"/>
      <c r="BD16" s="306"/>
      <c r="BE16" s="328"/>
      <c r="BF16" s="276"/>
      <c r="BG16" s="329"/>
      <c r="BH16" s="276"/>
      <c r="BI16" s="276"/>
      <c r="BJ16" s="277"/>
      <c r="BK16" s="321"/>
      <c r="BL16" s="297"/>
      <c r="BM16" s="298"/>
      <c r="BN16" s="297"/>
      <c r="BO16" s="298"/>
      <c r="BZ16" s="412" t="s">
        <v>120</v>
      </c>
      <c r="CA16" s="401" t="str">
        <f>IFERROR(IF(BZ16="","",INDEX(bhpc_data[description],MATCH(BZ16,bhpc_data[sku],0))),"")</f>
        <v>BHPC PRESTIGE MYSTIQUE 100ML EDP WOMEN</v>
      </c>
      <c r="CB16" s="403">
        <v>48</v>
      </c>
      <c r="CC16" s="886">
        <v>15.849721162312886</v>
      </c>
      <c r="CD16" s="411"/>
      <c r="CE16" s="890"/>
      <c r="CF16" s="404"/>
      <c r="CG16" s="405">
        <f>IFERROR(ROUNDUP(CB16/INDEX(bhpc_data[units_per_carton],MATCH(BZ16,bhpc_data[sku],0)),0),"")</f>
        <v>2</v>
      </c>
      <c r="CH16" s="406">
        <f>IFERROR(ROUNDUP(CD16/INDEX(bhpc_data[units_per_carton],MATCH(BZ16,bhpc_data[sku],0)),0),"")</f>
        <v>0</v>
      </c>
      <c r="CI16" s="406" t="str">
        <f>IFERROR(ROUNDUP(CF16/INDEX(bhpc_data[units_per_carton],MATCH(BZ16,bhpc_data[sku])),0),"")</f>
        <v/>
      </c>
      <c r="CJ16" s="406">
        <f>IFERROR(((CB16+CD16+CF16)/INDEX(bhpc_data[units_per_carton],MATCH(BZ16,bhpc_data[sku],0)))*INDEX(bhpc_data[net_weight],MATCH(BZ16,bhpc_data[sku],0)),"")</f>
        <v>18.239999999999998</v>
      </c>
      <c r="CK16" s="406">
        <f>IFERROR(((CB16+CD16+CF16)/INDEX(bhpc_data[units_per_carton],MATCH(BZ16,bhpc_data[sku],0)))*INDEX(bhpc_data[gross_weight],MATCH(BZ16,bhpc_data[sku],0)),"")</f>
        <v>19</v>
      </c>
      <c r="CL16" s="602">
        <f>IFERROR((CB16+CD16+CF16)/INDEX(bhpc_data[units_per_carton],MATCH(BZ16,bhpc_data[sku],0))*INDEX(bhpc_data[length],MATCH(BZ16,bhpc_data[sku],0))*INDEX(bhpc_data[width],MATCH(BZ16,bhpc_data[sku],0))*INDEX(bhpc_data[height],MATCH(BZ16,bhpc_data[sku],0))/1000000000,"")</f>
        <v>3.5062500000000003E-2</v>
      </c>
      <c r="CM16" s="407" t="str">
        <f>IFERROR(INDEX(bhpc_data[category],MATCH(BZ16,bhpc_data[sku],0)),"")</f>
        <v>PRESTIGE</v>
      </c>
      <c r="CN16" s="407">
        <f>IFERROR(INDEX(bhpc_data[size],MATCH(BZ16,bhpc_data[sku],0)),"")</f>
        <v>100</v>
      </c>
      <c r="CO16" s="408" t="str">
        <f>IFERROR(INDEX(bhpc_data[hs_code],MATCH(BZ16,bhpc_data[sku],0)),"")</f>
        <v>33030010</v>
      </c>
      <c r="CP16" s="489" t="str">
        <f>IFERROR(INDEX(bhpc_data[sku_geko],MATCH(BZ16,bhpc_data[sku],0)),"")</f>
        <v>P06006</v>
      </c>
      <c r="CQ16" s="404"/>
      <c r="CR16" s="517">
        <f>IFERROR(IF(BZ16="","",IF($BX$15="SALE",INDEX(inventory[COSTO UNITARIO],MATCH(BZ16,inventory[SKU],0)),IF($BX$15="SAMPLING",INDEX(inventory[COSTO UNITARIO],MATCH(BZ16,inventory[SKU],0)),""))),"")</f>
        <v>11.68</v>
      </c>
      <c r="CS16" s="517">
        <f t="shared" si="3"/>
        <v>560.64</v>
      </c>
      <c r="CT16" s="896">
        <f t="shared" si="4"/>
        <v>760.78661579101845</v>
      </c>
      <c r="CU16" s="469" t="str">
        <f t="shared" si="0"/>
        <v>OK</v>
      </c>
      <c r="CW16" s="80"/>
      <c r="CX16" s="84" t="s">
        <v>564</v>
      </c>
      <c r="CY16" s="210">
        <f>SUM(CF10:CF110)</f>
        <v>0</v>
      </c>
      <c r="CZ16" s="84"/>
      <c r="DA16" s="76"/>
      <c r="DB16" s="77"/>
      <c r="DH16" s="215"/>
      <c r="EE16" s="445" t="str" cm="1">
        <f t="array" ref="EE16">IFERROR(IF($EC$9="",IF($EC$11="",IF($EC$13="",INDEX(bhpc_data[sku],SMALL(MATCH(ROW(bhpc_data[sku]),ROW(bhpc_data[sku])),ROWS($A$15:A21)+$B$3)),INDEX(bhpc_data[sku],SMALL(IF(ISNUMBER(MATCH(bhpc_data[size],$EC$13,0)),MATCH(ROW(bhpc_data[sku]),ROW(bhpc_data[sku])),""),ROWS($A$15:A21)+$B$3))),IF($EC$13="",INDEX(bhpc_data[sku],SMALL(IF(ISNUMBER(MATCH(bhpc_data[sex],$EC$11,0)),MATCH(ROW(bhpc_data[sku]),ROW(bhpc_data[sku])),""),ROWS($A$15:A21)+$B$3)),INDEX(bhpc_data[sku],SMALL(IF(ISNUMBER(MATCH(bhpc_data[sex],$EC$11,0)*MATCH(bhpc_data[size],$EC$13,0)),MATCH(ROW(bhpc_data[sku]),ROW(bhpc_data[sku])),""),ROWS($A$15:A21)+$B$3)))),IF($EC$11="",IF($EC$13="",INDEX(bhpc_data[sku],SMALL(IF(ISNUMBER(MATCH(bhpc_data[category],$EC$9,0)),MATCH(ROW(bhpc_data[sku]),ROW(bhpc_data[sku])),""),ROWS($A$15:A21)+$B$3)),INDEX(bhpc_data[sku],SMALL(IF(ISNUMBER(MATCH(bhpc_data[category],$EC$9,0)*MATCH(bhpc_data[size],$EC$13,0)),MATCH(ROW(bhpc_data[sku]),ROW(bhpc_data[sku])),""),ROWS($A$15:A21)+$B$3))),IF($EC$13="",INDEX(bhpc_data[sku],SMALL(IF(ISNUMBER(MATCH(bhpc_data[category],$EC$9,0)*MATCH(bhpc_data[sex],$EC$11,0)),MATCH(ROW(bhpc_data[sku]),ROW(bhpc_data[sku])),""),ROWS($A$15:A21)+$B$3)),INDEX(bhpc_data[sku],SMALL(IF(ISNUMBER(MATCH(bhpc_data[category],$EC$9,0)*MATCH(bhpc_data[sex],$EC$11,0)*MATCH(bhpc_data[size],$EC$13,0)),MATCH(ROW(bhpc_data[sku]),ROW(bhpc_data[sku])),""),ROWS($A$15:A21)+$B$3))))),"")</f>
        <v>P05010L</v>
      </c>
      <c r="EF16" s="446" t="str" cm="1">
        <f t="array" ref="EF16">IFERROR(IF($EC$9="",IF($EC$11="",IF($EC$13="",INDEX(bhpc_data[description],SMALL(MATCH(ROW(bhpc_data[sku]),ROW(bhpc_data[sku])),ROWS($A$15:A21)+$B$3)),INDEX(bhpc_data[description],SMALL(IF(ISNUMBER(MATCH(bhpc_data[size],$EC$13,0)),MATCH(ROW(bhpc_data[sku]),ROW(bhpc_data[sku])),""),ROWS($A$15:A21)+$B$3))),IF($EC$13="",INDEX(bhpc_data[description],SMALL(IF(ISNUMBER(MATCH(bhpc_data[sex],$EC$11,0)),MATCH(ROW(bhpc_data[sku]),ROW(bhpc_data[sku])),""),ROWS($A$15:A21)+$B$3)),INDEX(bhpc_data[description],SMALL(IF(ISNUMBER(MATCH(bhpc_data[sex],$EC$11,0)*MATCH(bhpc_data[size],$EC$13,0)),MATCH(ROW(bhpc_data[sku]),ROW(bhpc_data[sku])),""),ROWS($A$15:A21)+$B$3)))),IF($EC$11="",IF($EC$13="",INDEX(bhpc_data[description],SMALL(IF(ISNUMBER(MATCH(bhpc_data[category],$EC$9,0)),MATCH(ROW(bhpc_data[sku]),ROW(bhpc_data[sku])),""),ROWS($A$15:A21)+$B$3)),INDEX(bhpc_data[description],SMALL(IF(ISNUMBER(MATCH(bhpc_data[category],$EC$9,0)*MATCH(bhpc_data[size],$EC$13,0)),MATCH(ROW(bhpc_data[sku]),ROW(bhpc_data[sku])),""),ROWS($A$15:A21)+$B$3))),IF($EC$13="",INDEX(bhpc_data[description],SMALL(IF(ISNUMBER(MATCH(bhpc_data[category],$EC$9,0)*MATCH(bhpc_data[sex],$EC$11,0)),MATCH(ROW(bhpc_data[sku]),ROW(bhpc_data[sku])),""),ROWS($A$15:A21)+$B$3)),INDEX(bhpc_data[description],SMALL(IF(ISNUMBER(MATCH(bhpc_data[category],$EC$9,0)*MATCH(bhpc_data[sex],$EC$11,0)*MATCH(bhpc_data[size],$EC$13,0)),MATCH(ROW(bhpc_data[sku]),ROW(bhpc_data[sku])),""),ROWS($A$15:A21)+$B$3))))),"")</f>
        <v>BHPC SPORT MEN 8 EDT 50ML (UNBOXED)</v>
      </c>
      <c r="EG16" s="447">
        <f>IFERROR(IF('BHPC MANAGER'!$EE16="","",INDEX(inventory[ESISTENZA],MATCH('BHPC MANAGER'!$EE16,inventory[SKU],0))),0)</f>
        <v>276</v>
      </c>
      <c r="EH16" s="448">
        <v>-110</v>
      </c>
      <c r="EI16" s="448">
        <f t="shared" si="1"/>
        <v>166</v>
      </c>
      <c r="EJ16" s="449">
        <v>0</v>
      </c>
      <c r="EK16" s="450">
        <f t="shared" si="2"/>
        <v>166</v>
      </c>
      <c r="FD16" s="496"/>
      <c r="FE16" s="215" t="s">
        <v>1070</v>
      </c>
      <c r="FF16" s="502">
        <v>45292</v>
      </c>
      <c r="FG16" s="263"/>
      <c r="FH16" s="497"/>
      <c r="FI16" s="263"/>
      <c r="FJ16" s="496"/>
      <c r="FK16" s="215" t="s">
        <v>1419</v>
      </c>
      <c r="FL16" s="502"/>
      <c r="FM16" s="263"/>
      <c r="FN16" s="497"/>
      <c r="FO16" s="263"/>
      <c r="FP16" s="263"/>
      <c r="FQ16" s="263"/>
      <c r="FR16" s="263"/>
      <c r="FS16" s="263"/>
      <c r="FT16" s="263"/>
      <c r="FU16" s="263"/>
      <c r="FV16" s="263"/>
      <c r="FW16" s="263"/>
      <c r="FX16" s="263"/>
      <c r="FY16" s="263"/>
      <c r="FZ16" s="263"/>
      <c r="GA16" s="263"/>
      <c r="GB16" s="263"/>
      <c r="GC16" s="263"/>
      <c r="GD16" s="263"/>
      <c r="GE16" s="263"/>
      <c r="GF16" s="263"/>
      <c r="GG16" s="263"/>
      <c r="GH16" s="263"/>
      <c r="GI16" s="263"/>
      <c r="GJ16" s="263"/>
      <c r="GK16" s="263"/>
      <c r="GL16" s="263"/>
      <c r="GM16" s="263"/>
      <c r="GN16" s="263"/>
      <c r="GO16" s="263"/>
      <c r="GP16" s="263"/>
      <c r="GQ16" s="263"/>
      <c r="GR16" s="263"/>
      <c r="GS16" s="263"/>
      <c r="GT16" s="263"/>
      <c r="GU16" s="263"/>
      <c r="GV16" s="263"/>
      <c r="GW16" s="263"/>
      <c r="GX16" s="263"/>
      <c r="GY16" s="263"/>
      <c r="GZ16" s="263"/>
      <c r="HA16" s="263"/>
      <c r="HB16" s="263"/>
      <c r="HC16" s="263"/>
      <c r="HD16" s="263"/>
      <c r="HE16" s="263"/>
      <c r="HF16" s="263"/>
      <c r="HG16" s="263"/>
      <c r="HH16" s="263"/>
      <c r="HI16" s="263"/>
      <c r="HJ16" s="263"/>
      <c r="HK16" s="263"/>
      <c r="HL16" s="263"/>
      <c r="HM16" s="263"/>
      <c r="HN16" s="263"/>
      <c r="HO16" s="263"/>
      <c r="HP16" s="263"/>
      <c r="HQ16" s="263"/>
      <c r="HR16" s="263"/>
      <c r="HS16" s="263"/>
      <c r="HT16" s="263"/>
    </row>
    <row r="17" spans="1:228" ht="15" customHeight="1" thickBot="1" x14ac:dyDescent="0.4">
      <c r="A17" s="142" t="s">
        <v>583</v>
      </c>
      <c r="B17" s="143">
        <v>45349.332673611112</v>
      </c>
      <c r="F17" s="86"/>
      <c r="G17" s="94" t="s">
        <v>566</v>
      </c>
      <c r="H17" s="76"/>
      <c r="I17" s="76"/>
      <c r="J17" s="77"/>
      <c r="L17" s="381" t="str">
        <f t="array" ref="L17">IFERROR(IF($D$9="",IF($D$11="",IF($D$13="",IF($D$15="",INDEX(orderHistory[customer],SMALL(MATCH(ROW(orderHistory[customer]),ROW(orderHistory[customer])),ROWS($A$15:A22)+$B$3)),INDEX(orderHistory[customer],SMALL(IF(ISNUMBER(MATCH(YEAR(orderHistory[invoice_date]),$D$15,0)),MATCH(ROW(orderHistory[customer]),ROW(orderHistory[customer])),""),ROWS($A$15:A22)+$B$3))),IF($D$15="",INDEX(orderHistory[customer],SMALL(IF(ISNUMBER(MATCH(orderHistory[order_type],$D$13,0)),MATCH(ROW(orderHistory[customer]),ROW(orderHistory[customer])),""),ROWS($A$15:A22)+$B$3)),INDEX(orderHistory[customer],SMALL(IF(ISNUMBER(MATCH(orderHistory[order_type],$D$13,0)*MATCH(YEAR(orderHistory[invoice_date]),$D$15,0)),MATCH(ROW(orderHistory[customer]),ROW(orderHistory[customer])),""),ROWS($A$15:A22)+$B$3)))),IF($D$13="",IF($D$15="",INDEX(orderHistory[customer],SMALL(IF(ISNUMBER(MATCH(orderHistory[status],$D$11,0)),MATCH(ROW(orderHistory[customer]),ROW(orderHistory[customer])),""),ROWS($A$15:A22)+$B$3)),INDEX(orderHistory[customer],SMALL(IF(ISNUMBER(MATCH(orderHistory[status],$D$11,0)*MATCH(YEAR(orderHistory[invoice_date]),$D$15,0)),MATCH(ROW(orderHistory[customer]),ROW(orderHistory[customer])),""),ROWS($A$15:A22)+$B$3))),IF($D$15="",INDEX(orderHistory[customer],SMALL(IF(ISNUMBER(MATCH(orderHistory[status],$D$11,0)*MATCH(orderHistory[order_type],$D$13,0)),MATCH(ROW(orderHistory[customer]),ROW(orderHistory[customer])),""),ROWS($A$15:A22)+$B$3)),INDEX(orderHistory[customer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customer],SMALL(IF(ISNUMBER(MATCH(orderHistory[customer],$D$9,0)),MATCH(ROW(orderHistory[customer]),ROW(orderHistory[customer])),""),ROWS($A$15:A22)+$B$3)),INDEX(orderHistory[customer],SMALL(IF(ISNUMBER(MATCH(orderHistory[customer],$D$9,0)*MATCH(YEAR(orderHistory[invoice_date]),$D$15,0)),MATCH(ROW(orderHistory[customer]),ROW(orderHistory[customer])),""),ROWS($A$15:A22)+$B$3))),IF($D$15="",INDEX(orderHistory[customer],SMALL(IF(ISNUMBER(MATCH(orderHistory[customer],$D$9,0)*MATCH(orderHistory[order_type],$D$13,0)),MATCH(ROW(orderHistory[customer]),ROW(orderHistory[customer])),""),ROWS($A$15:A22)+$B$3)),INDEX(orderHistory[customer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customer],SMALL(IF(ISNUMBER(MATCH(orderHistory[customer],$D$9,0)*MATCH(orderHistory[status],$D$11,0)),MATCH(ROW(orderHistory[customer]),ROW(orderHistory[customer])),""),ROWS($A$15:A22)+$B$3)),INDEX(orderHistory[customer],SMALL(IF(ISNUMBER(MATCH(orderHistory[customer],$D$9,0)*MATCH(orderHistory[status],$D$11,0)*MATCH(YEAR(orderHistory[invoice_date]),$D$15,0)),MATCH(ROW(orderHistory[customer]),ROW(orderHistory[customer])),""),ROWS($A$15:A22)+$B$3))),IF($D$15="",INDEX(orderHistory[customer],SMALL(IF(ISNUMBER(MATCH(orderHistory[customer],$D$9,0)*MATCH(orderHistory[status],$D$11,0)*MATCH(orderHistory[order_type],$D$13,0)),MATCH(ROW(orderHistory[customer]),ROW(orderHistory[customer])),""),ROWS($A$15:A22)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LUXUM BEAUTY - HAMBURG</v>
      </c>
      <c r="M17" s="382">
        <f t="array" ref="M17">IFERROR(IF($D$9="",IF($D$11="",IF($D$13="",IF($D$15="",INDEX(orderHistory[order_no],SMALL(MATCH(ROW(orderHistory[customer]),ROW(orderHistory[customer])),ROWS($A$15:A22)+$B$3)),INDEX(orderHistory[order_no],SMALL(IF(ISNUMBER(MATCH(YEAR(orderHistory[invoice_date]),$D$15,0)),MATCH(ROW(orderHistory[customer]),ROW(orderHistory[customer])),""),ROWS($A$15:A22)+$B$3))),IF($D$15="",INDEX(orderHistory[order_no],SMALL(IF(ISNUMBER(MATCH(orderHistory[order_type],$D$13,0)),MATCH(ROW(orderHistory[customer]),ROW(orderHistory[customer])),""),ROWS($A$15:A22)+$B$3)),INDEX(orderHistory[order_no],SMALL(IF(ISNUMBER(MATCH(orderHistory[order_type],$D$13,0)*MATCH(YEAR(orderHistory[invoice_date]),$D$15,0)),MATCH(ROW(orderHistory[customer]),ROW(orderHistory[customer])),""),ROWS($A$15:A22)+$B$3)))),IF($D$13="",IF($D$15="",INDEX(orderHistory[order_no],SMALL(IF(ISNUMBER(MATCH(orderHistory[status],$D$11,0)),MATCH(ROW(orderHistory[customer]),ROW(orderHistory[customer])),""),ROWS($A$15:A22)+$B$3)),INDEX(orderHistory[order_no],SMALL(IF(ISNUMBER(MATCH(orderHistory[status],$D$11,0)*MATCH(YEAR(orderHistory[invoice_date]),$D$15,0)),MATCH(ROW(orderHistory[customer]),ROW(orderHistory[customer])),""),ROWS($A$15:A22)+$B$3))),IF($D$15="",INDEX(orderHistory[order_no],SMALL(IF(ISNUMBER(MATCH(orderHistory[status],$D$11,0)*MATCH(orderHistory[order_type],$D$13,0)),MATCH(ROW(orderHistory[customer]),ROW(orderHistory[customer])),""),ROWS($A$15:A22)+$B$3)),INDEX(orderHistory[order_no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order_no],SMALL(IF(ISNUMBER(MATCH(orderHistory[customer],$D$9,0)),MATCH(ROW(orderHistory[customer]),ROW(orderHistory[customer])),""),ROWS($A$15:A22)+$B$3)),INDEX(orderHistory[order_no],SMALL(IF(ISNUMBER(MATCH(orderHistory[customer],$D$9,0)*MATCH(YEAR(orderHistory[invoice_date]),$D$15,0)),MATCH(ROW(orderHistory[customer]),ROW(orderHistory[customer])),""),ROWS($A$15:A22)+$B$3))),IF($D$15="",INDEX(orderHistory[order_no],SMALL(IF(ISNUMBER(MATCH(orderHistory[customer],$D$9,0)*MATCH(orderHistory[order_type],$D$13,0)),MATCH(ROW(orderHistory[customer]),ROW(orderHistory[customer])),""),ROWS($A$15:A22)+$B$3)),INDEX(orderHistory[order_no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order_no],SMALL(IF(ISNUMBER(MATCH(orderHistory[customer],$D$9,0)*MATCH(orderHistory[status],$D$11,0)),MATCH(ROW(orderHistory[customer]),ROW(orderHistory[customer])),""),ROWS($A$15:A22)+$B$3)),INDEX(orderHistory[order_no],SMALL(IF(ISNUMBER(MATCH(orderHistory[customer],$D$9,0)*MATCH(orderHistory[status],$D$11,0)*MATCH(YEAR(orderHistory[invoice_date]),$D$15,0)),MATCH(ROW(orderHistory[customer]),ROW(orderHistory[customer])),""),ROWS($A$15:A22)+$B$3))),IF($D$15="",INDEX(orderHistory[order_no],SMALL(IF(ISNUMBER(MATCH(orderHistory[customer],$D$9,0)*MATCH(orderHistory[status],$D$11,0)*MATCH(orderHistory[order_type],$D$13,0)),MATCH(ROW(orderHistory[customer]),ROW(orderHistory[customer])),""),ROWS($A$15:A22)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114</v>
      </c>
      <c r="N17" s="383" t="str">
        <f t="array" ref="N17">IFERROR(IF($D$9="",IF($D$11="",IF($D$13="",IF($D$15="",INDEX(orderHistory[order_type],SMALL(MATCH(ROW(orderHistory[customer]),ROW(orderHistory[customer])),ROWS($A$15:A22)+$B$3)),INDEX(orderHistory[order_type],SMALL(IF(ISNUMBER(MATCH(YEAR(orderHistory[invoice_date]),$D$15,0)),MATCH(ROW(orderHistory[customer]),ROW(orderHistory[customer])),""),ROWS($A$15:A22)+$B$3))),IF($D$15="",INDEX(orderHistory[order_type],SMALL(IF(ISNUMBER(MATCH(orderHistory[order_type],$D$13,0)),MATCH(ROW(orderHistory[customer]),ROW(orderHistory[customer])),""),ROWS($A$15:A22)+$B$3)),INDEX(orderHistory[order_type],SMALL(IF(ISNUMBER(MATCH(orderHistory[order_type],$D$13,0)*MATCH(YEAR(orderHistory[invoice_date]),$D$15,0)),MATCH(ROW(orderHistory[customer]),ROW(orderHistory[customer])),""),ROWS($A$15:A22)+$B$3)))),IF($D$13="",IF($D$15="",INDEX(orderHistory[order_type],SMALL(IF(ISNUMBER(MATCH(orderHistory[status],$D$11,0)),MATCH(ROW(orderHistory[customer]),ROW(orderHistory[customer])),""),ROWS($A$15:A22)+$B$3)),INDEX(orderHistory[order_type],SMALL(IF(ISNUMBER(MATCH(orderHistory[status],$D$11,0)*MATCH(YEAR(orderHistory[invoice_date]),$D$15,0)),MATCH(ROW(orderHistory[customer]),ROW(orderHistory[customer])),""),ROWS($A$15:A22)+$B$3))),IF($D$15="",INDEX(orderHistory[order_type],SMALL(IF(ISNUMBER(MATCH(orderHistory[status],$D$11,0)*MATCH(orderHistory[order_type],$D$13,0)),MATCH(ROW(orderHistory[customer]),ROW(orderHistory[customer])),""),ROWS($A$15:A22)+$B$3)),INDEX(orderHistory[order_type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order_type],SMALL(IF(ISNUMBER(MATCH(orderHistory[customer],$D$9,0)),MATCH(ROW(orderHistory[customer]),ROW(orderHistory[customer])),""),ROWS($A$15:A22)+$B$3)),INDEX(orderHistory[order_type],SMALL(IF(ISNUMBER(MATCH(orderHistory[customer],$D$9,0)*MATCH(YEAR(orderHistory[invoice_date]),$D$15,0)),MATCH(ROW(orderHistory[customer]),ROW(orderHistory[customer])),""),ROWS($A$15:A22)+$B$3))),IF($D$15="",INDEX(orderHistory[order_type],SMALL(IF(ISNUMBER(MATCH(orderHistory[customer],$D$9,0)*MATCH(orderHistory[order_type],$D$13,0)),MATCH(ROW(orderHistory[customer]),ROW(orderHistory[customer])),""),ROWS($A$15:A22)+$B$3)),INDEX(orderHistory[order_type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order_type],SMALL(IF(ISNUMBER(MATCH(orderHistory[customer],$D$9,0)*MATCH(orderHistory[status],$D$11,0)),MATCH(ROW(orderHistory[customer]),ROW(orderHistory[customer])),""),ROWS($A$15:A22)+$B$3)),INDEX(orderHistory[order_type],SMALL(IF(ISNUMBER(MATCH(orderHistory[customer],$D$9,0)*MATCH(orderHistory[status],$D$11,0)*MATCH(YEAR(orderHistory[invoice_date]),$D$15,0)),MATCH(ROW(orderHistory[customer]),ROW(orderHistory[customer])),""),ROWS($A$15:A22)+$B$3))),IF($D$15="",INDEX(orderHistory[order_type],SMALL(IF(ISNUMBER(MATCH(orderHistory[customer],$D$9,0)*MATCH(orderHistory[status],$D$11,0)*MATCH(orderHistory[order_type],$D$13,0)),MATCH(ROW(orderHistory[customer]),ROW(orderHistory[customer])),""),ROWS($A$15:A22)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SALE</v>
      </c>
      <c r="O17" s="384">
        <f t="array" ref="O17">IFERROR(IF($D$9="",IF($D$11="",IF($D$13="",IF($D$15="",INDEX(orderHistory[order_date],SMALL(MATCH(ROW(orderHistory[customer]),ROW(orderHistory[customer])),ROWS($A$15:A22)+$B$3)),INDEX(orderHistory[order_date],SMALL(IF(ISNUMBER(MATCH(YEAR(orderHistory[invoice_date]),$D$15,0)),MATCH(ROW(orderHistory[customer]),ROW(orderHistory[customer])),""),ROWS($A$15:A22)+$B$3))),IF($D$15="",INDEX(orderHistory[order_date],SMALL(IF(ISNUMBER(MATCH(orderHistory[order_type],$D$13,0)),MATCH(ROW(orderHistory[customer]),ROW(orderHistory[customer])),""),ROWS($A$15:A22)+$B$3)),INDEX(orderHistory[order_date],SMALL(IF(ISNUMBER(MATCH(orderHistory[order_type],$D$13,0)*MATCH(YEAR(orderHistory[invoice_date]),$D$15,0)),MATCH(ROW(orderHistory[customer]),ROW(orderHistory[customer])),""),ROWS($A$15:A22)+$B$3)))),IF($D$13="",IF($D$15="",INDEX(orderHistory[order_date],SMALL(IF(ISNUMBER(MATCH(orderHistory[status],$D$11,0)),MATCH(ROW(orderHistory[customer]),ROW(orderHistory[customer])),""),ROWS($A$15:A22)+$B$3)),INDEX(orderHistory[order_date],SMALL(IF(ISNUMBER(MATCH(orderHistory[status],$D$11,0)*MATCH(YEAR(orderHistory[invoice_date]),$D$15,0)),MATCH(ROW(orderHistory[customer]),ROW(orderHistory[customer])),""),ROWS($A$15:A22)+$B$3))),IF($D$15="",INDEX(orderHistory[order_date],SMALL(IF(ISNUMBER(MATCH(orderHistory[status],$D$11,0)*MATCH(orderHistory[order_type],$D$13,0)),MATCH(ROW(orderHistory[customer]),ROW(orderHistory[customer])),""),ROWS($A$15:A22)+$B$3)),INDEX(orderHistory[order_date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order_date],SMALL(IF(ISNUMBER(MATCH(orderHistory[customer],$D$9,0)),MATCH(ROW(orderHistory[customer]),ROW(orderHistory[customer])),""),ROWS($A$15:A22)+$B$3)),INDEX(orderHistory[order_date],SMALL(IF(ISNUMBER(MATCH(orderHistory[customer],$D$9,0)*MATCH(YEAR(orderHistory[invoice_date]),$D$15,0)),MATCH(ROW(orderHistory[customer]),ROW(orderHistory[customer])),""),ROWS($A$15:A22)+$B$3))),IF($D$15="",INDEX(orderHistory[order_date],SMALL(IF(ISNUMBER(MATCH(orderHistory[customer],$D$9,0)*MATCH(orderHistory[order_type],$D$13,0)),MATCH(ROW(orderHistory[customer]),ROW(orderHistory[customer])),""),ROWS($A$15:A22)+$B$3)),INDEX(orderHistory[order_date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order_date],SMALL(IF(ISNUMBER(MATCH(orderHistory[customer],$D$9,0)*MATCH(orderHistory[status],$D$11,0)),MATCH(ROW(orderHistory[customer]),ROW(orderHistory[customer])),""),ROWS($A$15:A22)+$B$3)),INDEX(orderHistory[order_date],SMALL(IF(ISNUMBER(MATCH(orderHistory[customer],$D$9,0)*MATCH(orderHistory[status],$D$11,0)*MATCH(YEAR(orderHistory[invoice_date]),$D$15,0)),MATCH(ROW(orderHistory[customer]),ROW(orderHistory[customer])),""),ROWS($A$15:A22)+$B$3))),IF($D$15="",INDEX(orderHistory[order_date],SMALL(IF(ISNUMBER(MATCH(orderHistory[customer],$D$9,0)*MATCH(orderHistory[status],$D$11,0)*MATCH(orderHistory[order_type],$D$13,0)),MATCH(ROW(orderHistory[customer]),ROW(orderHistory[customer])),""),ROWS($A$15:A22)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45539</v>
      </c>
      <c r="P17" s="385" t="str">
        <f t="array" ref="P17">IFERROR(IF($D$9="",IF($D$11="",IF($D$13="",IF($D$15="",INDEX(orderHistory[invoice_no],SMALL(MATCH(ROW(orderHistory[customer]),ROW(orderHistory[customer])),ROWS($A$15:A22)+$B$3)),INDEX(orderHistory[invoice_no],SMALL(IF(ISNUMBER(MATCH(YEAR(orderHistory[invoice_date]),$D$15,0)),MATCH(ROW(orderHistory[customer]),ROW(orderHistory[customer])),""),ROWS($A$15:A22)+$B$3))),IF($D$15="",INDEX(orderHistory[invoice_no],SMALL(IF(ISNUMBER(MATCH(orderHistory[order_type],$D$13,0)),MATCH(ROW(orderHistory[customer]),ROW(orderHistory[customer])),""),ROWS($A$15:A22)+$B$3)),INDEX(orderHistory[invoice_no],SMALL(IF(ISNUMBER(MATCH(orderHistory[order_type],$D$13,0)*MATCH(YEAR(orderHistory[invoice_date]),$D$15,0)),MATCH(ROW(orderHistory[customer]),ROW(orderHistory[customer])),""),ROWS($A$15:A22)+$B$3)))),IF($D$13="",IF($D$15="",INDEX(orderHistory[invoice_no],SMALL(IF(ISNUMBER(MATCH(orderHistory[status],$D$11,0)),MATCH(ROW(orderHistory[customer]),ROW(orderHistory[customer])),""),ROWS($A$15:A22)+$B$3)),INDEX(orderHistory[invoice_no],SMALL(IF(ISNUMBER(MATCH(orderHistory[status],$D$11,0)*MATCH(YEAR(orderHistory[invoice_date]),$D$15,0)),MATCH(ROW(orderHistory[customer]),ROW(orderHistory[customer])),""),ROWS($A$15:A22)+$B$3))),IF($D$15="",INDEX(orderHistory[invoice_no],SMALL(IF(ISNUMBER(MATCH(orderHistory[status],$D$11,0)*MATCH(orderHistory[order_type],$D$13,0)),MATCH(ROW(orderHistory[customer]),ROW(orderHistory[customer])),""),ROWS($A$15:A22)+$B$3)),INDEX(orderHistory[invoice_no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invoice_no],SMALL(IF(ISNUMBER(MATCH(orderHistory[customer],$D$9,0)),MATCH(ROW(orderHistory[customer]),ROW(orderHistory[customer])),""),ROWS($A$15:A22)+$B$3)),INDEX(orderHistory[invoice_no],SMALL(IF(ISNUMBER(MATCH(orderHistory[customer],$D$9,0)*MATCH(YEAR(orderHistory[invoice_date]),$D$15,0)),MATCH(ROW(orderHistory[customer]),ROW(orderHistory[customer])),""),ROWS($A$15:A22)+$B$3))),IF($D$15="",INDEX(orderHistory[invoice_no],SMALL(IF(ISNUMBER(MATCH(orderHistory[customer],$D$9,0)*MATCH(orderHistory[order_type],$D$13,0)),MATCH(ROW(orderHistory[customer]),ROW(orderHistory[customer])),""),ROWS($A$15:A22)+$B$3)),INDEX(orderHistory[invoice_no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invoice_no],SMALL(IF(ISNUMBER(MATCH(orderHistory[customer],$D$9,0)*MATCH(orderHistory[status],$D$11,0)),MATCH(ROW(orderHistory[customer]),ROW(orderHistory[customer])),""),ROWS($A$15:A22)+$B$3)),INDEX(orderHistory[invoice_no],SMALL(IF(ISNUMBER(MATCH(orderHistory[customer],$D$9,0)*MATCH(orderHistory[status],$D$11,0)*MATCH(YEAR(orderHistory[invoice_date]),$D$15,0)),MATCH(ROW(orderHistory[customer]),ROW(orderHistory[customer])),""),ROWS($A$15:A22)+$B$3))),IF($D$15="",INDEX(orderHistory[invoice_no],SMALL(IF(ISNUMBER(MATCH(orderHistory[customer],$D$9,0)*MATCH(orderHistory[status],$D$11,0)*MATCH(orderHistory[order_type],$D$13,0)),MATCH(ROW(orderHistory[customer]),ROW(orderHistory[customer])),""),ROWS($A$15:A22)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329</v>
      </c>
      <c r="Q17" s="386">
        <f t="array" ref="Q17">IFERROR(IF($D$9="",IF($D$11="",IF($D$13="",IF($D$15="",INDEX(orderHistory[invoice_date],SMALL(MATCH(ROW(orderHistory[customer]),ROW(orderHistory[customer])),ROWS($A$15:A22)+$B$3)),INDEX(orderHistory[invoice_date],SMALL(IF(ISNUMBER(MATCH(YEAR(orderHistory[invoice_date]),$D$15,0)),MATCH(ROW(orderHistory[customer]),ROW(orderHistory[customer])),""),ROWS($A$15:A22)+$B$3))),IF($D$15="",INDEX(orderHistory[invoice_date],SMALL(IF(ISNUMBER(MATCH(orderHistory[order_type],$D$13,0)),MATCH(ROW(orderHistory[customer]),ROW(orderHistory[customer])),""),ROWS($A$15:A22)+$B$3)),INDEX(orderHistory[invoice_date],SMALL(IF(ISNUMBER(MATCH(orderHistory[order_type],$D$13,0)*MATCH(YEAR(orderHistory[invoice_date]),$D$15,0)),MATCH(ROW(orderHistory[customer]),ROW(orderHistory[customer])),""),ROWS($A$15:A22)+$B$3)))),IF($D$13="",IF($D$15="",INDEX(orderHistory[invoice_date],SMALL(IF(ISNUMBER(MATCH(orderHistory[status],$D$11,0)),MATCH(ROW(orderHistory[customer]),ROW(orderHistory[customer])),""),ROWS($A$15:A22)+$B$3)),INDEX(orderHistory[invoice_date],SMALL(IF(ISNUMBER(MATCH(orderHistory[status],$D$11,0)*MATCH(YEAR(orderHistory[invoice_date]),$D$15,0)),MATCH(ROW(orderHistory[customer]),ROW(orderHistory[customer])),""),ROWS($A$15:A22)+$B$3))),IF($D$15="",INDEX(orderHistory[invoice_date],SMALL(IF(ISNUMBER(MATCH(orderHistory[status],$D$11,0)*MATCH(orderHistory[order_type],$D$13,0)),MATCH(ROW(orderHistory[customer]),ROW(orderHistory[customer])),""),ROWS($A$15:A22)+$B$3)),INDEX(orderHistory[invoice_date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invoice_date],SMALL(IF(ISNUMBER(MATCH(orderHistory[customer],$D$9,0)),MATCH(ROW(orderHistory[customer]),ROW(orderHistory[customer])),""),ROWS($A$15:A22)+$B$3)),INDEX(orderHistory[invoice_date],SMALL(IF(ISNUMBER(MATCH(orderHistory[customer],$D$9,0)*MATCH(YEAR(orderHistory[invoice_date]),$D$15,0)),MATCH(ROW(orderHistory[customer]),ROW(orderHistory[customer])),""),ROWS($A$15:A22)+$B$3))),IF($D$15="",INDEX(orderHistory[invoice_date],SMALL(IF(ISNUMBER(MATCH(orderHistory[customer],$D$9,0)*MATCH(orderHistory[order_type],$D$13,0)),MATCH(ROW(orderHistory[customer]),ROW(orderHistory[customer])),""),ROWS($A$15:A22)+$B$3)),INDEX(orderHistory[invoice_date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invoice_date],SMALL(IF(ISNUMBER(MATCH(orderHistory[customer],$D$9,0)*MATCH(orderHistory[status],$D$11,0)),MATCH(ROW(orderHistory[customer]),ROW(orderHistory[customer])),""),ROWS($A$15:A22)+$B$3)),INDEX(orderHistory[invoice_date],SMALL(IF(ISNUMBER(MATCH(orderHistory[customer],$D$9,0)*MATCH(orderHistory[status],$D$11,0)*MATCH(YEAR(orderHistory[invoice_date]),$D$15,0)),MATCH(ROW(orderHistory[customer]),ROW(orderHistory[customer])),""),ROWS($A$15:A22)+$B$3))),IF($D$15="",INDEX(orderHistory[invoice_date],SMALL(IF(ISNUMBER(MATCH(orderHistory[customer],$D$9,0)*MATCH(orderHistory[status],$D$11,0)*MATCH(orderHistory[order_type],$D$13,0)),MATCH(ROW(orderHistory[customer]),ROW(orderHistory[customer])),""),ROWS($A$15:A22)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45547</v>
      </c>
      <c r="R17" s="387">
        <f t="array" ref="R17">IFERROR(IF($D$9="",IF($D$11="",IF($D$13="",IF($D$15="",INDEX(orderHistory[inv_amount],SMALL(MATCH(ROW(orderHistory[customer]),ROW(orderHistory[customer])),ROWS($A$15:A22)+$B$3)),INDEX(orderHistory[inv_amount],SMALL(IF(ISNUMBER(MATCH(YEAR(orderHistory[invoice_date]),$D$15,0)),MATCH(ROW(orderHistory[customer]),ROW(orderHistory[customer])),""),ROWS($A$15:A22)+$B$3))),IF($D$15="",INDEX(orderHistory[inv_amount],SMALL(IF(ISNUMBER(MATCH(orderHistory[order_type],$D$13,0)),MATCH(ROW(orderHistory[customer]),ROW(orderHistory[customer])),""),ROWS($A$15:A22)+$B$3)),INDEX(orderHistory[inv_amount],SMALL(IF(ISNUMBER(MATCH(orderHistory[order_type],$D$13,0)*MATCH(YEAR(orderHistory[invoice_date]),$D$15,0)),MATCH(ROW(orderHistory[customer]),ROW(orderHistory[customer])),""),ROWS($A$15:A22)+$B$3)))),IF($D$13="",IF($D$15="",INDEX(orderHistory[inv_amount],SMALL(IF(ISNUMBER(MATCH(orderHistory[status],$D$11,0)),MATCH(ROW(orderHistory[customer]),ROW(orderHistory[customer])),""),ROWS($A$15:A22)+$B$3)),INDEX(orderHistory[inv_amount],SMALL(IF(ISNUMBER(MATCH(orderHistory[status],$D$11,0)*MATCH(YEAR(orderHistory[invoice_date]),$D$15,0)),MATCH(ROW(orderHistory[customer]),ROW(orderHistory[customer])),""),ROWS($A$15:A22)+$B$3))),IF($D$15="",INDEX(orderHistory[inv_amount],SMALL(IF(ISNUMBER(MATCH(orderHistory[status],$D$11,0)*MATCH(orderHistory[order_type],$D$13,0)),MATCH(ROW(orderHistory[customer]),ROW(orderHistory[customer])),""),ROWS($A$15:A22)+$B$3)),INDEX(orderHistory[inv_amount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inv_amount],SMALL(IF(ISNUMBER(MATCH(orderHistory[customer],$D$9,0)),MATCH(ROW(orderHistory[customer]),ROW(orderHistory[customer])),""),ROWS($A$15:A22)+$B$3)),INDEX(orderHistory[inv_amount],SMALL(IF(ISNUMBER(MATCH(orderHistory[customer],$D$9,0)*MATCH(YEAR(orderHistory[invoice_date]),$D$15,0)),MATCH(ROW(orderHistory[customer]),ROW(orderHistory[customer])),""),ROWS($A$15:A22)+$B$3))),IF($D$15="",INDEX(orderHistory[inv_amount],SMALL(IF(ISNUMBER(MATCH(orderHistory[customer],$D$9,0)*MATCH(orderHistory[order_type],$D$13,0)),MATCH(ROW(orderHistory[customer]),ROW(orderHistory[customer])),""),ROWS($A$15:A22)+$B$3)),INDEX(orderHistory[inv_amount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inv_amount],SMALL(IF(ISNUMBER(MATCH(orderHistory[customer],$D$9,0)*MATCH(orderHistory[status],$D$11,0)),MATCH(ROW(orderHistory[customer]),ROW(orderHistory[customer])),""),ROWS($A$15:A22)+$B$3)),INDEX(orderHistory[inv_amount],SMALL(IF(ISNUMBER(MATCH(orderHistory[customer],$D$9,0)*MATCH(orderHistory[status],$D$11,0)*MATCH(YEAR(orderHistory[inv_amount]),$D$15,0)),MATCH(ROW(orderHistory[customer]),ROW(orderHistory[customer])),""),ROWS($A$15:A22)+$B$3))),IF($D$15="",INDEX(orderHistory[inv_amount],SMALL(IF(ISNUMBER(MATCH(orderHistory[customer],$D$9,0)*MATCH(orderHistory[status],$D$11,0)*MATCH(orderHistory[order_type],$D$13,0)),MATCH(ROW(orderHistory[customer]),ROW(orderHistory[customer])),""),ROWS($A$15:A22)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8400</v>
      </c>
      <c r="S17" s="465" t="str">
        <f t="array" ref="S17">IFERROR(IF($D$9="",IF($D$11="",IF($D$13="",IF($D$15="",INDEX(orderHistory[lock_goods],SMALL(MATCH(ROW(orderHistory[customer]),ROW(orderHistory[customer])),ROWS($A$15:A22)+$B$3)),INDEX(orderHistory[lock_goods],SMALL(IF(ISNUMBER(MATCH(YEAR(orderHistory[invoice_date]),$D$15,0)),MATCH(ROW(orderHistory[customer]),ROW(orderHistory[customer])),""),ROWS($A$15:A22)+$B$3))),IF($D$15="",INDEX(orderHistory[lock_goods],SMALL(IF(ISNUMBER(MATCH(orderHistory[order_type],$D$13,0)),MATCH(ROW(orderHistory[customer]),ROW(orderHistory[customer])),""),ROWS($A$15:A22)+$B$3)),INDEX(orderHistory[lock_goods],SMALL(IF(ISNUMBER(MATCH(orderHistory[order_type],$D$13,0)*MATCH(YEAR(orderHistory[invoice_date]),$D$15,0)),MATCH(ROW(orderHistory[customer]),ROW(orderHistory[customer])),""),ROWS($A$15:A22)+$B$3)))),IF($D$13="",IF($D$15="",INDEX(orderHistory[lock_goods],SMALL(IF(ISNUMBER(MATCH(orderHistory[status],$D$11,0)),MATCH(ROW(orderHistory[customer]),ROW(orderHistory[customer])),""),ROWS($A$15:A22)+$B$3)),INDEX(orderHistory[lock_goods],SMALL(IF(ISNUMBER(MATCH(orderHistory[status],$D$11,0)*MATCH(YEAR(orderHistory[invoice_date]),$D$15,0)),MATCH(ROW(orderHistory[customer]),ROW(orderHistory[customer])),""),ROWS($A$15:A22)+$B$3))),IF($D$15="",INDEX(orderHistory[lock_goods],SMALL(IF(ISNUMBER(MATCH(orderHistory[status],$D$11,0)*MATCH(orderHistory[order_type],$D$13,0)),MATCH(ROW(orderHistory[customer]),ROW(orderHistory[customer])),""),ROWS($A$15:A22)+$B$3)),INDEX(orderHistory[lock_goods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lock_goods],SMALL(IF(ISNUMBER(MATCH(orderHistory[customer],$D$9,0)),MATCH(ROW(orderHistory[customer]),ROW(orderHistory[customer])),""),ROWS($A$15:A22)+$B$3)),INDEX(orderHistory[lock_goods],SMALL(IF(ISNUMBER(MATCH(orderHistory[customer],$D$9,0)*MATCH(YEAR(orderHistory[invoice_date]),$D$15,0)),MATCH(ROW(orderHistory[customer]),ROW(orderHistory[customer])),""),ROWS($A$15:A22)+$B$3))),IF($D$15="",INDEX(orderHistory[lock_goods],SMALL(IF(ISNUMBER(MATCH(orderHistory[customer],$D$9,0)*MATCH(orderHistory[order_type],$D$13,0)),MATCH(ROW(orderHistory[customer]),ROW(orderHistory[customer])),""),ROWS($A$15:A22)+$B$3)),INDEX(orderHistory[lock_goods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lock_goods],SMALL(IF(ISNUMBER(MATCH(orderHistory[customer],$D$9,0)*MATCH(orderHistory[status],$D$11,0)),MATCH(ROW(orderHistory[customer]),ROW(orderHistory[customer])),""),ROWS($A$15:A22)+$B$3)),INDEX(orderHistory[lock_goods],SMALL(IF(ISNUMBER(MATCH(orderHistory[customer],$D$9,0)*MATCH(orderHistory[status],$D$11,0)*MATCH(YEAR(orderHistory[payed]),$D$15,0)),MATCH(ROW(orderHistory[customer]),ROW(orderHistory[customer])),""),ROWS($A$15:A22)+$B$3))),IF($D$15="",INDEX(orderHistory[lock_goods],SMALL(IF(ISNUMBER(MATCH(orderHistory[customer],$D$9,0)*MATCH(orderHistory[status],$D$11,0)*MATCH(orderHistory[order_type],$D$13,0)),MATCH(ROW(orderHistory[customer]),ROW(orderHistory[customer])),""),ROWS($A$15:A22)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GOODS SENT</v>
      </c>
      <c r="T17" s="388" t="b">
        <f t="array" ref="T17">IFERROR(IF($D$9="",IF($D$11="",IF($D$13="",IF($D$15="",INDEX(orderHistory[payed],SMALL(MATCH(ROW(orderHistory[customer]),ROW(orderHistory[customer])),ROWS($A$15:A22)+$B$3)),INDEX(orderHistory[payed],SMALL(IF(ISNUMBER(MATCH(YEAR(orderHistory[invoice_date]),$D$15,0)),MATCH(ROW(orderHistory[customer]),ROW(orderHistory[customer])),""),ROWS($A$15:A22)+$B$3))),IF($D$15="",INDEX(orderHistory[payed],SMALL(IF(ISNUMBER(MATCH(orderHistory[order_type],$D$13,0)),MATCH(ROW(orderHistory[customer]),ROW(orderHistory[customer])),""),ROWS($A$15:A22)+$B$3)),INDEX(orderHistory[payed],SMALL(IF(ISNUMBER(MATCH(orderHistory[order_type],$D$13,0)*MATCH(YEAR(orderHistory[invoice_date]),$D$15,0)),MATCH(ROW(orderHistory[customer]),ROW(orderHistory[customer])),""),ROWS($A$15:A22)+$B$3)))),IF($D$13="",IF($D$15="",INDEX(orderHistory[payed],SMALL(IF(ISNUMBER(MATCH(orderHistory[status],$D$11,0)),MATCH(ROW(orderHistory[customer]),ROW(orderHistory[customer])),""),ROWS($A$15:A22)+$B$3)),INDEX(orderHistory[payed],SMALL(IF(ISNUMBER(MATCH(orderHistory[status],$D$11,0)*MATCH(YEAR(orderHistory[invoice_date]),$D$15,0)),MATCH(ROW(orderHistory[customer]),ROW(orderHistory[customer])),""),ROWS($A$15:A22)+$B$3))),IF($D$15="",INDEX(orderHistory[payed],SMALL(IF(ISNUMBER(MATCH(orderHistory[status],$D$11,0)*MATCH(orderHistory[order_type],$D$13,0)),MATCH(ROW(orderHistory[customer]),ROW(orderHistory[customer])),""),ROWS($A$15:A22)+$B$3)),INDEX(orderHistory[payed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payed],SMALL(IF(ISNUMBER(MATCH(orderHistory[customer],$D$9,0)),MATCH(ROW(orderHistory[customer]),ROW(orderHistory[customer])),""),ROWS($A$15:A22)+$B$3)),INDEX(orderHistory[payed],SMALL(IF(ISNUMBER(MATCH(orderHistory[customer],$D$9,0)*MATCH(YEAR(orderHistory[invoice_date]),$D$15,0)),MATCH(ROW(orderHistory[customer]),ROW(orderHistory[customer])),""),ROWS($A$15:A22)+$B$3))),IF($D$15="",INDEX(orderHistory[payed],SMALL(IF(ISNUMBER(MATCH(orderHistory[customer],$D$9,0)*MATCH(orderHistory[order_type],$D$13,0)),MATCH(ROW(orderHistory[customer]),ROW(orderHistory[customer])),""),ROWS($A$15:A22)+$B$3)),INDEX(orderHistory[payed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payed],SMALL(IF(ISNUMBER(MATCH(orderHistory[customer],$D$9,0)*MATCH(orderHistory[status],$D$11,0)),MATCH(ROW(orderHistory[customer]),ROW(orderHistory[customer])),""),ROWS($A$15:A22)+$B$3)),INDEX(orderHistory[payed],SMALL(IF(ISNUMBER(MATCH(orderHistory[customer],$D$9,0)*MATCH(orderHistory[status],$D$11,0)*MATCH(YEAR(orderHistory[payed]),$D$15,0)),MATCH(ROW(orderHistory[customer]),ROW(orderHistory[customer])),""),ROWS($A$15:A22)+$B$3))),IF($D$15="",INDEX(orderHistory[payed],SMALL(IF(ISNUMBER(MATCH(orderHistory[customer],$D$9,0)*MATCH(orderHistory[status],$D$11,0)*MATCH(orderHistory[order_type],$D$13,0)),MATCH(ROW(orderHistory[customer]),ROW(orderHistory[customer])),""),ROWS($A$15:A22)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1</v>
      </c>
      <c r="U17" s="383" t="str">
        <f t="array" ref="U17">IFERROR(IF($D$9="",IF($D$11="",IF($D$13="",IF($D$15="",INDEX(orderHistory[shipping_method],SMALL(MATCH(ROW(orderHistory[customer]),ROW(orderHistory[customer])),ROWS($A$15:A22)+$B$3)),INDEX(orderHistory[shipping_method],SMALL(IF(ISNUMBER(MATCH(YEAR(orderHistory[invoice_date]),$D$15,0)),MATCH(ROW(orderHistory[customer]),ROW(orderHistory[customer])),""),ROWS($A$15:A22)+$B$3))),IF($D$15="",INDEX(orderHistory[shipping_method],SMALL(IF(ISNUMBER(MATCH(orderHistory[order_type],$D$13,0)),MATCH(ROW(orderHistory[customer]),ROW(orderHistory[customer])),""),ROWS($A$15:A22)+$B$3)),INDEX(orderHistory[shipping_method],SMALL(IF(ISNUMBER(MATCH(orderHistory[order_type],$D$13,0)*MATCH(YEAR(orderHistory[invoice_date]),$D$15,0)),MATCH(ROW(orderHistory[customer]),ROW(orderHistory[customer])),""),ROWS($A$15:A22)+$B$3)))),IF($D$13="",IF($D$15="",INDEX(orderHistory[shipping_method],SMALL(IF(ISNUMBER(MATCH(orderHistory[status],$D$11,0)),MATCH(ROW(orderHistory[customer]),ROW(orderHistory[customer])),""),ROWS($A$15:A22)+$B$3)),INDEX(orderHistory[shipping_method],SMALL(IF(ISNUMBER(MATCH(orderHistory[status],$D$11,0)*MATCH(YEAR(orderHistory[invoice_date]),$D$15,0)),MATCH(ROW(orderHistory[customer]),ROW(orderHistory[customer])),""),ROWS($A$15:A22)+$B$3))),IF($D$15="",INDEX(orderHistory[shipping_method],SMALL(IF(ISNUMBER(MATCH(orderHistory[status],$D$11,0)*MATCH(orderHistory[order_type],$D$13,0)),MATCH(ROW(orderHistory[customer]),ROW(orderHistory[customer])),""),ROWS($A$15:A22)+$B$3)),INDEX(orderHistory[shipping_method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shipping_method],SMALL(IF(ISNUMBER(MATCH(orderHistory[customer],$D$9,0)),MATCH(ROW(orderHistory[customer]),ROW(orderHistory[customer])),""),ROWS($A$15:A22)+$B$3)),INDEX(orderHistory[shipping_method],SMALL(IF(ISNUMBER(MATCH(orderHistory[customer],$D$9,0)*MATCH(YEAR(orderHistory[invoice_date]),$D$15,0)),MATCH(ROW(orderHistory[customer]),ROW(orderHistory[customer])),""),ROWS($A$15:A22)+$B$3))),IF($D$15="",INDEX(orderHistory[shipping_method],SMALL(IF(ISNUMBER(MATCH(orderHistory[customer],$D$9,0)*MATCH(orderHistory[order_type],$D$13,0)),MATCH(ROW(orderHistory[customer]),ROW(orderHistory[customer])),""),ROWS($A$15:A22)+$B$3)),INDEX(orderHistory[shipping_method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shipping_method],SMALL(IF(ISNUMBER(MATCH(orderHistory[customer],$D$9,0)*MATCH(orderHistory[status],$D$11,0)),MATCH(ROW(orderHistory[customer]),ROW(orderHistory[customer])),""),ROWS($A$15:A22)+$B$3)),INDEX(orderHistory[shipping_method],SMALL(IF(ISNUMBER(MATCH(orderHistory[customer],$D$9,0)*MATCH(orderHistory[status],$D$11,0)*MATCH(YEAR(orderHistory[shipping_method]),$D$15,0)),MATCH(ROW(orderHistory[customer]),ROW(orderHistory[customer])),""),ROWS($A$15:A22)+$B$3))),IF($D$15="",INDEX(orderHistory[shipping_method],SMALL(IF(ISNUMBER(MATCH(orderHistory[customer],$D$9,0)*MATCH(orderHistory[status],$D$11,0)*MATCH(orderHistory[order_type],$D$13,0)),MATCH(ROW(orderHistory[customer]),ROW(orderHistory[customer])),""),ROWS($A$15:A22)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BY ROAD</v>
      </c>
      <c r="V17" s="388" t="str">
        <f t="array" ref="V17">IFERROR(IF($D$9="",IF($D$11="",IF($D$13="",IF($D$15="",INDEX(orderHistory[status],SMALL(MATCH(ROW(orderHistory[customer]),ROW(orderHistory[customer])),ROWS($A$15:A22)+$B$3)),INDEX(orderHistory[status],SMALL(IF(ISNUMBER(MATCH(YEAR(orderHistory[invoice_date]),$D$15,0)),MATCH(ROW(orderHistory[customer]),ROW(orderHistory[customer])),""),ROWS($A$15:A22)+$B$3))),IF($D$15="",INDEX(orderHistory[status],SMALL(IF(ISNUMBER(MATCH(orderHistory[order_type],$D$13,0)),MATCH(ROW(orderHistory[customer]),ROW(orderHistory[customer])),""),ROWS($A$15:A22)+$B$3)),INDEX(orderHistory[status],SMALL(IF(ISNUMBER(MATCH(orderHistory[order_type],$D$13,0)*MATCH(YEAR(orderHistory[invoice_date]),$D$15,0)),MATCH(ROW(orderHistory[customer]),ROW(orderHistory[customer])),""),ROWS($A$15:A22)+$B$3)))),IF($D$13="",IF($D$15="",INDEX(orderHistory[status],SMALL(IF(ISNUMBER(MATCH(orderHistory[status],$D$11,0)),MATCH(ROW(orderHistory[customer]),ROW(orderHistory[customer])),""),ROWS($A$15:A22)+$B$3)),INDEX(orderHistory[status],SMALL(IF(ISNUMBER(MATCH(orderHistory[status],$D$11,0)*MATCH(YEAR(orderHistory[invoice_date]),$D$15,0)),MATCH(ROW(orderHistory[customer]),ROW(orderHistory[customer])),""),ROWS($A$15:A22)+$B$3))),IF($D$15="",INDEX(orderHistory[status],SMALL(IF(ISNUMBER(MATCH(orderHistory[status],$D$11,0)*MATCH(orderHistory[order_type],$D$13,0)),MATCH(ROW(orderHistory[customer]),ROW(orderHistory[customer])),""),ROWS($A$15:A22)+$B$3)),INDEX(orderHistory[status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status],SMALL(IF(ISNUMBER(MATCH(orderHistory[customer],$D$9,0)),MATCH(ROW(orderHistory[customer]),ROW(orderHistory[customer])),""),ROWS($A$15:A22)+$B$3)),INDEX(orderHistory[status],SMALL(IF(ISNUMBER(MATCH(orderHistory[customer],$D$9,0)*MATCH(YEAR(orderHistory[invoice_date]),$D$15,0)),MATCH(ROW(orderHistory[customer]),ROW(orderHistory[customer])),""),ROWS($A$15:A22)+$B$3))),IF($D$15="",INDEX(orderHistory[status],SMALL(IF(ISNUMBER(MATCH(orderHistory[customer],$D$9,0)*MATCH(orderHistory[order_type],$D$13,0)),MATCH(ROW(orderHistory[customer]),ROW(orderHistory[customer])),""),ROWS($A$15:A22)+$B$3)),INDEX(orderHistory[status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status],SMALL(IF(ISNUMBER(MATCH(orderHistory[customer],$D$9,0)*MATCH(orderHistory[status],$D$11,0)),MATCH(ROW(orderHistory[customer]),ROW(orderHistory[customer])),""),ROWS($A$15:A22)+$B$3)),INDEX(orderHistory[status],SMALL(IF(ISNUMBER(MATCH(orderHistory[customer],$D$9,0)*MATCH(orderHistory[status],$D$11,0)*MATCH(YEAR(orderHistory[status]),$D$15,0)),MATCH(ROW(orderHistory[customer]),ROW(orderHistory[customer])),""),ROWS($A$15:A22)+$B$3))),IF($D$15="",INDEX(orderHistory[status],SMALL(IF(ISNUMBER(MATCH(orderHistory[customer],$D$9,0)*MATCH(orderHistory[status],$D$11,0)*MATCH(orderHistory[order_type],$D$13,0)),MATCH(ROW(orderHistory[customer]),ROW(orderHistory[customer])),""),ROWS($A$15:A22)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SHIPPED</v>
      </c>
      <c r="W17" s="547" t="str">
        <f t="array" ref="W17">IFERROR(IF($D$9="",IF($D$11="",IF($D$13="",IF($D$15="",INDEX(orderHistory[custom_docs],SMALL(MATCH(ROW(orderHistory[customer]),ROW(orderHistory[customer])),ROWS($A$15:A22)+$B$3)),INDEX(orderHistory[custom_docs],SMALL(IF(ISNUMBER(MATCH(YEAR(orderHistory[invoice_date]),$D$15,0)),MATCH(ROW(orderHistory[customer]),ROW(orderHistory[customer])),""),ROWS($A$15:A22)+$B$3))),IF($D$15="",INDEX(orderHistory[custom_docs],SMALL(IF(ISNUMBER(MATCH(orderHistory[order_type],$D$13,0)),MATCH(ROW(orderHistory[customer]),ROW(orderHistory[customer])),""),ROWS($A$15:A22)+$B$3)),INDEX(orderHistory[custom_docs],SMALL(IF(ISNUMBER(MATCH(orderHistory[order_type],$D$13,0)*MATCH(YEAR(orderHistory[invoice_date]),$D$15,0)),MATCH(ROW(orderHistory[customer]),ROW(orderHistory[customer])),""),ROWS($A$15:A22)+$B$3)))),IF($D$13="",IF($D$15="",INDEX(orderHistory[custom_docs],SMALL(IF(ISNUMBER(MATCH(orderHistory[status],$D$11,0)),MATCH(ROW(orderHistory[customer]),ROW(orderHistory[customer])),""),ROWS($A$15:A22)+$B$3)),INDEX(orderHistory[custom_docs],SMALL(IF(ISNUMBER(MATCH(orderHistory[status],$D$11,0)*MATCH(YEAR(orderHistory[invoice_date]),$D$15,0)),MATCH(ROW(orderHistory[customer]),ROW(orderHistory[customer])),""),ROWS($A$15:A22)+$B$3))),IF($D$15="",INDEX(orderHistory[custom_docs],SMALL(IF(ISNUMBER(MATCH(orderHistory[status],$D$11,0)*MATCH(orderHistory[order_type],$D$13,0)),MATCH(ROW(orderHistory[customer]),ROW(orderHistory[customer])),""),ROWS($A$15:A22)+$B$3)),INDEX(orderHistory[custom_docs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custom_docs],SMALL(IF(ISNUMBER(MATCH(orderHistory[customer],$D$9,0)),MATCH(ROW(orderHistory[customer]),ROW(orderHistory[customer])),""),ROWS($A$15:A22)+$B$3)),INDEX(orderHistory[custom_docs],SMALL(IF(ISNUMBER(MATCH(orderHistory[customer],$D$9,0)*MATCH(YEAR(orderHistory[invoice_date]),$D$15,0)),MATCH(ROW(orderHistory[customer]),ROW(orderHistory[customer])),""),ROWS($A$15:A22)+$B$3))),IF($D$15="",INDEX(orderHistory[custom_docs],SMALL(IF(ISNUMBER(MATCH(orderHistory[customer],$D$9,0)*MATCH(orderHistory[order_type],$D$13,0)),MATCH(ROW(orderHistory[customer]),ROW(orderHistory[customer])),""),ROWS($A$15:A22)+$B$3)),INDEX(orderHistory[custom_docs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custom_docs],SMALL(IF(ISNUMBER(MATCH(orderHistory[customer],$D$9,0)*MATCH(orderHistory[status],$D$11,0)),MATCH(ROW(orderHistory[customer]),ROW(orderHistory[customer])),""),ROWS($A$15:A22)+$B$3)),INDEX(orderHistory[custom_docs],SMALL(IF(ISNUMBER(MATCH(orderHistory[customer],$D$9,0)*MATCH(orderHistory[status],$D$11,0)*MATCH(YEAR(orderHistory[status]),$D$15,0)),MATCH(ROW(orderHistory[customer]),ROW(orderHistory[customer])),""),ROWS($A$15:A22)+$B$3))),IF($D$15="",INDEX(orderHistory[custom_docs],SMALL(IF(ISNUMBER(MATCH(orderHistory[customer],$D$9,0)*MATCH(orderHistory[status],$D$11,0)*MATCH(orderHistory[order_type],$D$13,0)),MATCH(ROW(orderHistory[customer]),ROW(orderHistory[customer])),""),ROWS($A$15:A22)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OK</v>
      </c>
      <c r="AO17" s="273"/>
      <c r="AQ17" s="303"/>
      <c r="AR17" s="304"/>
      <c r="AS17" s="304"/>
      <c r="AT17" s="304"/>
      <c r="AU17" s="270"/>
      <c r="AW17" s="308"/>
      <c r="AX17" s="318"/>
      <c r="AZ17" s="330"/>
      <c r="BD17" s="328"/>
      <c r="BE17" s="276"/>
      <c r="BF17" s="276"/>
      <c r="BG17" s="329"/>
      <c r="BH17" s="276"/>
      <c r="BJ17" s="276"/>
      <c r="BK17" s="296"/>
      <c r="BL17" s="297"/>
      <c r="BM17" s="298"/>
      <c r="BN17" s="297"/>
      <c r="BO17" s="298"/>
      <c r="BX17" s="274"/>
      <c r="BZ17" s="412" t="s">
        <v>122</v>
      </c>
      <c r="CA17" s="401" t="str">
        <f>IFERROR(IF(BZ17="","",INDEX(bhpc_data[description],MATCH(BZ17,bhpc_data[sku],0))),"")</f>
        <v>BHPC PRESTIGE PASSION 100ML EDP WOMEN</v>
      </c>
      <c r="CB17" s="403">
        <v>48</v>
      </c>
      <c r="CC17" s="886">
        <v>15.849721162312886</v>
      </c>
      <c r="CD17" s="411"/>
      <c r="CE17" s="890"/>
      <c r="CF17" s="404"/>
      <c r="CG17" s="405">
        <f>IFERROR(ROUNDUP(CB17/INDEX(bhpc_data[units_per_carton],MATCH(BZ17,bhpc_data[sku],0)),0),"")</f>
        <v>2</v>
      </c>
      <c r="CH17" s="406">
        <f>IFERROR(ROUNDUP(CD17/INDEX(bhpc_data[units_per_carton],MATCH(BZ17,bhpc_data[sku],0)),0),"")</f>
        <v>0</v>
      </c>
      <c r="CI17" s="406" t="str">
        <f>IFERROR(ROUNDUP(CF17/INDEX(bhpc_data[units_per_carton],MATCH(BZ17,bhpc_data[sku])),0),"")</f>
        <v/>
      </c>
      <c r="CJ17" s="406">
        <f>IFERROR(((CB17+CD17+CF17)/INDEX(bhpc_data[units_per_carton],MATCH(BZ17,bhpc_data[sku],0)))*INDEX(bhpc_data[net_weight],MATCH(BZ17,bhpc_data[sku],0)),"")</f>
        <v>18.239999999999998</v>
      </c>
      <c r="CK17" s="406">
        <f>IFERROR(((CB17+CD17+CF17)/INDEX(bhpc_data[units_per_carton],MATCH(BZ17,bhpc_data[sku],0)))*INDEX(bhpc_data[gross_weight],MATCH(BZ17,bhpc_data[sku],0)),"")</f>
        <v>19</v>
      </c>
      <c r="CL17" s="602">
        <f>IFERROR((CB17+CD17+CF17)/INDEX(bhpc_data[units_per_carton],MATCH(BZ17,bhpc_data[sku],0))*INDEX(bhpc_data[length],MATCH(BZ17,bhpc_data[sku],0))*INDEX(bhpc_data[width],MATCH(BZ17,bhpc_data[sku],0))*INDEX(bhpc_data[height],MATCH(BZ17,bhpc_data[sku],0))/1000000000,"")</f>
        <v>3.5062500000000003E-2</v>
      </c>
      <c r="CM17" s="407" t="str">
        <f>IFERROR(INDEX(bhpc_data[category],MATCH(BZ17,bhpc_data[sku],0)),"")</f>
        <v>PRESTIGE</v>
      </c>
      <c r="CN17" s="407">
        <f>IFERROR(INDEX(bhpc_data[size],MATCH(BZ17,bhpc_data[sku],0)),"")</f>
        <v>100</v>
      </c>
      <c r="CO17" s="408" t="str">
        <f>IFERROR(INDEX(bhpc_data[hs_code],MATCH(BZ17,bhpc_data[sku],0)),"")</f>
        <v>33030010</v>
      </c>
      <c r="CP17" s="489" t="str">
        <f>IFERROR(INDEX(bhpc_data[sku_geko],MATCH(BZ17,bhpc_data[sku],0)),"")</f>
        <v>P06007</v>
      </c>
      <c r="CQ17" s="404"/>
      <c r="CR17" s="517">
        <f>IFERROR(IF(BZ17="","",IF($BX$15="SALE",INDEX(inventory[COSTO UNITARIO],MATCH(BZ17,inventory[SKU],0)),IF($BX$15="SAMPLING",INDEX(inventory[COSTO UNITARIO],MATCH(BZ17,inventory[SKU],0)),""))),"")</f>
        <v>11.68</v>
      </c>
      <c r="CS17" s="517">
        <f t="shared" si="3"/>
        <v>560.64</v>
      </c>
      <c r="CT17" s="896">
        <f t="shared" si="4"/>
        <v>760.78661579101845</v>
      </c>
      <c r="CU17" s="469" t="str">
        <f t="shared" si="0"/>
        <v>OK</v>
      </c>
      <c r="CW17" s="80"/>
      <c r="CX17" s="84" t="s">
        <v>565</v>
      </c>
      <c r="CY17" s="211">
        <f>IFERROR(CONCATENATE(ROUND(1/($CY$16/SUMIF($CF$10:$CF$110,"&lt;&gt;""",$CB$10:$CB$110)),1),":1"),0)</f>
        <v>0</v>
      </c>
      <c r="CZ17" s="84"/>
      <c r="DA17" s="76"/>
      <c r="DB17" s="77"/>
      <c r="DH17" s="215"/>
      <c r="EE17" s="439" t="str" cm="1">
        <f t="array" ref="EE17">IFERROR(IF($EC$9="",IF($EC$11="",IF($EC$13="",INDEX(bhpc_data[sku],SMALL(MATCH(ROW(bhpc_data[sku]),ROW(bhpc_data[sku])),ROWS($A$15:A22)+$B$3)),INDEX(bhpc_data[sku],SMALL(IF(ISNUMBER(MATCH(bhpc_data[size],$EC$13,0)),MATCH(ROW(bhpc_data[sku]),ROW(bhpc_data[sku])),""),ROWS($A$15:A22)+$B$3))),IF($EC$13="",INDEX(bhpc_data[sku],SMALL(IF(ISNUMBER(MATCH(bhpc_data[sex],$EC$11,0)),MATCH(ROW(bhpc_data[sku]),ROW(bhpc_data[sku])),""),ROWS($A$15:A22)+$B$3)),INDEX(bhpc_data[sku],SMALL(IF(ISNUMBER(MATCH(bhpc_data[sex],$EC$11,0)*MATCH(bhpc_data[size],$EC$13,0)),MATCH(ROW(bhpc_data[sku]),ROW(bhpc_data[sku])),""),ROWS($A$15:A22)+$B$3)))),IF($EC$11="",IF($EC$13="",INDEX(bhpc_data[sku],SMALL(IF(ISNUMBER(MATCH(bhpc_data[category],$EC$9,0)),MATCH(ROW(bhpc_data[sku]),ROW(bhpc_data[sku])),""),ROWS($A$15:A22)+$B$3)),INDEX(bhpc_data[sku],SMALL(IF(ISNUMBER(MATCH(bhpc_data[category],$EC$9,0)*MATCH(bhpc_data[size],$EC$13,0)),MATCH(ROW(bhpc_data[sku]),ROW(bhpc_data[sku])),""),ROWS($A$15:A22)+$B$3))),IF($EC$13="",INDEX(bhpc_data[sku],SMALL(IF(ISNUMBER(MATCH(bhpc_data[category],$EC$9,0)*MATCH(bhpc_data[sex],$EC$11,0)),MATCH(ROW(bhpc_data[sku]),ROW(bhpc_data[sku])),""),ROWS($A$15:A22)+$B$3)),INDEX(bhpc_data[sku],SMALL(IF(ISNUMBER(MATCH(bhpc_data[category],$EC$9,0)*MATCH(bhpc_data[sex],$EC$11,0)*MATCH(bhpc_data[size],$EC$13,0)),MATCH(ROW(bhpc_data[sku]),ROW(bhpc_data[sku])),""),ROWS($A$15:A22)+$B$3))))),"")</f>
        <v>P05011</v>
      </c>
      <c r="EF17" s="440" t="str" cm="1">
        <f t="array" ref="EF17">IFERROR(IF($EC$9="",IF($EC$11="",IF($EC$13="",INDEX(bhpc_data[description],SMALL(MATCH(ROW(bhpc_data[sku]),ROW(bhpc_data[sku])),ROWS($A$15:A22)+$B$3)),INDEX(bhpc_data[description],SMALL(IF(ISNUMBER(MATCH(bhpc_data[size],$EC$13,0)),MATCH(ROW(bhpc_data[sku]),ROW(bhpc_data[sku])),""),ROWS($A$15:A22)+$B$3))),IF($EC$13="",INDEX(bhpc_data[description],SMALL(IF(ISNUMBER(MATCH(bhpc_data[sex],$EC$11,0)),MATCH(ROW(bhpc_data[sku]),ROW(bhpc_data[sku])),""),ROWS($A$15:A22)+$B$3)),INDEX(bhpc_data[description],SMALL(IF(ISNUMBER(MATCH(bhpc_data[sex],$EC$11,0)*MATCH(bhpc_data[size],$EC$13,0)),MATCH(ROW(bhpc_data[sku]),ROW(bhpc_data[sku])),""),ROWS($A$15:A22)+$B$3)))),IF($EC$11="",IF($EC$13="",INDEX(bhpc_data[description],SMALL(IF(ISNUMBER(MATCH(bhpc_data[category],$EC$9,0)),MATCH(ROW(bhpc_data[sku]),ROW(bhpc_data[sku])),""),ROWS($A$15:A22)+$B$3)),INDEX(bhpc_data[description],SMALL(IF(ISNUMBER(MATCH(bhpc_data[category],$EC$9,0)*MATCH(bhpc_data[size],$EC$13,0)),MATCH(ROW(bhpc_data[sku]),ROW(bhpc_data[sku])),""),ROWS($A$15:A22)+$B$3))),IF($EC$13="",INDEX(bhpc_data[description],SMALL(IF(ISNUMBER(MATCH(bhpc_data[category],$EC$9,0)*MATCH(bhpc_data[sex],$EC$11,0)),MATCH(ROW(bhpc_data[sku]),ROW(bhpc_data[sku])),""),ROWS($A$15:A22)+$B$3)),INDEX(bhpc_data[description],SMALL(IF(ISNUMBER(MATCH(bhpc_data[category],$EC$9,0)*MATCH(bhpc_data[sex],$EC$11,0)*MATCH(bhpc_data[size],$EC$13,0)),MATCH(ROW(bhpc_data[sku]),ROW(bhpc_data[sku])),""),ROWS($A$15:A22)+$B$3))))),"")</f>
        <v>BHPC SPORT MEN 2 EDT 50ML</v>
      </c>
      <c r="EG17" s="441">
        <f>IFERROR(IF('BHPC MANAGER'!$EE17="","",INDEX(inventory[ESISTENZA],MATCH('BHPC MANAGER'!$EE17,inventory[SKU],0))),0)</f>
        <v>0</v>
      </c>
      <c r="EH17" s="442">
        <v>0</v>
      </c>
      <c r="EI17" s="442">
        <f t="shared" si="1"/>
        <v>0</v>
      </c>
      <c r="EJ17" s="443">
        <v>0</v>
      </c>
      <c r="EK17" s="444">
        <f t="shared" si="2"/>
        <v>0</v>
      </c>
      <c r="FD17" s="496"/>
      <c r="FF17" s="263"/>
      <c r="FG17" s="263"/>
      <c r="FH17" s="497"/>
      <c r="FI17" s="263"/>
      <c r="FJ17" s="496"/>
      <c r="FL17" s="263"/>
      <c r="FM17" s="263"/>
      <c r="FN17" s="497"/>
      <c r="FO17" s="263"/>
      <c r="FP17" s="263"/>
      <c r="FQ17" s="263"/>
      <c r="FR17" s="263"/>
      <c r="FS17" s="263"/>
      <c r="FT17" s="263"/>
      <c r="FU17" s="263"/>
      <c r="FV17" s="263"/>
      <c r="FW17" s="263"/>
      <c r="FX17" s="263"/>
      <c r="FY17" s="263"/>
      <c r="FZ17" s="263"/>
      <c r="GA17" s="263"/>
      <c r="GB17" s="263"/>
      <c r="GC17" s="263"/>
      <c r="GD17" s="263"/>
      <c r="GE17" s="263"/>
      <c r="GF17" s="263"/>
      <c r="GG17" s="263"/>
      <c r="GH17" s="263"/>
      <c r="GI17" s="263"/>
      <c r="GJ17" s="263"/>
      <c r="GK17" s="263"/>
      <c r="GL17" s="263"/>
      <c r="GM17" s="263"/>
      <c r="GN17" s="263"/>
      <c r="GO17" s="263"/>
      <c r="GP17" s="263"/>
      <c r="GQ17" s="263"/>
      <c r="GR17" s="263"/>
      <c r="GS17" s="263"/>
      <c r="GT17" s="263"/>
      <c r="GU17" s="263"/>
      <c r="GV17" s="263"/>
      <c r="GW17" s="263"/>
      <c r="GX17" s="263"/>
      <c r="GY17" s="263"/>
      <c r="GZ17" s="263"/>
      <c r="HA17" s="263"/>
      <c r="HB17" s="263"/>
      <c r="HC17" s="263"/>
      <c r="HD17" s="263"/>
      <c r="HE17" s="263"/>
      <c r="HF17" s="263"/>
      <c r="HG17" s="263"/>
      <c r="HH17" s="263"/>
      <c r="HI17" s="263"/>
      <c r="HJ17" s="263"/>
      <c r="HK17" s="263"/>
      <c r="HL17" s="263"/>
      <c r="HM17" s="263"/>
      <c r="HN17" s="263"/>
      <c r="HO17" s="263"/>
      <c r="HP17" s="263"/>
      <c r="HQ17" s="263"/>
      <c r="HR17" s="263"/>
      <c r="HS17" s="263"/>
      <c r="HT17" s="263"/>
    </row>
    <row r="18" spans="1:228" ht="15" customHeight="1" x14ac:dyDescent="0.35">
      <c r="A18" s="142" t="s">
        <v>584</v>
      </c>
      <c r="B18" s="143"/>
      <c r="F18" s="89"/>
      <c r="G18" s="848" t="str">
        <f>IFERROR(INDEX(clientData[payment_method],MATCH($B$6,clientData[cod_cliente],0)),"")</f>
        <v>90 DAYS DATE OF INVOICE</v>
      </c>
      <c r="H18" s="849"/>
      <c r="I18" s="850"/>
      <c r="J18" s="77"/>
      <c r="L18" s="381" t="str">
        <f t="array" ref="L18">IFERROR(IF($D$9="",IF($D$11="",IF($D$13="",IF($D$15="",INDEX(orderHistory[customer],SMALL(MATCH(ROW(orderHistory[customer]),ROW(orderHistory[customer])),ROWS($A$15:A23)+$B$3)),INDEX(orderHistory[customer],SMALL(IF(ISNUMBER(MATCH(YEAR(orderHistory[invoice_date]),$D$15,0)),MATCH(ROW(orderHistory[customer]),ROW(orderHistory[customer])),""),ROWS($A$15:A23)+$B$3))),IF($D$15="",INDEX(orderHistory[customer],SMALL(IF(ISNUMBER(MATCH(orderHistory[order_type],$D$13,0)),MATCH(ROW(orderHistory[customer]),ROW(orderHistory[customer])),""),ROWS($A$15:A23)+$B$3)),INDEX(orderHistory[customer],SMALL(IF(ISNUMBER(MATCH(orderHistory[order_type],$D$13,0)*MATCH(YEAR(orderHistory[invoice_date]),$D$15,0)),MATCH(ROW(orderHistory[customer]),ROW(orderHistory[customer])),""),ROWS($A$15:A23)+$B$3)))),IF($D$13="",IF($D$15="",INDEX(orderHistory[customer],SMALL(IF(ISNUMBER(MATCH(orderHistory[status],$D$11,0)),MATCH(ROW(orderHistory[customer]),ROW(orderHistory[customer])),""),ROWS($A$15:A23)+$B$3)),INDEX(orderHistory[customer],SMALL(IF(ISNUMBER(MATCH(orderHistory[status],$D$11,0)*MATCH(YEAR(orderHistory[invoice_date]),$D$15,0)),MATCH(ROW(orderHistory[customer]),ROW(orderHistory[customer])),""),ROWS($A$15:A23)+$B$3))),IF($D$15="",INDEX(orderHistory[customer],SMALL(IF(ISNUMBER(MATCH(orderHistory[status],$D$11,0)*MATCH(orderHistory[order_type],$D$13,0)),MATCH(ROW(orderHistory[customer]),ROW(orderHistory[customer])),""),ROWS($A$15:A23)+$B$3)),INDEX(orderHistory[customer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customer],SMALL(IF(ISNUMBER(MATCH(orderHistory[customer],$D$9,0)),MATCH(ROW(orderHistory[customer]),ROW(orderHistory[customer])),""),ROWS($A$15:A23)+$B$3)),INDEX(orderHistory[customer],SMALL(IF(ISNUMBER(MATCH(orderHistory[customer],$D$9,0)*MATCH(YEAR(orderHistory[invoice_date]),$D$15,0)),MATCH(ROW(orderHistory[customer]),ROW(orderHistory[customer])),""),ROWS($A$15:A23)+$B$3))),IF($D$15="",INDEX(orderHistory[customer],SMALL(IF(ISNUMBER(MATCH(orderHistory[customer],$D$9,0)*MATCH(orderHistory[order_type],$D$13,0)),MATCH(ROW(orderHistory[customer]),ROW(orderHistory[customer])),""),ROWS($A$15:A23)+$B$3)),INDEX(orderHistory[customer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customer],SMALL(IF(ISNUMBER(MATCH(orderHistory[customer],$D$9,0)*MATCH(orderHistory[status],$D$11,0)),MATCH(ROW(orderHistory[customer]),ROW(orderHistory[customer])),""),ROWS($A$15:A23)+$B$3)),INDEX(orderHistory[customer],SMALL(IF(ISNUMBER(MATCH(orderHistory[customer],$D$9,0)*MATCH(orderHistory[status],$D$11,0)*MATCH(YEAR(orderHistory[invoice_date]),$D$15,0)),MATCH(ROW(orderHistory[customer]),ROW(orderHistory[customer])),""),ROWS($A$15:A23)+$B$3))),IF($D$15="",INDEX(orderHistory[customer],SMALL(IF(ISNUMBER(MATCH(orderHistory[customer],$D$9,0)*MATCH(orderHistory[status],$D$11,0)*MATCH(orderHistory[order_type],$D$13,0)),MATCH(ROW(orderHistory[customer]),ROW(orderHistory[customer])),""),ROWS($A$15:A23)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PER SCENT</v>
      </c>
      <c r="M18" s="382">
        <f t="array" ref="M18">IFERROR(IF($D$9="",IF($D$11="",IF($D$13="",IF($D$15="",INDEX(orderHistory[order_no],SMALL(MATCH(ROW(orderHistory[customer]),ROW(orderHistory[customer])),ROWS($A$15:A23)+$B$3)),INDEX(orderHistory[order_no],SMALL(IF(ISNUMBER(MATCH(YEAR(orderHistory[invoice_date]),$D$15,0)),MATCH(ROW(orderHistory[customer]),ROW(orderHistory[customer])),""),ROWS($A$15:A23)+$B$3))),IF($D$15="",INDEX(orderHistory[order_no],SMALL(IF(ISNUMBER(MATCH(orderHistory[order_type],$D$13,0)),MATCH(ROW(orderHistory[customer]),ROW(orderHistory[customer])),""),ROWS($A$15:A23)+$B$3)),INDEX(orderHistory[order_no],SMALL(IF(ISNUMBER(MATCH(orderHistory[order_type],$D$13,0)*MATCH(YEAR(orderHistory[invoice_date]),$D$15,0)),MATCH(ROW(orderHistory[customer]),ROW(orderHistory[customer])),""),ROWS($A$15:A23)+$B$3)))),IF($D$13="",IF($D$15="",INDEX(orderHistory[order_no],SMALL(IF(ISNUMBER(MATCH(orderHistory[status],$D$11,0)),MATCH(ROW(orderHistory[customer]),ROW(orderHistory[customer])),""),ROWS($A$15:A23)+$B$3)),INDEX(orderHistory[order_no],SMALL(IF(ISNUMBER(MATCH(orderHistory[status],$D$11,0)*MATCH(YEAR(orderHistory[invoice_date]),$D$15,0)),MATCH(ROW(orderHistory[customer]),ROW(orderHistory[customer])),""),ROWS($A$15:A23)+$B$3))),IF($D$15="",INDEX(orderHistory[order_no],SMALL(IF(ISNUMBER(MATCH(orderHistory[status],$D$11,0)*MATCH(orderHistory[order_type],$D$13,0)),MATCH(ROW(orderHistory[customer]),ROW(orderHistory[customer])),""),ROWS($A$15:A23)+$B$3)),INDEX(orderHistory[order_no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order_no],SMALL(IF(ISNUMBER(MATCH(orderHistory[customer],$D$9,0)),MATCH(ROW(orderHistory[customer]),ROW(orderHistory[customer])),""),ROWS($A$15:A23)+$B$3)),INDEX(orderHistory[order_no],SMALL(IF(ISNUMBER(MATCH(orderHistory[customer],$D$9,0)*MATCH(YEAR(orderHistory[invoice_date]),$D$15,0)),MATCH(ROW(orderHistory[customer]),ROW(orderHistory[customer])),""),ROWS($A$15:A23)+$B$3))),IF($D$15="",INDEX(orderHistory[order_no],SMALL(IF(ISNUMBER(MATCH(orderHistory[customer],$D$9,0)*MATCH(orderHistory[order_type],$D$13,0)),MATCH(ROW(orderHistory[customer]),ROW(orderHistory[customer])),""),ROWS($A$15:A23)+$B$3)),INDEX(orderHistory[order_no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order_no],SMALL(IF(ISNUMBER(MATCH(orderHistory[customer],$D$9,0)*MATCH(orderHistory[status],$D$11,0)),MATCH(ROW(orderHistory[customer]),ROW(orderHistory[customer])),""),ROWS($A$15:A23)+$B$3)),INDEX(orderHistory[order_no],SMALL(IF(ISNUMBER(MATCH(orderHistory[customer],$D$9,0)*MATCH(orderHistory[status],$D$11,0)*MATCH(YEAR(orderHistory[invoice_date]),$D$15,0)),MATCH(ROW(orderHistory[customer]),ROW(orderHistory[customer])),""),ROWS($A$15:A23)+$B$3))),IF($D$15="",INDEX(orderHistory[order_no],SMALL(IF(ISNUMBER(MATCH(orderHistory[customer],$D$9,0)*MATCH(orderHistory[status],$D$11,0)*MATCH(orderHistory[order_type],$D$13,0)),MATCH(ROW(orderHistory[customer]),ROW(orderHistory[customer])),""),ROWS($A$15:A23)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85</v>
      </c>
      <c r="N18" s="383" t="str">
        <f t="array" ref="N18">IFERROR(IF($D$9="",IF($D$11="",IF($D$13="",IF($D$15="",INDEX(orderHistory[order_type],SMALL(MATCH(ROW(orderHistory[customer]),ROW(orderHistory[customer])),ROWS($A$15:A23)+$B$3)),INDEX(orderHistory[order_type],SMALL(IF(ISNUMBER(MATCH(YEAR(orderHistory[invoice_date]),$D$15,0)),MATCH(ROW(orderHistory[customer]),ROW(orderHistory[customer])),""),ROWS($A$15:A23)+$B$3))),IF($D$15="",INDEX(orderHistory[order_type],SMALL(IF(ISNUMBER(MATCH(orderHistory[order_type],$D$13,0)),MATCH(ROW(orderHistory[customer]),ROW(orderHistory[customer])),""),ROWS($A$15:A23)+$B$3)),INDEX(orderHistory[order_type],SMALL(IF(ISNUMBER(MATCH(orderHistory[order_type],$D$13,0)*MATCH(YEAR(orderHistory[invoice_date]),$D$15,0)),MATCH(ROW(orderHistory[customer]),ROW(orderHistory[customer])),""),ROWS($A$15:A23)+$B$3)))),IF($D$13="",IF($D$15="",INDEX(orderHistory[order_type],SMALL(IF(ISNUMBER(MATCH(orderHistory[status],$D$11,0)),MATCH(ROW(orderHistory[customer]),ROW(orderHistory[customer])),""),ROWS($A$15:A23)+$B$3)),INDEX(orderHistory[order_type],SMALL(IF(ISNUMBER(MATCH(orderHistory[status],$D$11,0)*MATCH(YEAR(orderHistory[invoice_date]),$D$15,0)),MATCH(ROW(orderHistory[customer]),ROW(orderHistory[customer])),""),ROWS($A$15:A23)+$B$3))),IF($D$15="",INDEX(orderHistory[order_type],SMALL(IF(ISNUMBER(MATCH(orderHistory[status],$D$11,0)*MATCH(orderHistory[order_type],$D$13,0)),MATCH(ROW(orderHistory[customer]),ROW(orderHistory[customer])),""),ROWS($A$15:A23)+$B$3)),INDEX(orderHistory[order_type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order_type],SMALL(IF(ISNUMBER(MATCH(orderHistory[customer],$D$9,0)),MATCH(ROW(orderHistory[customer]),ROW(orderHistory[customer])),""),ROWS($A$15:A23)+$B$3)),INDEX(orderHistory[order_type],SMALL(IF(ISNUMBER(MATCH(orderHistory[customer],$D$9,0)*MATCH(YEAR(orderHistory[invoice_date]),$D$15,0)),MATCH(ROW(orderHistory[customer]),ROW(orderHistory[customer])),""),ROWS($A$15:A23)+$B$3))),IF($D$15="",INDEX(orderHistory[order_type],SMALL(IF(ISNUMBER(MATCH(orderHistory[customer],$D$9,0)*MATCH(orderHistory[order_type],$D$13,0)),MATCH(ROW(orderHistory[customer]),ROW(orderHistory[customer])),""),ROWS($A$15:A23)+$B$3)),INDEX(orderHistory[order_type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order_type],SMALL(IF(ISNUMBER(MATCH(orderHistory[customer],$D$9,0)*MATCH(orderHistory[status],$D$11,0)),MATCH(ROW(orderHistory[customer]),ROW(orderHistory[customer])),""),ROWS($A$15:A23)+$B$3)),INDEX(orderHistory[order_type],SMALL(IF(ISNUMBER(MATCH(orderHistory[customer],$D$9,0)*MATCH(orderHistory[status],$D$11,0)*MATCH(YEAR(orderHistory[invoice_date]),$D$15,0)),MATCH(ROW(orderHistory[customer]),ROW(orderHistory[customer])),""),ROWS($A$15:A23)+$B$3))),IF($D$15="",INDEX(orderHistory[order_type],SMALL(IF(ISNUMBER(MATCH(orderHistory[customer],$D$9,0)*MATCH(orderHistory[status],$D$11,0)*MATCH(orderHistory[order_type],$D$13,0)),MATCH(ROW(orderHistory[customer]),ROW(orderHistory[customer])),""),ROWS($A$15:A23)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SALE</v>
      </c>
      <c r="O18" s="384">
        <f t="array" ref="O18">IFERROR(IF($D$9="",IF($D$11="",IF($D$13="",IF($D$15="",INDEX(orderHistory[order_date],SMALL(MATCH(ROW(orderHistory[customer]),ROW(orderHistory[customer])),ROWS($A$15:A23)+$B$3)),INDEX(orderHistory[order_date],SMALL(IF(ISNUMBER(MATCH(YEAR(orderHistory[invoice_date]),$D$15,0)),MATCH(ROW(orderHistory[customer]),ROW(orderHistory[customer])),""),ROWS($A$15:A23)+$B$3))),IF($D$15="",INDEX(orderHistory[order_date],SMALL(IF(ISNUMBER(MATCH(orderHistory[order_type],$D$13,0)),MATCH(ROW(orderHistory[customer]),ROW(orderHistory[customer])),""),ROWS($A$15:A23)+$B$3)),INDEX(orderHistory[order_date],SMALL(IF(ISNUMBER(MATCH(orderHistory[order_type],$D$13,0)*MATCH(YEAR(orderHistory[invoice_date]),$D$15,0)),MATCH(ROW(orderHistory[customer]),ROW(orderHistory[customer])),""),ROWS($A$15:A23)+$B$3)))),IF($D$13="",IF($D$15="",INDEX(orderHistory[order_date],SMALL(IF(ISNUMBER(MATCH(orderHistory[status],$D$11,0)),MATCH(ROW(orderHistory[customer]),ROW(orderHistory[customer])),""),ROWS($A$15:A23)+$B$3)),INDEX(orderHistory[order_date],SMALL(IF(ISNUMBER(MATCH(orderHistory[status],$D$11,0)*MATCH(YEAR(orderHistory[invoice_date]),$D$15,0)),MATCH(ROW(orderHistory[customer]),ROW(orderHistory[customer])),""),ROWS($A$15:A23)+$B$3))),IF($D$15="",INDEX(orderHistory[order_date],SMALL(IF(ISNUMBER(MATCH(orderHistory[status],$D$11,0)*MATCH(orderHistory[order_type],$D$13,0)),MATCH(ROW(orderHistory[customer]),ROW(orderHistory[customer])),""),ROWS($A$15:A23)+$B$3)),INDEX(orderHistory[order_date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order_date],SMALL(IF(ISNUMBER(MATCH(orderHistory[customer],$D$9,0)),MATCH(ROW(orderHistory[customer]),ROW(orderHistory[customer])),""),ROWS($A$15:A23)+$B$3)),INDEX(orderHistory[order_date],SMALL(IF(ISNUMBER(MATCH(orderHistory[customer],$D$9,0)*MATCH(YEAR(orderHistory[invoice_date]),$D$15,0)),MATCH(ROW(orderHistory[customer]),ROW(orderHistory[customer])),""),ROWS($A$15:A23)+$B$3))),IF($D$15="",INDEX(orderHistory[order_date],SMALL(IF(ISNUMBER(MATCH(orderHistory[customer],$D$9,0)*MATCH(orderHistory[order_type],$D$13,0)),MATCH(ROW(orderHistory[customer]),ROW(orderHistory[customer])),""),ROWS($A$15:A23)+$B$3)),INDEX(orderHistory[order_date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order_date],SMALL(IF(ISNUMBER(MATCH(orderHistory[customer],$D$9,0)*MATCH(orderHistory[status],$D$11,0)),MATCH(ROW(orderHistory[customer]),ROW(orderHistory[customer])),""),ROWS($A$15:A23)+$B$3)),INDEX(orderHistory[order_date],SMALL(IF(ISNUMBER(MATCH(orderHistory[customer],$D$9,0)*MATCH(orderHistory[status],$D$11,0)*MATCH(YEAR(orderHistory[invoice_date]),$D$15,0)),MATCH(ROW(orderHistory[customer]),ROW(orderHistory[customer])),""),ROWS($A$15:A23)+$B$3))),IF($D$15="",INDEX(orderHistory[order_date],SMALL(IF(ISNUMBER(MATCH(orderHistory[customer],$D$9,0)*MATCH(orderHistory[status],$D$11,0)*MATCH(orderHistory[order_type],$D$13,0)),MATCH(ROW(orderHistory[customer]),ROW(orderHistory[customer])),""),ROWS($A$15:A23)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45512</v>
      </c>
      <c r="P18" s="385" t="str">
        <f t="array" ref="P18">IFERROR(IF($D$9="",IF($D$11="",IF($D$13="",IF($D$15="",INDEX(orderHistory[invoice_no],SMALL(MATCH(ROW(orderHistory[customer]),ROW(orderHistory[customer])),ROWS($A$15:A23)+$B$3)),INDEX(orderHistory[invoice_no],SMALL(IF(ISNUMBER(MATCH(YEAR(orderHistory[invoice_date]),$D$15,0)),MATCH(ROW(orderHistory[customer]),ROW(orderHistory[customer])),""),ROWS($A$15:A23)+$B$3))),IF($D$15="",INDEX(orderHistory[invoice_no],SMALL(IF(ISNUMBER(MATCH(orderHistory[order_type],$D$13,0)),MATCH(ROW(orderHistory[customer]),ROW(orderHistory[customer])),""),ROWS($A$15:A23)+$B$3)),INDEX(orderHistory[invoice_no],SMALL(IF(ISNUMBER(MATCH(orderHistory[order_type],$D$13,0)*MATCH(YEAR(orderHistory[invoice_date]),$D$15,0)),MATCH(ROW(orderHistory[customer]),ROW(orderHistory[customer])),""),ROWS($A$15:A23)+$B$3)))),IF($D$13="",IF($D$15="",INDEX(orderHistory[invoice_no],SMALL(IF(ISNUMBER(MATCH(orderHistory[status],$D$11,0)),MATCH(ROW(orderHistory[customer]),ROW(orderHistory[customer])),""),ROWS($A$15:A23)+$B$3)),INDEX(orderHistory[invoice_no],SMALL(IF(ISNUMBER(MATCH(orderHistory[status],$D$11,0)*MATCH(YEAR(orderHistory[invoice_date]),$D$15,0)),MATCH(ROW(orderHistory[customer]),ROW(orderHistory[customer])),""),ROWS($A$15:A23)+$B$3))),IF($D$15="",INDEX(orderHistory[invoice_no],SMALL(IF(ISNUMBER(MATCH(orderHistory[status],$D$11,0)*MATCH(orderHistory[order_type],$D$13,0)),MATCH(ROW(orderHistory[customer]),ROW(orderHistory[customer])),""),ROWS($A$15:A23)+$B$3)),INDEX(orderHistory[invoice_no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invoice_no],SMALL(IF(ISNUMBER(MATCH(orderHistory[customer],$D$9,0)),MATCH(ROW(orderHistory[customer]),ROW(orderHistory[customer])),""),ROWS($A$15:A23)+$B$3)),INDEX(orderHistory[invoice_no],SMALL(IF(ISNUMBER(MATCH(orderHistory[customer],$D$9,0)*MATCH(YEAR(orderHistory[invoice_date]),$D$15,0)),MATCH(ROW(orderHistory[customer]),ROW(orderHistory[customer])),""),ROWS($A$15:A23)+$B$3))),IF($D$15="",INDEX(orderHistory[invoice_no],SMALL(IF(ISNUMBER(MATCH(orderHistory[customer],$D$9,0)*MATCH(orderHistory[order_type],$D$13,0)),MATCH(ROW(orderHistory[customer]),ROW(orderHistory[customer])),""),ROWS($A$15:A23)+$B$3)),INDEX(orderHistory[invoice_no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invoice_no],SMALL(IF(ISNUMBER(MATCH(orderHistory[customer],$D$9,0)*MATCH(orderHistory[status],$D$11,0)),MATCH(ROW(orderHistory[customer]),ROW(orderHistory[customer])),""),ROWS($A$15:A23)+$B$3)),INDEX(orderHistory[invoice_no],SMALL(IF(ISNUMBER(MATCH(orderHistory[customer],$D$9,0)*MATCH(orderHistory[status],$D$11,0)*MATCH(YEAR(orderHistory[invoice_date]),$D$15,0)),MATCH(ROW(orderHistory[customer]),ROW(orderHistory[customer])),""),ROWS($A$15:A23)+$B$3))),IF($D$15="",INDEX(orderHistory[invoice_no],SMALL(IF(ISNUMBER(MATCH(orderHistory[customer],$D$9,0)*MATCH(orderHistory[status],$D$11,0)*MATCH(orderHistory[order_type],$D$13,0)),MATCH(ROW(orderHistory[customer]),ROW(orderHistory[customer])),""),ROWS($A$15:A23)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308</v>
      </c>
      <c r="Q18" s="386">
        <f t="array" ref="Q18">IFERROR(IF($D$9="",IF($D$11="",IF($D$13="",IF($D$15="",INDEX(orderHistory[invoice_date],SMALL(MATCH(ROW(orderHistory[customer]),ROW(orderHistory[customer])),ROWS($A$15:A23)+$B$3)),INDEX(orderHistory[invoice_date],SMALL(IF(ISNUMBER(MATCH(YEAR(orderHistory[invoice_date]),$D$15,0)),MATCH(ROW(orderHistory[customer]),ROW(orderHistory[customer])),""),ROWS($A$15:A23)+$B$3))),IF($D$15="",INDEX(orderHistory[invoice_date],SMALL(IF(ISNUMBER(MATCH(orderHistory[order_type],$D$13,0)),MATCH(ROW(orderHistory[customer]),ROW(orderHistory[customer])),""),ROWS($A$15:A23)+$B$3)),INDEX(orderHistory[invoice_date],SMALL(IF(ISNUMBER(MATCH(orderHistory[order_type],$D$13,0)*MATCH(YEAR(orderHistory[invoice_date]),$D$15,0)),MATCH(ROW(orderHistory[customer]),ROW(orderHistory[customer])),""),ROWS($A$15:A23)+$B$3)))),IF($D$13="",IF($D$15="",INDEX(orderHistory[invoice_date],SMALL(IF(ISNUMBER(MATCH(orderHistory[status],$D$11,0)),MATCH(ROW(orderHistory[customer]),ROW(orderHistory[customer])),""),ROWS($A$15:A23)+$B$3)),INDEX(orderHistory[invoice_date],SMALL(IF(ISNUMBER(MATCH(orderHistory[status],$D$11,0)*MATCH(YEAR(orderHistory[invoice_date]),$D$15,0)),MATCH(ROW(orderHistory[customer]),ROW(orderHistory[customer])),""),ROWS($A$15:A23)+$B$3))),IF($D$15="",INDEX(orderHistory[invoice_date],SMALL(IF(ISNUMBER(MATCH(orderHistory[status],$D$11,0)*MATCH(orderHistory[order_type],$D$13,0)),MATCH(ROW(orderHistory[customer]),ROW(orderHistory[customer])),""),ROWS($A$15:A23)+$B$3)),INDEX(orderHistory[invoice_date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invoice_date],SMALL(IF(ISNUMBER(MATCH(orderHistory[customer],$D$9,0)),MATCH(ROW(orderHistory[customer]),ROW(orderHistory[customer])),""),ROWS($A$15:A23)+$B$3)),INDEX(orderHistory[invoice_date],SMALL(IF(ISNUMBER(MATCH(orderHistory[customer],$D$9,0)*MATCH(YEAR(orderHistory[invoice_date]),$D$15,0)),MATCH(ROW(orderHistory[customer]),ROW(orderHistory[customer])),""),ROWS($A$15:A23)+$B$3))),IF($D$15="",INDEX(orderHistory[invoice_date],SMALL(IF(ISNUMBER(MATCH(orderHistory[customer],$D$9,0)*MATCH(orderHistory[order_type],$D$13,0)),MATCH(ROW(orderHistory[customer]),ROW(orderHistory[customer])),""),ROWS($A$15:A23)+$B$3)),INDEX(orderHistory[invoice_date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invoice_date],SMALL(IF(ISNUMBER(MATCH(orderHistory[customer],$D$9,0)*MATCH(orderHistory[status],$D$11,0)),MATCH(ROW(orderHistory[customer]),ROW(orderHistory[customer])),""),ROWS($A$15:A23)+$B$3)),INDEX(orderHistory[invoice_date],SMALL(IF(ISNUMBER(MATCH(orderHistory[customer],$D$9,0)*MATCH(orderHistory[status],$D$11,0)*MATCH(YEAR(orderHistory[invoice_date]),$D$15,0)),MATCH(ROW(orderHistory[customer]),ROW(orderHistory[customer])),""),ROWS($A$15:A23)+$B$3))),IF($D$15="",INDEX(orderHistory[invoice_date],SMALL(IF(ISNUMBER(MATCH(orderHistory[customer],$D$9,0)*MATCH(orderHistory[status],$D$11,0)*MATCH(orderHistory[order_type],$D$13,0)),MATCH(ROW(orderHistory[customer]),ROW(orderHistory[customer])),""),ROWS($A$15:A23)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45533</v>
      </c>
      <c r="R18" s="387">
        <f t="array" ref="R18">IFERROR(IF($D$9="",IF($D$11="",IF($D$13="",IF($D$15="",INDEX(orderHistory[inv_amount],SMALL(MATCH(ROW(orderHistory[customer]),ROW(orderHistory[customer])),ROWS($A$15:A23)+$B$3)),INDEX(orderHistory[inv_amount],SMALL(IF(ISNUMBER(MATCH(YEAR(orderHistory[invoice_date]),$D$15,0)),MATCH(ROW(orderHistory[customer]),ROW(orderHistory[customer])),""),ROWS($A$15:A23)+$B$3))),IF($D$15="",INDEX(orderHistory[inv_amount],SMALL(IF(ISNUMBER(MATCH(orderHistory[order_type],$D$13,0)),MATCH(ROW(orderHistory[customer]),ROW(orderHistory[customer])),""),ROWS($A$15:A23)+$B$3)),INDEX(orderHistory[inv_amount],SMALL(IF(ISNUMBER(MATCH(orderHistory[order_type],$D$13,0)*MATCH(YEAR(orderHistory[invoice_date]),$D$15,0)),MATCH(ROW(orderHistory[customer]),ROW(orderHistory[customer])),""),ROWS($A$15:A23)+$B$3)))),IF($D$13="",IF($D$15="",INDEX(orderHistory[inv_amount],SMALL(IF(ISNUMBER(MATCH(orderHistory[status],$D$11,0)),MATCH(ROW(orderHistory[customer]),ROW(orderHistory[customer])),""),ROWS($A$15:A23)+$B$3)),INDEX(orderHistory[inv_amount],SMALL(IF(ISNUMBER(MATCH(orderHistory[status],$D$11,0)*MATCH(YEAR(orderHistory[invoice_date]),$D$15,0)),MATCH(ROW(orderHistory[customer]),ROW(orderHistory[customer])),""),ROWS($A$15:A23)+$B$3))),IF($D$15="",INDEX(orderHistory[inv_amount],SMALL(IF(ISNUMBER(MATCH(orderHistory[status],$D$11,0)*MATCH(orderHistory[order_type],$D$13,0)),MATCH(ROW(orderHistory[customer]),ROW(orderHistory[customer])),""),ROWS($A$15:A23)+$B$3)),INDEX(orderHistory[inv_amount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inv_amount],SMALL(IF(ISNUMBER(MATCH(orderHistory[customer],$D$9,0)),MATCH(ROW(orderHistory[customer]),ROW(orderHistory[customer])),""),ROWS($A$15:A23)+$B$3)),INDEX(orderHistory[inv_amount],SMALL(IF(ISNUMBER(MATCH(orderHistory[customer],$D$9,0)*MATCH(YEAR(orderHistory[invoice_date]),$D$15,0)),MATCH(ROW(orderHistory[customer]),ROW(orderHistory[customer])),""),ROWS($A$15:A23)+$B$3))),IF($D$15="",INDEX(orderHistory[inv_amount],SMALL(IF(ISNUMBER(MATCH(orderHistory[customer],$D$9,0)*MATCH(orderHistory[order_type],$D$13,0)),MATCH(ROW(orderHistory[customer]),ROW(orderHistory[customer])),""),ROWS($A$15:A23)+$B$3)),INDEX(orderHistory[inv_amount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inv_amount],SMALL(IF(ISNUMBER(MATCH(orderHistory[customer],$D$9,0)*MATCH(orderHistory[status],$D$11,0)),MATCH(ROW(orderHistory[customer]),ROW(orderHistory[customer])),""),ROWS($A$15:A23)+$B$3)),INDEX(orderHistory[inv_amount],SMALL(IF(ISNUMBER(MATCH(orderHistory[customer],$D$9,0)*MATCH(orderHistory[status],$D$11,0)*MATCH(YEAR(orderHistory[inv_amount]),$D$15,0)),MATCH(ROW(orderHistory[customer]),ROW(orderHistory[customer])),""),ROWS($A$15:A23)+$B$3))),IF($D$15="",INDEX(orderHistory[inv_amount],SMALL(IF(ISNUMBER(MATCH(orderHistory[customer],$D$9,0)*MATCH(orderHistory[status],$D$11,0)*MATCH(orderHistory[order_type],$D$13,0)),MATCH(ROW(orderHistory[customer]),ROW(orderHistory[customer])),""),ROWS($A$15:A23)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25393.525393525393</v>
      </c>
      <c r="S18" s="465" t="str">
        <f t="array" ref="S18">IFERROR(IF($D$9="",IF($D$11="",IF($D$13="",IF($D$15="",INDEX(orderHistory[lock_goods],SMALL(MATCH(ROW(orderHistory[customer]),ROW(orderHistory[customer])),ROWS($A$15:A23)+$B$3)),INDEX(orderHistory[lock_goods],SMALL(IF(ISNUMBER(MATCH(YEAR(orderHistory[invoice_date]),$D$15,0)),MATCH(ROW(orderHistory[customer]),ROW(orderHistory[customer])),""),ROWS($A$15:A23)+$B$3))),IF($D$15="",INDEX(orderHistory[lock_goods],SMALL(IF(ISNUMBER(MATCH(orderHistory[order_type],$D$13,0)),MATCH(ROW(orderHistory[customer]),ROW(orderHistory[customer])),""),ROWS($A$15:A23)+$B$3)),INDEX(orderHistory[lock_goods],SMALL(IF(ISNUMBER(MATCH(orderHistory[order_type],$D$13,0)*MATCH(YEAR(orderHistory[invoice_date]),$D$15,0)),MATCH(ROW(orderHistory[customer]),ROW(orderHistory[customer])),""),ROWS($A$15:A23)+$B$3)))),IF($D$13="",IF($D$15="",INDEX(orderHistory[lock_goods],SMALL(IF(ISNUMBER(MATCH(orderHistory[status],$D$11,0)),MATCH(ROW(orderHistory[customer]),ROW(orderHistory[customer])),""),ROWS($A$15:A23)+$B$3)),INDEX(orderHistory[lock_goods],SMALL(IF(ISNUMBER(MATCH(orderHistory[status],$D$11,0)*MATCH(YEAR(orderHistory[invoice_date]),$D$15,0)),MATCH(ROW(orderHistory[customer]),ROW(orderHistory[customer])),""),ROWS($A$15:A23)+$B$3))),IF($D$15="",INDEX(orderHistory[lock_goods],SMALL(IF(ISNUMBER(MATCH(orderHistory[status],$D$11,0)*MATCH(orderHistory[order_type],$D$13,0)),MATCH(ROW(orderHistory[customer]),ROW(orderHistory[customer])),""),ROWS($A$15:A23)+$B$3)),INDEX(orderHistory[lock_goods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lock_goods],SMALL(IF(ISNUMBER(MATCH(orderHistory[customer],$D$9,0)),MATCH(ROW(orderHistory[customer]),ROW(orderHistory[customer])),""),ROWS($A$15:A23)+$B$3)),INDEX(orderHistory[lock_goods],SMALL(IF(ISNUMBER(MATCH(orderHistory[customer],$D$9,0)*MATCH(YEAR(orderHistory[invoice_date]),$D$15,0)),MATCH(ROW(orderHistory[customer]),ROW(orderHistory[customer])),""),ROWS($A$15:A23)+$B$3))),IF($D$15="",INDEX(orderHistory[lock_goods],SMALL(IF(ISNUMBER(MATCH(orderHistory[customer],$D$9,0)*MATCH(orderHistory[order_type],$D$13,0)),MATCH(ROW(orderHistory[customer]),ROW(orderHistory[customer])),""),ROWS($A$15:A23)+$B$3)),INDEX(orderHistory[lock_goods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lock_goods],SMALL(IF(ISNUMBER(MATCH(orderHistory[customer],$D$9,0)*MATCH(orderHistory[status],$D$11,0)),MATCH(ROW(orderHistory[customer]),ROW(orderHistory[customer])),""),ROWS($A$15:A23)+$B$3)),INDEX(orderHistory[lock_goods],SMALL(IF(ISNUMBER(MATCH(orderHistory[customer],$D$9,0)*MATCH(orderHistory[status],$D$11,0)*MATCH(YEAR(orderHistory[payed]),$D$15,0)),MATCH(ROW(orderHistory[customer]),ROW(orderHistory[customer])),""),ROWS($A$15:A23)+$B$3))),IF($D$15="",INDEX(orderHistory[lock_goods],SMALL(IF(ISNUMBER(MATCH(orderHistory[customer],$D$9,0)*MATCH(orderHistory[status],$D$11,0)*MATCH(orderHistory[order_type],$D$13,0)),MATCH(ROW(orderHistory[customer]),ROW(orderHistory[customer])),""),ROWS($A$15:A23)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GOODS SENT</v>
      </c>
      <c r="T18" s="388" t="b">
        <f t="array" ref="T18">IFERROR(IF($D$9="",IF($D$11="",IF($D$13="",IF($D$15="",INDEX(orderHistory[payed],SMALL(MATCH(ROW(orderHistory[customer]),ROW(orderHistory[customer])),ROWS($A$15:A23)+$B$3)),INDEX(orderHistory[payed],SMALL(IF(ISNUMBER(MATCH(YEAR(orderHistory[invoice_date]),$D$15,0)),MATCH(ROW(orderHistory[customer]),ROW(orderHistory[customer])),""),ROWS($A$15:A23)+$B$3))),IF($D$15="",INDEX(orderHistory[payed],SMALL(IF(ISNUMBER(MATCH(orderHistory[order_type],$D$13,0)),MATCH(ROW(orderHistory[customer]),ROW(orderHistory[customer])),""),ROWS($A$15:A23)+$B$3)),INDEX(orderHistory[payed],SMALL(IF(ISNUMBER(MATCH(orderHistory[order_type],$D$13,0)*MATCH(YEAR(orderHistory[invoice_date]),$D$15,0)),MATCH(ROW(orderHistory[customer]),ROW(orderHistory[customer])),""),ROWS($A$15:A23)+$B$3)))),IF($D$13="",IF($D$15="",INDEX(orderHistory[payed],SMALL(IF(ISNUMBER(MATCH(orderHistory[status],$D$11,0)),MATCH(ROW(orderHistory[customer]),ROW(orderHistory[customer])),""),ROWS($A$15:A23)+$B$3)),INDEX(orderHistory[payed],SMALL(IF(ISNUMBER(MATCH(orderHistory[status],$D$11,0)*MATCH(YEAR(orderHistory[invoice_date]),$D$15,0)),MATCH(ROW(orderHistory[customer]),ROW(orderHistory[customer])),""),ROWS($A$15:A23)+$B$3))),IF($D$15="",INDEX(orderHistory[payed],SMALL(IF(ISNUMBER(MATCH(orderHistory[status],$D$11,0)*MATCH(orderHistory[order_type],$D$13,0)),MATCH(ROW(orderHistory[customer]),ROW(orderHistory[customer])),""),ROWS($A$15:A23)+$B$3)),INDEX(orderHistory[payed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payed],SMALL(IF(ISNUMBER(MATCH(orderHistory[customer],$D$9,0)),MATCH(ROW(orderHistory[customer]),ROW(orderHistory[customer])),""),ROWS($A$15:A23)+$B$3)),INDEX(orderHistory[payed],SMALL(IF(ISNUMBER(MATCH(orderHistory[customer],$D$9,0)*MATCH(YEAR(orderHistory[invoice_date]),$D$15,0)),MATCH(ROW(orderHistory[customer]),ROW(orderHistory[customer])),""),ROWS($A$15:A23)+$B$3))),IF($D$15="",INDEX(orderHistory[payed],SMALL(IF(ISNUMBER(MATCH(orderHistory[customer],$D$9,0)*MATCH(orderHistory[order_type],$D$13,0)),MATCH(ROW(orderHistory[customer]),ROW(orderHistory[customer])),""),ROWS($A$15:A23)+$B$3)),INDEX(orderHistory[payed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payed],SMALL(IF(ISNUMBER(MATCH(orderHistory[customer],$D$9,0)*MATCH(orderHistory[status],$D$11,0)),MATCH(ROW(orderHistory[customer]),ROW(orderHistory[customer])),""),ROWS($A$15:A23)+$B$3)),INDEX(orderHistory[payed],SMALL(IF(ISNUMBER(MATCH(orderHistory[customer],$D$9,0)*MATCH(orderHistory[status],$D$11,0)*MATCH(YEAR(orderHistory[payed]),$D$15,0)),MATCH(ROW(orderHistory[customer]),ROW(orderHistory[customer])),""),ROWS($A$15:A23)+$B$3))),IF($D$15="",INDEX(orderHistory[payed],SMALL(IF(ISNUMBER(MATCH(orderHistory[customer],$D$9,0)*MATCH(orderHistory[status],$D$11,0)*MATCH(orderHistory[order_type],$D$13,0)),MATCH(ROW(orderHistory[customer]),ROW(orderHistory[customer])),""),ROWS($A$15:A23)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0</v>
      </c>
      <c r="U18" s="383" t="str">
        <f t="array" ref="U18">IFERROR(IF($D$9="",IF($D$11="",IF($D$13="",IF($D$15="",INDEX(orderHistory[shipping_method],SMALL(MATCH(ROW(orderHistory[customer]),ROW(orderHistory[customer])),ROWS($A$15:A23)+$B$3)),INDEX(orderHistory[shipping_method],SMALL(IF(ISNUMBER(MATCH(YEAR(orderHistory[invoice_date]),$D$15,0)),MATCH(ROW(orderHistory[customer]),ROW(orderHistory[customer])),""),ROWS($A$15:A23)+$B$3))),IF($D$15="",INDEX(orderHistory[shipping_method],SMALL(IF(ISNUMBER(MATCH(orderHistory[order_type],$D$13,0)),MATCH(ROW(orderHistory[customer]),ROW(orderHistory[customer])),""),ROWS($A$15:A23)+$B$3)),INDEX(orderHistory[shipping_method],SMALL(IF(ISNUMBER(MATCH(orderHistory[order_type],$D$13,0)*MATCH(YEAR(orderHistory[invoice_date]),$D$15,0)),MATCH(ROW(orderHistory[customer]),ROW(orderHistory[customer])),""),ROWS($A$15:A23)+$B$3)))),IF($D$13="",IF($D$15="",INDEX(orderHistory[shipping_method],SMALL(IF(ISNUMBER(MATCH(orderHistory[status],$D$11,0)),MATCH(ROW(orderHistory[customer]),ROW(orderHistory[customer])),""),ROWS($A$15:A23)+$B$3)),INDEX(orderHistory[shipping_method],SMALL(IF(ISNUMBER(MATCH(orderHistory[status],$D$11,0)*MATCH(YEAR(orderHistory[invoice_date]),$D$15,0)),MATCH(ROW(orderHistory[customer]),ROW(orderHistory[customer])),""),ROWS($A$15:A23)+$B$3))),IF($D$15="",INDEX(orderHistory[shipping_method],SMALL(IF(ISNUMBER(MATCH(orderHistory[status],$D$11,0)*MATCH(orderHistory[order_type],$D$13,0)),MATCH(ROW(orderHistory[customer]),ROW(orderHistory[customer])),""),ROWS($A$15:A23)+$B$3)),INDEX(orderHistory[shipping_method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shipping_method],SMALL(IF(ISNUMBER(MATCH(orderHistory[customer],$D$9,0)),MATCH(ROW(orderHistory[customer]),ROW(orderHistory[customer])),""),ROWS($A$15:A23)+$B$3)),INDEX(orderHistory[shipping_method],SMALL(IF(ISNUMBER(MATCH(orderHistory[customer],$D$9,0)*MATCH(YEAR(orderHistory[invoice_date]),$D$15,0)),MATCH(ROW(orderHistory[customer]),ROW(orderHistory[customer])),""),ROWS($A$15:A23)+$B$3))),IF($D$15="",INDEX(orderHistory[shipping_method],SMALL(IF(ISNUMBER(MATCH(orderHistory[customer],$D$9,0)*MATCH(orderHistory[order_type],$D$13,0)),MATCH(ROW(orderHistory[customer]),ROW(orderHistory[customer])),""),ROWS($A$15:A23)+$B$3)),INDEX(orderHistory[shipping_method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shipping_method],SMALL(IF(ISNUMBER(MATCH(orderHistory[customer],$D$9,0)*MATCH(orderHistory[status],$D$11,0)),MATCH(ROW(orderHistory[customer]),ROW(orderHistory[customer])),""),ROWS($A$15:A23)+$B$3)),INDEX(orderHistory[shipping_method],SMALL(IF(ISNUMBER(MATCH(orderHistory[customer],$D$9,0)*MATCH(orderHistory[status],$D$11,0)*MATCH(YEAR(orderHistory[shipping_method]),$D$15,0)),MATCH(ROW(orderHistory[customer]),ROW(orderHistory[customer])),""),ROWS($A$15:A23)+$B$3))),IF($D$15="",INDEX(orderHistory[shipping_method],SMALL(IF(ISNUMBER(MATCH(orderHistory[customer],$D$9,0)*MATCH(orderHistory[status],$D$11,0)*MATCH(orderHistory[order_type],$D$13,0)),MATCH(ROW(orderHistory[customer]),ROW(orderHistory[customer])),""),ROWS($A$15:A23)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BY ROAD</v>
      </c>
      <c r="V18" s="388" t="str">
        <f t="array" ref="V18">IFERROR(IF($D$9="",IF($D$11="",IF($D$13="",IF($D$15="",INDEX(orderHistory[status],SMALL(MATCH(ROW(orderHistory[customer]),ROW(orderHistory[customer])),ROWS($A$15:A23)+$B$3)),INDEX(orderHistory[status],SMALL(IF(ISNUMBER(MATCH(YEAR(orderHistory[invoice_date]),$D$15,0)),MATCH(ROW(orderHistory[customer]),ROW(orderHistory[customer])),""),ROWS($A$15:A23)+$B$3))),IF($D$15="",INDEX(orderHistory[status],SMALL(IF(ISNUMBER(MATCH(orderHistory[order_type],$D$13,0)),MATCH(ROW(orderHistory[customer]),ROW(orderHistory[customer])),""),ROWS($A$15:A23)+$B$3)),INDEX(orderHistory[status],SMALL(IF(ISNUMBER(MATCH(orderHistory[order_type],$D$13,0)*MATCH(YEAR(orderHistory[invoice_date]),$D$15,0)),MATCH(ROW(orderHistory[customer]),ROW(orderHistory[customer])),""),ROWS($A$15:A23)+$B$3)))),IF($D$13="",IF($D$15="",INDEX(orderHistory[status],SMALL(IF(ISNUMBER(MATCH(orderHistory[status],$D$11,0)),MATCH(ROW(orderHistory[customer]),ROW(orderHistory[customer])),""),ROWS($A$15:A23)+$B$3)),INDEX(orderHistory[status],SMALL(IF(ISNUMBER(MATCH(orderHistory[status],$D$11,0)*MATCH(YEAR(orderHistory[invoice_date]),$D$15,0)),MATCH(ROW(orderHistory[customer]),ROW(orderHistory[customer])),""),ROWS($A$15:A23)+$B$3))),IF($D$15="",INDEX(orderHistory[status],SMALL(IF(ISNUMBER(MATCH(orderHistory[status],$D$11,0)*MATCH(orderHistory[order_type],$D$13,0)),MATCH(ROW(orderHistory[customer]),ROW(orderHistory[customer])),""),ROWS($A$15:A23)+$B$3)),INDEX(orderHistory[status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status],SMALL(IF(ISNUMBER(MATCH(orderHistory[customer],$D$9,0)),MATCH(ROW(orderHistory[customer]),ROW(orderHistory[customer])),""),ROWS($A$15:A23)+$B$3)),INDEX(orderHistory[status],SMALL(IF(ISNUMBER(MATCH(orderHistory[customer],$D$9,0)*MATCH(YEAR(orderHistory[invoice_date]),$D$15,0)),MATCH(ROW(orderHistory[customer]),ROW(orderHistory[customer])),""),ROWS($A$15:A23)+$B$3))),IF($D$15="",INDEX(orderHistory[status],SMALL(IF(ISNUMBER(MATCH(orderHistory[customer],$D$9,0)*MATCH(orderHistory[order_type],$D$13,0)),MATCH(ROW(orderHistory[customer]),ROW(orderHistory[customer])),""),ROWS($A$15:A23)+$B$3)),INDEX(orderHistory[status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status],SMALL(IF(ISNUMBER(MATCH(orderHistory[customer],$D$9,0)*MATCH(orderHistory[status],$D$11,0)),MATCH(ROW(orderHistory[customer]),ROW(orderHistory[customer])),""),ROWS($A$15:A23)+$B$3)),INDEX(orderHistory[status],SMALL(IF(ISNUMBER(MATCH(orderHistory[customer],$D$9,0)*MATCH(orderHistory[status],$D$11,0)*MATCH(YEAR(orderHistory[status]),$D$15,0)),MATCH(ROW(orderHistory[customer]),ROW(orderHistory[customer])),""),ROWS($A$15:A23)+$B$3))),IF($D$15="",INDEX(orderHistory[status],SMALL(IF(ISNUMBER(MATCH(orderHistory[customer],$D$9,0)*MATCH(orderHistory[status],$D$11,0)*MATCH(orderHistory[order_type],$D$13,0)),MATCH(ROW(orderHistory[customer]),ROW(orderHistory[customer])),""),ROWS($A$15:A23)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SHIPPED</v>
      </c>
      <c r="W18" s="547" t="str">
        <f t="array" ref="W18">IFERROR(IF($D$9="",IF($D$11="",IF($D$13="",IF($D$15="",INDEX(orderHistory[custom_docs],SMALL(MATCH(ROW(orderHistory[customer]),ROW(orderHistory[customer])),ROWS($A$15:A23)+$B$3)),INDEX(orderHistory[custom_docs],SMALL(IF(ISNUMBER(MATCH(YEAR(orderHistory[invoice_date]),$D$15,0)),MATCH(ROW(orderHistory[customer]),ROW(orderHistory[customer])),""),ROWS($A$15:A23)+$B$3))),IF($D$15="",INDEX(orderHistory[custom_docs],SMALL(IF(ISNUMBER(MATCH(orderHistory[order_type],$D$13,0)),MATCH(ROW(orderHistory[customer]),ROW(orderHistory[customer])),""),ROWS($A$15:A23)+$B$3)),INDEX(orderHistory[custom_docs],SMALL(IF(ISNUMBER(MATCH(orderHistory[order_type],$D$13,0)*MATCH(YEAR(orderHistory[invoice_date]),$D$15,0)),MATCH(ROW(orderHistory[customer]),ROW(orderHistory[customer])),""),ROWS($A$15:A23)+$B$3)))),IF($D$13="",IF($D$15="",INDEX(orderHistory[custom_docs],SMALL(IF(ISNUMBER(MATCH(orderHistory[status],$D$11,0)),MATCH(ROW(orderHistory[customer]),ROW(orderHistory[customer])),""),ROWS($A$15:A23)+$B$3)),INDEX(orderHistory[custom_docs],SMALL(IF(ISNUMBER(MATCH(orderHistory[status],$D$11,0)*MATCH(YEAR(orderHistory[invoice_date]),$D$15,0)),MATCH(ROW(orderHistory[customer]),ROW(orderHistory[customer])),""),ROWS($A$15:A23)+$B$3))),IF($D$15="",INDEX(orderHistory[custom_docs],SMALL(IF(ISNUMBER(MATCH(orderHistory[status],$D$11,0)*MATCH(orderHistory[order_type],$D$13,0)),MATCH(ROW(orderHistory[customer]),ROW(orderHistory[customer])),""),ROWS($A$15:A23)+$B$3)),INDEX(orderHistory[custom_docs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custom_docs],SMALL(IF(ISNUMBER(MATCH(orderHistory[customer],$D$9,0)),MATCH(ROW(orderHistory[customer]),ROW(orderHistory[customer])),""),ROWS($A$15:A23)+$B$3)),INDEX(orderHistory[custom_docs],SMALL(IF(ISNUMBER(MATCH(orderHistory[customer],$D$9,0)*MATCH(YEAR(orderHistory[invoice_date]),$D$15,0)),MATCH(ROW(orderHistory[customer]),ROW(orderHistory[customer])),""),ROWS($A$15:A23)+$B$3))),IF($D$15="",INDEX(orderHistory[custom_docs],SMALL(IF(ISNUMBER(MATCH(orderHistory[customer],$D$9,0)*MATCH(orderHistory[order_type],$D$13,0)),MATCH(ROW(orderHistory[customer]),ROW(orderHistory[customer])),""),ROWS($A$15:A23)+$B$3)),INDEX(orderHistory[custom_docs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custom_docs],SMALL(IF(ISNUMBER(MATCH(orderHistory[customer],$D$9,0)*MATCH(orderHistory[status],$D$11,0)),MATCH(ROW(orderHistory[customer]),ROW(orderHistory[customer])),""),ROWS($A$15:A23)+$B$3)),INDEX(orderHistory[custom_docs],SMALL(IF(ISNUMBER(MATCH(orderHistory[customer],$D$9,0)*MATCH(orderHistory[status],$D$11,0)*MATCH(YEAR(orderHistory[status]),$D$15,0)),MATCH(ROW(orderHistory[customer]),ROW(orderHistory[customer])),""),ROWS($A$15:A23)+$B$3))),IF($D$15="",INDEX(orderHistory[custom_docs],SMALL(IF(ISNUMBER(MATCH(orderHistory[customer],$D$9,0)*MATCH(orderHistory[status],$D$11,0)*MATCH(orderHistory[order_type],$D$13,0)),MATCH(ROW(orderHistory[customer]),ROW(orderHistory[customer])),""),ROWS($A$15:A23)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OK</v>
      </c>
      <c r="AO18" s="273"/>
      <c r="AQ18" s="308"/>
      <c r="AR18" s="331"/>
      <c r="AS18" s="332"/>
      <c r="AT18" s="333"/>
      <c r="AU18" s="271"/>
      <c r="AW18" s="308"/>
      <c r="AX18" s="334"/>
      <c r="AZ18" s="278"/>
      <c r="BB18" s="278"/>
      <c r="BD18" s="273"/>
      <c r="BI18" s="269"/>
      <c r="BJ18" s="271"/>
      <c r="BK18" s="296"/>
      <c r="BL18" s="297"/>
      <c r="BM18" s="298"/>
      <c r="BN18" s="297"/>
      <c r="BO18" s="298"/>
      <c r="BX18" s="879"/>
      <c r="BZ18" s="487" t="s">
        <v>141</v>
      </c>
      <c r="CA18" s="401" t="str">
        <f>IFERROR(IF(BZ18="","",INDEX(bhpc_data[description],MATCH(BZ18,bhpc_data[sku],0))),"")</f>
        <v>BHPC PRESTIGE KNIGHT 100ML EDP MEN</v>
      </c>
      <c r="CB18" s="402">
        <v>48</v>
      </c>
      <c r="CC18" s="887">
        <v>15.849721162312886</v>
      </c>
      <c r="CD18" s="409"/>
      <c r="CE18" s="890"/>
      <c r="CF18" s="404"/>
      <c r="CG18" s="405">
        <f>IFERROR(ROUNDUP(CB18/INDEX(bhpc_data[units_per_carton],MATCH(BZ18,bhpc_data[sku],0)),0),"")</f>
        <v>2</v>
      </c>
      <c r="CH18" s="406">
        <f>IFERROR(ROUNDUP(CD18/INDEX(bhpc_data[units_per_carton],MATCH(BZ18,bhpc_data[sku],0)),0),"")</f>
        <v>0</v>
      </c>
      <c r="CI18" s="406" t="str">
        <f>IFERROR(ROUNDUP(CF18/INDEX(bhpc_data[units_per_carton],MATCH(BZ18,bhpc_data[sku])),0),"")</f>
        <v/>
      </c>
      <c r="CJ18" s="406">
        <f>IFERROR(((CB18+CD18+CF18)/INDEX(bhpc_data[units_per_carton],MATCH(BZ18,bhpc_data[sku],0)))*INDEX(bhpc_data[net_weight],MATCH(BZ18,bhpc_data[sku],0)),"")</f>
        <v>18.96</v>
      </c>
      <c r="CK18" s="406">
        <f>IFERROR(((CB18+CD18+CF18)/INDEX(bhpc_data[units_per_carton],MATCH(BZ18,bhpc_data[sku],0)))*INDEX(bhpc_data[gross_weight],MATCH(BZ18,bhpc_data[sku],0)),"")</f>
        <v>19.8</v>
      </c>
      <c r="CL18" s="602">
        <f>IFERROR((CB18+CD18+CF18)/INDEX(bhpc_data[units_per_carton],MATCH(BZ18,bhpc_data[sku],0))*INDEX(bhpc_data[length],MATCH(BZ18,bhpc_data[sku],0))*INDEX(bhpc_data[width],MATCH(BZ18,bhpc_data[sku],0))*INDEX(bhpc_data[height],MATCH(BZ18,bhpc_data[sku],0))/1000000000,"")</f>
        <v>3.5062500000000003E-2</v>
      </c>
      <c r="CM18" s="407" t="str">
        <f>IFERROR(INDEX(bhpc_data[category],MATCH(BZ18,bhpc_data[sku],0)),"")</f>
        <v>PRESTIGE</v>
      </c>
      <c r="CN18" s="407">
        <f>IFERROR(INDEX(bhpc_data[size],MATCH(BZ18,bhpc_data[sku],0)),"")</f>
        <v>100</v>
      </c>
      <c r="CO18" s="408" t="str">
        <f>IFERROR(INDEX(bhpc_data[hs_code],MATCH(BZ18,bhpc_data[sku],0)),"")</f>
        <v>33030010</v>
      </c>
      <c r="CP18" s="489" t="str">
        <f>IFERROR(INDEX(bhpc_data[sku_geko],MATCH(BZ18,bhpc_data[sku],0)),"")</f>
        <v>P06020</v>
      </c>
      <c r="CQ18" s="404"/>
      <c r="CR18" s="516">
        <f>IFERROR(IF(BZ18="","",IF($BX$15="SALE",INDEX(inventory[COSTO UNITARIO],MATCH(BZ18,inventory[SKU],0)),IF($BX$15="SAMPLING",INDEX(inventory[COSTO UNITARIO],MATCH(BZ18,inventory[SKU],0)),""))),"")</f>
        <v>11.68</v>
      </c>
      <c r="CS18" s="516">
        <f t="shared" si="3"/>
        <v>560.64</v>
      </c>
      <c r="CT18" s="896">
        <f t="shared" si="4"/>
        <v>760.78661579101845</v>
      </c>
      <c r="CU18" s="469" t="str">
        <f t="shared" si="0"/>
        <v>OK</v>
      </c>
      <c r="CW18" s="80"/>
      <c r="CX18" s="240" t="s">
        <v>567</v>
      </c>
      <c r="CY18" s="522">
        <f>SUMPRODUCT(CF10:CF110,CR10:CR110)</f>
        <v>0</v>
      </c>
      <c r="CZ18" s="113"/>
      <c r="DA18" s="76"/>
      <c r="DB18" s="77"/>
      <c r="DH18" s="215"/>
      <c r="EE18" s="445" t="str" cm="1">
        <f t="array" ref="EE18">IFERROR(IF($EC$9="",IF($EC$11="",IF($EC$13="",INDEX(bhpc_data[sku],SMALL(MATCH(ROW(bhpc_data[sku]),ROW(bhpc_data[sku])),ROWS($A$15:A23)+$B$3)),INDEX(bhpc_data[sku],SMALL(IF(ISNUMBER(MATCH(bhpc_data[size],$EC$13,0)),MATCH(ROW(bhpc_data[sku]),ROW(bhpc_data[sku])),""),ROWS($A$15:A23)+$B$3))),IF($EC$13="",INDEX(bhpc_data[sku],SMALL(IF(ISNUMBER(MATCH(bhpc_data[sex],$EC$11,0)),MATCH(ROW(bhpc_data[sku]),ROW(bhpc_data[sku])),""),ROWS($A$15:A23)+$B$3)),INDEX(bhpc_data[sku],SMALL(IF(ISNUMBER(MATCH(bhpc_data[sex],$EC$11,0)*MATCH(bhpc_data[size],$EC$13,0)),MATCH(ROW(bhpc_data[sku]),ROW(bhpc_data[sku])),""),ROWS($A$15:A23)+$B$3)))),IF($EC$11="",IF($EC$13="",INDEX(bhpc_data[sku],SMALL(IF(ISNUMBER(MATCH(bhpc_data[category],$EC$9,0)),MATCH(ROW(bhpc_data[sku]),ROW(bhpc_data[sku])),""),ROWS($A$15:A23)+$B$3)),INDEX(bhpc_data[sku],SMALL(IF(ISNUMBER(MATCH(bhpc_data[category],$EC$9,0)*MATCH(bhpc_data[size],$EC$13,0)),MATCH(ROW(bhpc_data[sku]),ROW(bhpc_data[sku])),""),ROWS($A$15:A23)+$B$3))),IF($EC$13="",INDEX(bhpc_data[sku],SMALL(IF(ISNUMBER(MATCH(bhpc_data[category],$EC$9,0)*MATCH(bhpc_data[sex],$EC$11,0)),MATCH(ROW(bhpc_data[sku]),ROW(bhpc_data[sku])),""),ROWS($A$15:A23)+$B$3)),INDEX(bhpc_data[sku],SMALL(IF(ISNUMBER(MATCH(bhpc_data[category],$EC$9,0)*MATCH(bhpc_data[sex],$EC$11,0)*MATCH(bhpc_data[size],$EC$13,0)),MATCH(ROW(bhpc_data[sku]),ROW(bhpc_data[sku])),""),ROWS($A$15:A23)+$B$3))))),"")</f>
        <v>P05011L</v>
      </c>
      <c r="EF18" s="446" t="str" cm="1">
        <f t="array" ref="EF18">IFERROR(IF($EC$9="",IF($EC$11="",IF($EC$13="",INDEX(bhpc_data[description],SMALL(MATCH(ROW(bhpc_data[sku]),ROW(bhpc_data[sku])),ROWS($A$15:A23)+$B$3)),INDEX(bhpc_data[description],SMALL(IF(ISNUMBER(MATCH(bhpc_data[size],$EC$13,0)),MATCH(ROW(bhpc_data[sku]),ROW(bhpc_data[sku])),""),ROWS($A$15:A23)+$B$3))),IF($EC$13="",INDEX(bhpc_data[description],SMALL(IF(ISNUMBER(MATCH(bhpc_data[sex],$EC$11,0)),MATCH(ROW(bhpc_data[sku]),ROW(bhpc_data[sku])),""),ROWS($A$15:A23)+$B$3)),INDEX(bhpc_data[description],SMALL(IF(ISNUMBER(MATCH(bhpc_data[sex],$EC$11,0)*MATCH(bhpc_data[size],$EC$13,0)),MATCH(ROW(bhpc_data[sku]),ROW(bhpc_data[sku])),""),ROWS($A$15:A23)+$B$3)))),IF($EC$11="",IF($EC$13="",INDEX(bhpc_data[description],SMALL(IF(ISNUMBER(MATCH(bhpc_data[category],$EC$9,0)),MATCH(ROW(bhpc_data[sku]),ROW(bhpc_data[sku])),""),ROWS($A$15:A23)+$B$3)),INDEX(bhpc_data[description],SMALL(IF(ISNUMBER(MATCH(bhpc_data[category],$EC$9,0)*MATCH(bhpc_data[size],$EC$13,0)),MATCH(ROW(bhpc_data[sku]),ROW(bhpc_data[sku])),""),ROWS($A$15:A23)+$B$3))),IF($EC$13="",INDEX(bhpc_data[description],SMALL(IF(ISNUMBER(MATCH(bhpc_data[category],$EC$9,0)*MATCH(bhpc_data[sex],$EC$11,0)),MATCH(ROW(bhpc_data[sku]),ROW(bhpc_data[sku])),""),ROWS($A$15:A23)+$B$3)),INDEX(bhpc_data[description],SMALL(IF(ISNUMBER(MATCH(bhpc_data[category],$EC$9,0)*MATCH(bhpc_data[sex],$EC$11,0)*MATCH(bhpc_data[size],$EC$13,0)),MATCH(ROW(bhpc_data[sku]),ROW(bhpc_data[sku])),""),ROWS($A$15:A23)+$B$3))))),"")</f>
        <v>BHPC SPORT MEN 2 EDT 50ML (UNBOXED)</v>
      </c>
      <c r="EG18" s="447">
        <f>IFERROR(IF('BHPC MANAGER'!$EE18="","",INDEX(inventory[ESISTENZA],MATCH('BHPC MANAGER'!$EE18,inventory[SKU],0))),0)</f>
        <v>6239</v>
      </c>
      <c r="EH18" s="448">
        <v>-110</v>
      </c>
      <c r="EI18" s="448">
        <f t="shared" si="1"/>
        <v>6129</v>
      </c>
      <c r="EJ18" s="449">
        <v>0</v>
      </c>
      <c r="EK18" s="450">
        <f t="shared" si="2"/>
        <v>6129</v>
      </c>
      <c r="FD18" s="496"/>
      <c r="FE18" s="215" t="s">
        <v>1071</v>
      </c>
      <c r="FF18" s="502">
        <v>45505</v>
      </c>
      <c r="FG18" s="263"/>
      <c r="FH18" s="497"/>
      <c r="FI18" s="263"/>
      <c r="FJ18" s="496"/>
      <c r="FL18" s="559"/>
      <c r="FM18" s="263"/>
      <c r="FN18" s="497"/>
      <c r="FO18" s="263"/>
      <c r="FP18" s="263"/>
      <c r="FQ18" s="263"/>
      <c r="FR18" s="263"/>
      <c r="FS18" s="263"/>
      <c r="FT18" s="263"/>
      <c r="FU18" s="263"/>
      <c r="FV18" s="263"/>
      <c r="FW18" s="263"/>
      <c r="FX18" s="263"/>
      <c r="FY18" s="263"/>
      <c r="FZ18" s="263"/>
      <c r="GA18" s="263"/>
      <c r="GB18" s="263"/>
      <c r="GC18" s="263"/>
      <c r="GD18" s="263"/>
      <c r="GE18" s="263"/>
      <c r="GF18" s="263"/>
      <c r="GG18" s="263"/>
      <c r="GH18" s="263"/>
      <c r="GI18" s="263"/>
      <c r="GJ18" s="263"/>
      <c r="GK18" s="263"/>
      <c r="GL18" s="263"/>
      <c r="GM18" s="263"/>
      <c r="GN18" s="263"/>
      <c r="GO18" s="263"/>
      <c r="GP18" s="263"/>
      <c r="GQ18" s="263"/>
      <c r="GR18" s="263"/>
      <c r="GS18" s="263"/>
      <c r="GT18" s="263"/>
      <c r="GU18" s="263"/>
      <c r="GV18" s="263"/>
      <c r="GW18" s="263"/>
      <c r="GX18" s="263"/>
      <c r="GY18" s="263"/>
      <c r="GZ18" s="263"/>
      <c r="HA18" s="263"/>
      <c r="HB18" s="263"/>
      <c r="HC18" s="263"/>
      <c r="HD18" s="263"/>
      <c r="HE18" s="263"/>
      <c r="HF18" s="263"/>
      <c r="HG18" s="263"/>
      <c r="HH18" s="263"/>
      <c r="HI18" s="263"/>
      <c r="HJ18" s="263"/>
      <c r="HK18" s="263"/>
      <c r="HL18" s="263"/>
      <c r="HM18" s="263"/>
      <c r="HN18" s="263"/>
      <c r="HO18" s="263"/>
      <c r="HP18" s="263"/>
      <c r="HQ18" s="263"/>
      <c r="HR18" s="263"/>
      <c r="HS18" s="263"/>
      <c r="HT18" s="263"/>
    </row>
    <row r="19" spans="1:228" ht="15" customHeight="1" thickBot="1" x14ac:dyDescent="0.4">
      <c r="D19" s="523"/>
      <c r="F19" s="90"/>
      <c r="G19" s="94" t="s">
        <v>568</v>
      </c>
      <c r="H19" s="76"/>
      <c r="I19" s="76"/>
      <c r="J19" s="77"/>
      <c r="L19" s="381" t="str">
        <f t="array" ref="L19">IFERROR(IF($D$9="",IF($D$11="",IF($D$13="",IF($D$15="",INDEX(orderHistory[customer],SMALL(MATCH(ROW(orderHistory[customer]),ROW(orderHistory[customer])),ROWS($A$15:A24)+$B$3)),INDEX(orderHistory[customer],SMALL(IF(ISNUMBER(MATCH(YEAR(orderHistory[invoice_date]),$D$15,0)),MATCH(ROW(orderHistory[customer]),ROW(orderHistory[customer])),""),ROWS($A$15:A24)+$B$3))),IF($D$15="",INDEX(orderHistory[customer],SMALL(IF(ISNUMBER(MATCH(orderHistory[order_type],$D$13,0)),MATCH(ROW(orderHistory[customer]),ROW(orderHistory[customer])),""),ROWS($A$15:A24)+$B$3)),INDEX(orderHistory[customer],SMALL(IF(ISNUMBER(MATCH(orderHistory[order_type],$D$13,0)*MATCH(YEAR(orderHistory[invoice_date]),$D$15,0)),MATCH(ROW(orderHistory[customer]),ROW(orderHistory[customer])),""),ROWS($A$15:A24)+$B$3)))),IF($D$13="",IF($D$15="",INDEX(orderHistory[customer],SMALL(IF(ISNUMBER(MATCH(orderHistory[status],$D$11,0)),MATCH(ROW(orderHistory[customer]),ROW(orderHistory[customer])),""),ROWS($A$15:A24)+$B$3)),INDEX(orderHistory[customer],SMALL(IF(ISNUMBER(MATCH(orderHistory[status],$D$11,0)*MATCH(YEAR(orderHistory[invoice_date]),$D$15,0)),MATCH(ROW(orderHistory[customer]),ROW(orderHistory[customer])),""),ROWS($A$15:A24)+$B$3))),IF($D$15="",INDEX(orderHistory[customer],SMALL(IF(ISNUMBER(MATCH(orderHistory[status],$D$11,0)*MATCH(orderHistory[order_type],$D$13,0)),MATCH(ROW(orderHistory[customer]),ROW(orderHistory[customer])),""),ROWS($A$15:A24)+$B$3)),INDEX(orderHistory[customer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customer],SMALL(IF(ISNUMBER(MATCH(orderHistory[customer],$D$9,0)),MATCH(ROW(orderHistory[customer]),ROW(orderHistory[customer])),""),ROWS($A$15:A24)+$B$3)),INDEX(orderHistory[customer],SMALL(IF(ISNUMBER(MATCH(orderHistory[customer],$D$9,0)*MATCH(YEAR(orderHistory[invoice_date]),$D$15,0)),MATCH(ROW(orderHistory[customer]),ROW(orderHistory[customer])),""),ROWS($A$15:A24)+$B$3))),IF($D$15="",INDEX(orderHistory[customer],SMALL(IF(ISNUMBER(MATCH(orderHistory[customer],$D$9,0)*MATCH(orderHistory[order_type],$D$13,0)),MATCH(ROW(orderHistory[customer]),ROW(orderHistory[customer])),""),ROWS($A$15:A24)+$B$3)),INDEX(orderHistory[customer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customer],SMALL(IF(ISNUMBER(MATCH(orderHistory[customer],$D$9,0)*MATCH(orderHistory[status],$D$11,0)),MATCH(ROW(orderHistory[customer]),ROW(orderHistory[customer])),""),ROWS($A$15:A24)+$B$3)),INDEX(orderHistory[customer],SMALL(IF(ISNUMBER(MATCH(orderHistory[customer],$D$9,0)*MATCH(orderHistory[status],$D$11,0)*MATCH(YEAR(orderHistory[invoice_date]),$D$15,0)),MATCH(ROW(orderHistory[customer]),ROW(orderHistory[customer])),""),ROWS($A$15:A24)+$B$3))),IF($D$15="",INDEX(orderHistory[customer],SMALL(IF(ISNUMBER(MATCH(orderHistory[customer],$D$9,0)*MATCH(orderHistory[status],$D$11,0)*MATCH(orderHistory[order_type],$D$13,0)),MATCH(ROW(orderHistory[customer]),ROW(orderHistory[customer])),""),ROWS($A$15:A24)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ABU SHAKRA</v>
      </c>
      <c r="M19" s="382">
        <f t="array" ref="M19">IFERROR(IF($D$9="",IF($D$11="",IF($D$13="",IF($D$15="",INDEX(orderHistory[order_no],SMALL(MATCH(ROW(orderHistory[customer]),ROW(orderHistory[customer])),ROWS($A$15:A24)+$B$3)),INDEX(orderHistory[order_no],SMALL(IF(ISNUMBER(MATCH(YEAR(orderHistory[invoice_date]),$D$15,0)),MATCH(ROW(orderHistory[customer]),ROW(orderHistory[customer])),""),ROWS($A$15:A24)+$B$3))),IF($D$15="",INDEX(orderHistory[order_no],SMALL(IF(ISNUMBER(MATCH(orderHistory[order_type],$D$13,0)),MATCH(ROW(orderHistory[customer]),ROW(orderHistory[customer])),""),ROWS($A$15:A24)+$B$3)),INDEX(orderHistory[order_no],SMALL(IF(ISNUMBER(MATCH(orderHistory[order_type],$D$13,0)*MATCH(YEAR(orderHistory[invoice_date]),$D$15,0)),MATCH(ROW(orderHistory[customer]),ROW(orderHistory[customer])),""),ROWS($A$15:A24)+$B$3)))),IF($D$13="",IF($D$15="",INDEX(orderHistory[order_no],SMALL(IF(ISNUMBER(MATCH(orderHistory[status],$D$11,0)),MATCH(ROW(orderHistory[customer]),ROW(orderHistory[customer])),""),ROWS($A$15:A24)+$B$3)),INDEX(orderHistory[order_no],SMALL(IF(ISNUMBER(MATCH(orderHistory[status],$D$11,0)*MATCH(YEAR(orderHistory[invoice_date]),$D$15,0)),MATCH(ROW(orderHistory[customer]),ROW(orderHistory[customer])),""),ROWS($A$15:A24)+$B$3))),IF($D$15="",INDEX(orderHistory[order_no],SMALL(IF(ISNUMBER(MATCH(orderHistory[status],$D$11,0)*MATCH(orderHistory[order_type],$D$13,0)),MATCH(ROW(orderHistory[customer]),ROW(orderHistory[customer])),""),ROWS($A$15:A24)+$B$3)),INDEX(orderHistory[order_no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order_no],SMALL(IF(ISNUMBER(MATCH(orderHistory[customer],$D$9,0)),MATCH(ROW(orderHistory[customer]),ROW(orderHistory[customer])),""),ROWS($A$15:A24)+$B$3)),INDEX(orderHistory[order_no],SMALL(IF(ISNUMBER(MATCH(orderHistory[customer],$D$9,0)*MATCH(YEAR(orderHistory[invoice_date]),$D$15,0)),MATCH(ROW(orderHistory[customer]),ROW(orderHistory[customer])),""),ROWS($A$15:A24)+$B$3))),IF($D$15="",INDEX(orderHistory[order_no],SMALL(IF(ISNUMBER(MATCH(orderHistory[customer],$D$9,0)*MATCH(orderHistory[order_type],$D$13,0)),MATCH(ROW(orderHistory[customer]),ROW(orderHistory[customer])),""),ROWS($A$15:A24)+$B$3)),INDEX(orderHistory[order_no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order_no],SMALL(IF(ISNUMBER(MATCH(orderHistory[customer],$D$9,0)*MATCH(orderHistory[status],$D$11,0)),MATCH(ROW(orderHistory[customer]),ROW(orderHistory[customer])),""),ROWS($A$15:A24)+$B$3)),INDEX(orderHistory[order_no],SMALL(IF(ISNUMBER(MATCH(orderHistory[customer],$D$9,0)*MATCH(orderHistory[status],$D$11,0)*MATCH(YEAR(orderHistory[invoice_date]),$D$15,0)),MATCH(ROW(orderHistory[customer]),ROW(orderHistory[customer])),""),ROWS($A$15:A24)+$B$3))),IF($D$15="",INDEX(orderHistory[order_no],SMALL(IF(ISNUMBER(MATCH(orderHistory[customer],$D$9,0)*MATCH(orderHistory[status],$D$11,0)*MATCH(orderHistory[order_type],$D$13,0)),MATCH(ROW(orderHistory[customer]),ROW(orderHistory[customer])),""),ROWS($A$15:A24)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77</v>
      </c>
      <c r="N19" s="383" t="str">
        <f t="array" ref="N19">IFERROR(IF($D$9="",IF($D$11="",IF($D$13="",IF($D$15="",INDEX(orderHistory[order_type],SMALL(MATCH(ROW(orderHistory[customer]),ROW(orderHistory[customer])),ROWS($A$15:A24)+$B$3)),INDEX(orderHistory[order_type],SMALL(IF(ISNUMBER(MATCH(YEAR(orderHistory[invoice_date]),$D$15,0)),MATCH(ROW(orderHistory[customer]),ROW(orderHistory[customer])),""),ROWS($A$15:A24)+$B$3))),IF($D$15="",INDEX(orderHistory[order_type],SMALL(IF(ISNUMBER(MATCH(orderHistory[order_type],$D$13,0)),MATCH(ROW(orderHistory[customer]),ROW(orderHistory[customer])),""),ROWS($A$15:A24)+$B$3)),INDEX(orderHistory[order_type],SMALL(IF(ISNUMBER(MATCH(orderHistory[order_type],$D$13,0)*MATCH(YEAR(orderHistory[invoice_date]),$D$15,0)),MATCH(ROW(orderHistory[customer]),ROW(orderHistory[customer])),""),ROWS($A$15:A24)+$B$3)))),IF($D$13="",IF($D$15="",INDEX(orderHistory[order_type],SMALL(IF(ISNUMBER(MATCH(orderHistory[status],$D$11,0)),MATCH(ROW(orderHistory[customer]),ROW(orderHistory[customer])),""),ROWS($A$15:A24)+$B$3)),INDEX(orderHistory[order_type],SMALL(IF(ISNUMBER(MATCH(orderHistory[status],$D$11,0)*MATCH(YEAR(orderHistory[invoice_date]),$D$15,0)),MATCH(ROW(orderHistory[customer]),ROW(orderHistory[customer])),""),ROWS($A$15:A24)+$B$3))),IF($D$15="",INDEX(orderHistory[order_type],SMALL(IF(ISNUMBER(MATCH(orderHistory[status],$D$11,0)*MATCH(orderHistory[order_type],$D$13,0)),MATCH(ROW(orderHistory[customer]),ROW(orderHistory[customer])),""),ROWS($A$15:A24)+$B$3)),INDEX(orderHistory[order_type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order_type],SMALL(IF(ISNUMBER(MATCH(orderHistory[customer],$D$9,0)),MATCH(ROW(orderHistory[customer]),ROW(orderHistory[customer])),""),ROWS($A$15:A24)+$B$3)),INDEX(orderHistory[order_type],SMALL(IF(ISNUMBER(MATCH(orderHistory[customer],$D$9,0)*MATCH(YEAR(orderHistory[invoice_date]),$D$15,0)),MATCH(ROW(orderHistory[customer]),ROW(orderHistory[customer])),""),ROWS($A$15:A24)+$B$3))),IF($D$15="",INDEX(orderHistory[order_type],SMALL(IF(ISNUMBER(MATCH(orderHistory[customer],$D$9,0)*MATCH(orderHistory[order_type],$D$13,0)),MATCH(ROW(orderHistory[customer]),ROW(orderHistory[customer])),""),ROWS($A$15:A24)+$B$3)),INDEX(orderHistory[order_type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order_type],SMALL(IF(ISNUMBER(MATCH(orderHistory[customer],$D$9,0)*MATCH(orderHistory[status],$D$11,0)),MATCH(ROW(orderHistory[customer]),ROW(orderHistory[customer])),""),ROWS($A$15:A24)+$B$3)),INDEX(orderHistory[order_type],SMALL(IF(ISNUMBER(MATCH(orderHistory[customer],$D$9,0)*MATCH(orderHistory[status],$D$11,0)*MATCH(YEAR(orderHistory[invoice_date]),$D$15,0)),MATCH(ROW(orderHistory[customer]),ROW(orderHistory[customer])),""),ROWS($A$15:A24)+$B$3))),IF($D$15="",INDEX(orderHistory[order_type],SMALL(IF(ISNUMBER(MATCH(orderHistory[customer],$D$9,0)*MATCH(orderHistory[status],$D$11,0)*MATCH(orderHistory[order_type],$D$13,0)),MATCH(ROW(orderHistory[customer]),ROW(orderHistory[customer])),""),ROWS($A$15:A24)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SALE</v>
      </c>
      <c r="O19" s="384">
        <f t="array" ref="O19">IFERROR(IF($D$9="",IF($D$11="",IF($D$13="",IF($D$15="",INDEX(orderHistory[order_date],SMALL(MATCH(ROW(orderHistory[customer]),ROW(orderHistory[customer])),ROWS($A$15:A24)+$B$3)),INDEX(orderHistory[order_date],SMALL(IF(ISNUMBER(MATCH(YEAR(orderHistory[invoice_date]),$D$15,0)),MATCH(ROW(orderHistory[customer]),ROW(orderHistory[customer])),""),ROWS($A$15:A24)+$B$3))),IF($D$15="",INDEX(orderHistory[order_date],SMALL(IF(ISNUMBER(MATCH(orderHistory[order_type],$D$13,0)),MATCH(ROW(orderHistory[customer]),ROW(orderHistory[customer])),""),ROWS($A$15:A24)+$B$3)),INDEX(orderHistory[order_date],SMALL(IF(ISNUMBER(MATCH(orderHistory[order_type],$D$13,0)*MATCH(YEAR(orderHistory[invoice_date]),$D$15,0)),MATCH(ROW(orderHistory[customer]),ROW(orderHistory[customer])),""),ROWS($A$15:A24)+$B$3)))),IF($D$13="",IF($D$15="",INDEX(orderHistory[order_date],SMALL(IF(ISNUMBER(MATCH(orderHistory[status],$D$11,0)),MATCH(ROW(orderHistory[customer]),ROW(orderHistory[customer])),""),ROWS($A$15:A24)+$B$3)),INDEX(orderHistory[order_date],SMALL(IF(ISNUMBER(MATCH(orderHistory[status],$D$11,0)*MATCH(YEAR(orderHistory[invoice_date]),$D$15,0)),MATCH(ROW(orderHistory[customer]),ROW(orderHistory[customer])),""),ROWS($A$15:A24)+$B$3))),IF($D$15="",INDEX(orderHistory[order_date],SMALL(IF(ISNUMBER(MATCH(orderHistory[status],$D$11,0)*MATCH(orderHistory[order_type],$D$13,0)),MATCH(ROW(orderHistory[customer]),ROW(orderHistory[customer])),""),ROWS($A$15:A24)+$B$3)),INDEX(orderHistory[order_date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order_date],SMALL(IF(ISNUMBER(MATCH(orderHistory[customer],$D$9,0)),MATCH(ROW(orderHistory[customer]),ROW(orderHistory[customer])),""),ROWS($A$15:A24)+$B$3)),INDEX(orderHistory[order_date],SMALL(IF(ISNUMBER(MATCH(orderHistory[customer],$D$9,0)*MATCH(YEAR(orderHistory[invoice_date]),$D$15,0)),MATCH(ROW(orderHistory[customer]),ROW(orderHistory[customer])),""),ROWS($A$15:A24)+$B$3))),IF($D$15="",INDEX(orderHistory[order_date],SMALL(IF(ISNUMBER(MATCH(orderHistory[customer],$D$9,0)*MATCH(orderHistory[order_type],$D$13,0)),MATCH(ROW(orderHistory[customer]),ROW(orderHistory[customer])),""),ROWS($A$15:A24)+$B$3)),INDEX(orderHistory[order_date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order_date],SMALL(IF(ISNUMBER(MATCH(orderHistory[customer],$D$9,0)*MATCH(orderHistory[status],$D$11,0)),MATCH(ROW(orderHistory[customer]),ROW(orderHistory[customer])),""),ROWS($A$15:A24)+$B$3)),INDEX(orderHistory[order_date],SMALL(IF(ISNUMBER(MATCH(orderHistory[customer],$D$9,0)*MATCH(orderHistory[status],$D$11,0)*MATCH(YEAR(orderHistory[invoice_date]),$D$15,0)),MATCH(ROW(orderHistory[customer]),ROW(orderHistory[customer])),""),ROWS($A$15:A24)+$B$3))),IF($D$15="",INDEX(orderHistory[order_date],SMALL(IF(ISNUMBER(MATCH(orderHistory[customer],$D$9,0)*MATCH(orderHistory[status],$D$11,0)*MATCH(orderHistory[order_type],$D$13,0)),MATCH(ROW(orderHistory[customer]),ROW(orderHistory[customer])),""),ROWS($A$15:A24)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45488</v>
      </c>
      <c r="P19" s="385" t="str">
        <f t="array" ref="P19">IFERROR(IF($D$9="",IF($D$11="",IF($D$13="",IF($D$15="",INDEX(orderHistory[invoice_no],SMALL(MATCH(ROW(orderHistory[customer]),ROW(orderHistory[customer])),ROWS($A$15:A24)+$B$3)),INDEX(orderHistory[invoice_no],SMALL(IF(ISNUMBER(MATCH(YEAR(orderHistory[invoice_date]),$D$15,0)),MATCH(ROW(orderHistory[customer]),ROW(orderHistory[customer])),""),ROWS($A$15:A24)+$B$3))),IF($D$15="",INDEX(orderHistory[invoice_no],SMALL(IF(ISNUMBER(MATCH(orderHistory[order_type],$D$13,0)),MATCH(ROW(orderHistory[customer]),ROW(orderHistory[customer])),""),ROWS($A$15:A24)+$B$3)),INDEX(orderHistory[invoice_no],SMALL(IF(ISNUMBER(MATCH(orderHistory[order_type],$D$13,0)*MATCH(YEAR(orderHistory[invoice_date]),$D$15,0)),MATCH(ROW(orderHistory[customer]),ROW(orderHistory[customer])),""),ROWS($A$15:A24)+$B$3)))),IF($D$13="",IF($D$15="",INDEX(orderHistory[invoice_no],SMALL(IF(ISNUMBER(MATCH(orderHistory[status],$D$11,0)),MATCH(ROW(orderHistory[customer]),ROW(orderHistory[customer])),""),ROWS($A$15:A24)+$B$3)),INDEX(orderHistory[invoice_no],SMALL(IF(ISNUMBER(MATCH(orderHistory[status],$D$11,0)*MATCH(YEAR(orderHistory[invoice_date]),$D$15,0)),MATCH(ROW(orderHistory[customer]),ROW(orderHistory[customer])),""),ROWS($A$15:A24)+$B$3))),IF($D$15="",INDEX(orderHistory[invoice_no],SMALL(IF(ISNUMBER(MATCH(orderHistory[status],$D$11,0)*MATCH(orderHistory[order_type],$D$13,0)),MATCH(ROW(orderHistory[customer]),ROW(orderHistory[customer])),""),ROWS($A$15:A24)+$B$3)),INDEX(orderHistory[invoice_no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invoice_no],SMALL(IF(ISNUMBER(MATCH(orderHistory[customer],$D$9,0)),MATCH(ROW(orderHistory[customer]),ROW(orderHistory[customer])),""),ROWS($A$15:A24)+$B$3)),INDEX(orderHistory[invoice_no],SMALL(IF(ISNUMBER(MATCH(orderHistory[customer],$D$9,0)*MATCH(YEAR(orderHistory[invoice_date]),$D$15,0)),MATCH(ROW(orderHistory[customer]),ROW(orderHistory[customer])),""),ROWS($A$15:A24)+$B$3))),IF($D$15="",INDEX(orderHistory[invoice_no],SMALL(IF(ISNUMBER(MATCH(orderHistory[customer],$D$9,0)*MATCH(orderHistory[order_type],$D$13,0)),MATCH(ROW(orderHistory[customer]),ROW(orderHistory[customer])),""),ROWS($A$15:A24)+$B$3)),INDEX(orderHistory[invoice_no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invoice_no],SMALL(IF(ISNUMBER(MATCH(orderHistory[customer],$D$9,0)*MATCH(orderHistory[status],$D$11,0)),MATCH(ROW(orderHistory[customer]),ROW(orderHistory[customer])),""),ROWS($A$15:A24)+$B$3)),INDEX(orderHistory[invoice_no],SMALL(IF(ISNUMBER(MATCH(orderHistory[customer],$D$9,0)*MATCH(orderHistory[status],$D$11,0)*MATCH(YEAR(orderHistory[invoice_date]),$D$15,0)),MATCH(ROW(orderHistory[customer]),ROW(orderHistory[customer])),""),ROWS($A$15:A24)+$B$3))),IF($D$15="",INDEX(orderHistory[invoice_no],SMALL(IF(ISNUMBER(MATCH(orderHistory[customer],$D$9,0)*MATCH(orderHistory[status],$D$11,0)*MATCH(orderHistory[order_type],$D$13,0)),MATCH(ROW(orderHistory[customer]),ROW(orderHistory[customer])),""),ROWS($A$15:A24)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297</v>
      </c>
      <c r="Q19" s="386">
        <f t="array" ref="Q19">IFERROR(IF($D$9="",IF($D$11="",IF($D$13="",IF($D$15="",INDEX(orderHistory[invoice_date],SMALL(MATCH(ROW(orderHistory[customer]),ROW(orderHistory[customer])),ROWS($A$15:A24)+$B$3)),INDEX(orderHistory[invoice_date],SMALL(IF(ISNUMBER(MATCH(YEAR(orderHistory[invoice_date]),$D$15,0)),MATCH(ROW(orderHistory[customer]),ROW(orderHistory[customer])),""),ROWS($A$15:A24)+$B$3))),IF($D$15="",INDEX(orderHistory[invoice_date],SMALL(IF(ISNUMBER(MATCH(orderHistory[order_type],$D$13,0)),MATCH(ROW(orderHistory[customer]),ROW(orderHistory[customer])),""),ROWS($A$15:A24)+$B$3)),INDEX(orderHistory[invoice_date],SMALL(IF(ISNUMBER(MATCH(orderHistory[order_type],$D$13,0)*MATCH(YEAR(orderHistory[invoice_date]),$D$15,0)),MATCH(ROW(orderHistory[customer]),ROW(orderHistory[customer])),""),ROWS($A$15:A24)+$B$3)))),IF($D$13="",IF($D$15="",INDEX(orderHistory[invoice_date],SMALL(IF(ISNUMBER(MATCH(orderHistory[status],$D$11,0)),MATCH(ROW(orderHistory[customer]),ROW(orderHistory[customer])),""),ROWS($A$15:A24)+$B$3)),INDEX(orderHistory[invoice_date],SMALL(IF(ISNUMBER(MATCH(orderHistory[status],$D$11,0)*MATCH(YEAR(orderHistory[invoice_date]),$D$15,0)),MATCH(ROW(orderHistory[customer]),ROW(orderHistory[customer])),""),ROWS($A$15:A24)+$B$3))),IF($D$15="",INDEX(orderHistory[invoice_date],SMALL(IF(ISNUMBER(MATCH(orderHistory[status],$D$11,0)*MATCH(orderHistory[order_type],$D$13,0)),MATCH(ROW(orderHistory[customer]),ROW(orderHistory[customer])),""),ROWS($A$15:A24)+$B$3)),INDEX(orderHistory[invoice_date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invoice_date],SMALL(IF(ISNUMBER(MATCH(orderHistory[customer],$D$9,0)),MATCH(ROW(orderHistory[customer]),ROW(orderHistory[customer])),""),ROWS($A$15:A24)+$B$3)),INDEX(orderHistory[invoice_date],SMALL(IF(ISNUMBER(MATCH(orderHistory[customer],$D$9,0)*MATCH(YEAR(orderHistory[invoice_date]),$D$15,0)),MATCH(ROW(orderHistory[customer]),ROW(orderHistory[customer])),""),ROWS($A$15:A24)+$B$3))),IF($D$15="",INDEX(orderHistory[invoice_date],SMALL(IF(ISNUMBER(MATCH(orderHistory[customer],$D$9,0)*MATCH(orderHistory[order_type],$D$13,0)),MATCH(ROW(orderHistory[customer]),ROW(orderHistory[customer])),""),ROWS($A$15:A24)+$B$3)),INDEX(orderHistory[invoice_date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invoice_date],SMALL(IF(ISNUMBER(MATCH(orderHistory[customer],$D$9,0)*MATCH(orderHistory[status],$D$11,0)),MATCH(ROW(orderHistory[customer]),ROW(orderHistory[customer])),""),ROWS($A$15:A24)+$B$3)),INDEX(orderHistory[invoice_date],SMALL(IF(ISNUMBER(MATCH(orderHistory[customer],$D$9,0)*MATCH(orderHistory[status],$D$11,0)*MATCH(YEAR(orderHistory[invoice_date]),$D$15,0)),MATCH(ROW(orderHistory[customer]),ROW(orderHistory[customer])),""),ROWS($A$15:A24)+$B$3))),IF($D$15="",INDEX(orderHistory[invoice_date],SMALL(IF(ISNUMBER(MATCH(orderHistory[customer],$D$9,0)*MATCH(orderHistory[status],$D$11,0)*MATCH(orderHistory[order_type],$D$13,0)),MATCH(ROW(orderHistory[customer]),ROW(orderHistory[customer])),""),ROWS($A$15:A24)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45524</v>
      </c>
      <c r="R19" s="387">
        <f t="array" ref="R19">IFERROR(IF($D$9="",IF($D$11="",IF($D$13="",IF($D$15="",INDEX(orderHistory[inv_amount],SMALL(MATCH(ROW(orderHistory[customer]),ROW(orderHistory[customer])),ROWS($A$15:A24)+$B$3)),INDEX(orderHistory[inv_amount],SMALL(IF(ISNUMBER(MATCH(YEAR(orderHistory[invoice_date]),$D$15,0)),MATCH(ROW(orderHistory[customer]),ROW(orderHistory[customer])),""),ROWS($A$15:A24)+$B$3))),IF($D$15="",INDEX(orderHistory[inv_amount],SMALL(IF(ISNUMBER(MATCH(orderHistory[order_type],$D$13,0)),MATCH(ROW(orderHistory[customer]),ROW(orderHistory[customer])),""),ROWS($A$15:A24)+$B$3)),INDEX(orderHistory[inv_amount],SMALL(IF(ISNUMBER(MATCH(orderHistory[order_type],$D$13,0)*MATCH(YEAR(orderHistory[invoice_date]),$D$15,0)),MATCH(ROW(orderHistory[customer]),ROW(orderHistory[customer])),""),ROWS($A$15:A24)+$B$3)))),IF($D$13="",IF($D$15="",INDEX(orderHistory[inv_amount],SMALL(IF(ISNUMBER(MATCH(orderHistory[status],$D$11,0)),MATCH(ROW(orderHistory[customer]),ROW(orderHistory[customer])),""),ROWS($A$15:A24)+$B$3)),INDEX(orderHistory[inv_amount],SMALL(IF(ISNUMBER(MATCH(orderHistory[status],$D$11,0)*MATCH(YEAR(orderHistory[invoice_date]),$D$15,0)),MATCH(ROW(orderHistory[customer]),ROW(orderHistory[customer])),""),ROWS($A$15:A24)+$B$3))),IF($D$15="",INDEX(orderHistory[inv_amount],SMALL(IF(ISNUMBER(MATCH(orderHistory[status],$D$11,0)*MATCH(orderHistory[order_type],$D$13,0)),MATCH(ROW(orderHistory[customer]),ROW(orderHistory[customer])),""),ROWS($A$15:A24)+$B$3)),INDEX(orderHistory[inv_amount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inv_amount],SMALL(IF(ISNUMBER(MATCH(orderHistory[customer],$D$9,0)),MATCH(ROW(orderHistory[customer]),ROW(orderHistory[customer])),""),ROWS($A$15:A24)+$B$3)),INDEX(orderHistory[inv_amount],SMALL(IF(ISNUMBER(MATCH(orderHistory[customer],$D$9,0)*MATCH(YEAR(orderHistory[invoice_date]),$D$15,0)),MATCH(ROW(orderHistory[customer]),ROW(orderHistory[customer])),""),ROWS($A$15:A24)+$B$3))),IF($D$15="",INDEX(orderHistory[inv_amount],SMALL(IF(ISNUMBER(MATCH(orderHistory[customer],$D$9,0)*MATCH(orderHistory[order_type],$D$13,0)),MATCH(ROW(orderHistory[customer]),ROW(orderHistory[customer])),""),ROWS($A$15:A24)+$B$3)),INDEX(orderHistory[inv_amount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inv_amount],SMALL(IF(ISNUMBER(MATCH(orderHistory[customer],$D$9,0)*MATCH(orderHistory[status],$D$11,0)),MATCH(ROW(orderHistory[customer]),ROW(orderHistory[customer])),""),ROWS($A$15:A24)+$B$3)),INDEX(orderHistory[inv_amount],SMALL(IF(ISNUMBER(MATCH(orderHistory[customer],$D$9,0)*MATCH(orderHistory[status],$D$11,0)*MATCH(YEAR(orderHistory[inv_amount]),$D$15,0)),MATCH(ROW(orderHistory[customer]),ROW(orderHistory[customer])),""),ROWS($A$15:A24)+$B$3))),IF($D$15="",INDEX(orderHistory[inv_amount],SMALL(IF(ISNUMBER(MATCH(orderHistory[customer],$D$9,0)*MATCH(orderHistory[status],$D$11,0)*MATCH(orderHistory[order_type],$D$13,0)),MATCH(ROW(orderHistory[customer]),ROW(orderHistory[customer])),""),ROWS($A$15:A24)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28491.504389414076</v>
      </c>
      <c r="S19" s="465" t="str">
        <f t="array" ref="S19">IFERROR(IF($D$9="",IF($D$11="",IF($D$13="",IF($D$15="",INDEX(orderHistory[lock_goods],SMALL(MATCH(ROW(orderHistory[customer]),ROW(orderHistory[customer])),ROWS($A$15:A24)+$B$3)),INDEX(orderHistory[lock_goods],SMALL(IF(ISNUMBER(MATCH(YEAR(orderHistory[invoice_date]),$D$15,0)),MATCH(ROW(orderHistory[customer]),ROW(orderHistory[customer])),""),ROWS($A$15:A24)+$B$3))),IF($D$15="",INDEX(orderHistory[lock_goods],SMALL(IF(ISNUMBER(MATCH(orderHistory[order_type],$D$13,0)),MATCH(ROW(orderHistory[customer]),ROW(orderHistory[customer])),""),ROWS($A$15:A24)+$B$3)),INDEX(orderHistory[lock_goods],SMALL(IF(ISNUMBER(MATCH(orderHistory[order_type],$D$13,0)*MATCH(YEAR(orderHistory[invoice_date]),$D$15,0)),MATCH(ROW(orderHistory[customer]),ROW(orderHistory[customer])),""),ROWS($A$15:A24)+$B$3)))),IF($D$13="",IF($D$15="",INDEX(orderHistory[lock_goods],SMALL(IF(ISNUMBER(MATCH(orderHistory[status],$D$11,0)),MATCH(ROW(orderHistory[customer]),ROW(orderHistory[customer])),""),ROWS($A$15:A24)+$B$3)),INDEX(orderHistory[lock_goods],SMALL(IF(ISNUMBER(MATCH(orderHistory[status],$D$11,0)*MATCH(YEAR(orderHistory[invoice_date]),$D$15,0)),MATCH(ROW(orderHistory[customer]),ROW(orderHistory[customer])),""),ROWS($A$15:A24)+$B$3))),IF($D$15="",INDEX(orderHistory[lock_goods],SMALL(IF(ISNUMBER(MATCH(orderHistory[status],$D$11,0)*MATCH(orderHistory[order_type],$D$13,0)),MATCH(ROW(orderHistory[customer]),ROW(orderHistory[customer])),""),ROWS($A$15:A24)+$B$3)),INDEX(orderHistory[lock_goods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lock_goods],SMALL(IF(ISNUMBER(MATCH(orderHistory[customer],$D$9,0)),MATCH(ROW(orderHistory[customer]),ROW(orderHistory[customer])),""),ROWS($A$15:A24)+$B$3)),INDEX(orderHistory[lock_goods],SMALL(IF(ISNUMBER(MATCH(orderHistory[customer],$D$9,0)*MATCH(YEAR(orderHistory[invoice_date]),$D$15,0)),MATCH(ROW(orderHistory[customer]),ROW(orderHistory[customer])),""),ROWS($A$15:A24)+$B$3))),IF($D$15="",INDEX(orderHistory[lock_goods],SMALL(IF(ISNUMBER(MATCH(orderHistory[customer],$D$9,0)*MATCH(orderHistory[order_type],$D$13,0)),MATCH(ROW(orderHistory[customer]),ROW(orderHistory[customer])),""),ROWS($A$15:A24)+$B$3)),INDEX(orderHistory[lock_goods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lock_goods],SMALL(IF(ISNUMBER(MATCH(orderHistory[customer],$D$9,0)*MATCH(orderHistory[status],$D$11,0)),MATCH(ROW(orderHistory[customer]),ROW(orderHistory[customer])),""),ROWS($A$15:A24)+$B$3)),INDEX(orderHistory[lock_goods],SMALL(IF(ISNUMBER(MATCH(orderHistory[customer],$D$9,0)*MATCH(orderHistory[status],$D$11,0)*MATCH(YEAR(orderHistory[payed]),$D$15,0)),MATCH(ROW(orderHistory[customer]),ROW(orderHistory[customer])),""),ROWS($A$15:A24)+$B$3))),IF($D$15="",INDEX(orderHistory[lock_goods],SMALL(IF(ISNUMBER(MATCH(orderHistory[customer],$D$9,0)*MATCH(orderHistory[status],$D$11,0)*MATCH(orderHistory[order_type],$D$13,0)),MATCH(ROW(orderHistory[customer]),ROW(orderHistory[customer])),""),ROWS($A$15:A24)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GOODS SENT</v>
      </c>
      <c r="T19" s="388" t="b">
        <f t="array" ref="T19">IFERROR(IF($D$9="",IF($D$11="",IF($D$13="",IF($D$15="",INDEX(orderHistory[payed],SMALL(MATCH(ROW(orderHistory[customer]),ROW(orderHistory[customer])),ROWS($A$15:A24)+$B$3)),INDEX(orderHistory[payed],SMALL(IF(ISNUMBER(MATCH(YEAR(orderHistory[invoice_date]),$D$15,0)),MATCH(ROW(orderHistory[customer]),ROW(orderHistory[customer])),""),ROWS($A$15:A24)+$B$3))),IF($D$15="",INDEX(orderHistory[payed],SMALL(IF(ISNUMBER(MATCH(orderHistory[order_type],$D$13,0)),MATCH(ROW(orderHistory[customer]),ROW(orderHistory[customer])),""),ROWS($A$15:A24)+$B$3)),INDEX(orderHistory[payed],SMALL(IF(ISNUMBER(MATCH(orderHistory[order_type],$D$13,0)*MATCH(YEAR(orderHistory[invoice_date]),$D$15,0)),MATCH(ROW(orderHistory[customer]),ROW(orderHistory[customer])),""),ROWS($A$15:A24)+$B$3)))),IF($D$13="",IF($D$15="",INDEX(orderHistory[payed],SMALL(IF(ISNUMBER(MATCH(orderHistory[status],$D$11,0)),MATCH(ROW(orderHistory[customer]),ROW(orderHistory[customer])),""),ROWS($A$15:A24)+$B$3)),INDEX(orderHistory[payed],SMALL(IF(ISNUMBER(MATCH(orderHistory[status],$D$11,0)*MATCH(YEAR(orderHistory[invoice_date]),$D$15,0)),MATCH(ROW(orderHistory[customer]),ROW(orderHistory[customer])),""),ROWS($A$15:A24)+$B$3))),IF($D$15="",INDEX(orderHistory[payed],SMALL(IF(ISNUMBER(MATCH(orderHistory[status],$D$11,0)*MATCH(orderHistory[order_type],$D$13,0)),MATCH(ROW(orderHistory[customer]),ROW(orderHistory[customer])),""),ROWS($A$15:A24)+$B$3)),INDEX(orderHistory[payed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payed],SMALL(IF(ISNUMBER(MATCH(orderHistory[customer],$D$9,0)),MATCH(ROW(orderHistory[customer]),ROW(orderHistory[customer])),""),ROWS($A$15:A24)+$B$3)),INDEX(orderHistory[payed],SMALL(IF(ISNUMBER(MATCH(orderHistory[customer],$D$9,0)*MATCH(YEAR(orderHistory[invoice_date]),$D$15,0)),MATCH(ROW(orderHistory[customer]),ROW(orderHistory[customer])),""),ROWS($A$15:A24)+$B$3))),IF($D$15="",INDEX(orderHistory[payed],SMALL(IF(ISNUMBER(MATCH(orderHistory[customer],$D$9,0)*MATCH(orderHistory[order_type],$D$13,0)),MATCH(ROW(orderHistory[customer]),ROW(orderHistory[customer])),""),ROWS($A$15:A24)+$B$3)),INDEX(orderHistory[payed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payed],SMALL(IF(ISNUMBER(MATCH(orderHistory[customer],$D$9,0)*MATCH(orderHistory[status],$D$11,0)),MATCH(ROW(orderHistory[customer]),ROW(orderHistory[customer])),""),ROWS($A$15:A24)+$B$3)),INDEX(orderHistory[payed],SMALL(IF(ISNUMBER(MATCH(orderHistory[customer],$D$9,0)*MATCH(orderHistory[status],$D$11,0)*MATCH(YEAR(orderHistory[payed]),$D$15,0)),MATCH(ROW(orderHistory[customer]),ROW(orderHistory[customer])),""),ROWS($A$15:A24)+$B$3))),IF($D$15="",INDEX(orderHistory[payed],SMALL(IF(ISNUMBER(MATCH(orderHistory[customer],$D$9,0)*MATCH(orderHistory[status],$D$11,0)*MATCH(orderHistory[order_type],$D$13,0)),MATCH(ROW(orderHistory[customer]),ROW(orderHistory[customer])),""),ROWS($A$15:A24)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1</v>
      </c>
      <c r="U19" s="383" t="str">
        <f t="array" ref="U19">IFERROR(IF($D$9="",IF($D$11="",IF($D$13="",IF($D$15="",INDEX(orderHistory[shipping_method],SMALL(MATCH(ROW(orderHistory[customer]),ROW(orderHistory[customer])),ROWS($A$15:A24)+$B$3)),INDEX(orderHistory[shipping_method],SMALL(IF(ISNUMBER(MATCH(YEAR(orderHistory[invoice_date]),$D$15,0)),MATCH(ROW(orderHistory[customer]),ROW(orderHistory[customer])),""),ROWS($A$15:A24)+$B$3))),IF($D$15="",INDEX(orderHistory[shipping_method],SMALL(IF(ISNUMBER(MATCH(orderHistory[order_type],$D$13,0)),MATCH(ROW(orderHistory[customer]),ROW(orderHistory[customer])),""),ROWS($A$15:A24)+$B$3)),INDEX(orderHistory[shipping_method],SMALL(IF(ISNUMBER(MATCH(orderHistory[order_type],$D$13,0)*MATCH(YEAR(orderHistory[invoice_date]),$D$15,0)),MATCH(ROW(orderHistory[customer]),ROW(orderHistory[customer])),""),ROWS($A$15:A24)+$B$3)))),IF($D$13="",IF($D$15="",INDEX(orderHistory[shipping_method],SMALL(IF(ISNUMBER(MATCH(orderHistory[status],$D$11,0)),MATCH(ROW(orderHistory[customer]),ROW(orderHistory[customer])),""),ROWS($A$15:A24)+$B$3)),INDEX(orderHistory[shipping_method],SMALL(IF(ISNUMBER(MATCH(orderHistory[status],$D$11,0)*MATCH(YEAR(orderHistory[invoice_date]),$D$15,0)),MATCH(ROW(orderHistory[customer]),ROW(orderHistory[customer])),""),ROWS($A$15:A24)+$B$3))),IF($D$15="",INDEX(orderHistory[shipping_method],SMALL(IF(ISNUMBER(MATCH(orderHistory[status],$D$11,0)*MATCH(orderHistory[order_type],$D$13,0)),MATCH(ROW(orderHistory[customer]),ROW(orderHistory[customer])),""),ROWS($A$15:A24)+$B$3)),INDEX(orderHistory[shipping_method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shipping_method],SMALL(IF(ISNUMBER(MATCH(orderHistory[customer],$D$9,0)),MATCH(ROW(orderHistory[customer]),ROW(orderHistory[customer])),""),ROWS($A$15:A24)+$B$3)),INDEX(orderHistory[shipping_method],SMALL(IF(ISNUMBER(MATCH(orderHistory[customer],$D$9,0)*MATCH(YEAR(orderHistory[invoice_date]),$D$15,0)),MATCH(ROW(orderHistory[customer]),ROW(orderHistory[customer])),""),ROWS($A$15:A24)+$B$3))),IF($D$15="",INDEX(orderHistory[shipping_method],SMALL(IF(ISNUMBER(MATCH(orderHistory[customer],$D$9,0)*MATCH(orderHistory[order_type],$D$13,0)),MATCH(ROW(orderHistory[customer]),ROW(orderHistory[customer])),""),ROWS($A$15:A24)+$B$3)),INDEX(orderHistory[shipping_method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shipping_method],SMALL(IF(ISNUMBER(MATCH(orderHistory[customer],$D$9,0)*MATCH(orderHistory[status],$D$11,0)),MATCH(ROW(orderHistory[customer]),ROW(orderHistory[customer])),""),ROWS($A$15:A24)+$B$3)),INDEX(orderHistory[shipping_method],SMALL(IF(ISNUMBER(MATCH(orderHistory[customer],$D$9,0)*MATCH(orderHistory[status],$D$11,0)*MATCH(YEAR(orderHistory[shipping_method]),$D$15,0)),MATCH(ROW(orderHistory[customer]),ROW(orderHistory[customer])),""),ROWS($A$15:A24)+$B$3))),IF($D$15="",INDEX(orderHistory[shipping_method],SMALL(IF(ISNUMBER(MATCH(orderHistory[customer],$D$9,0)*MATCH(orderHistory[status],$D$11,0)*MATCH(orderHistory[order_type],$D$13,0)),MATCH(ROW(orderHistory[customer]),ROW(orderHistory[customer])),""),ROWS($A$15:A24)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BY AIR</v>
      </c>
      <c r="V19" s="388" t="str">
        <f t="array" ref="V19">IFERROR(IF($D$9="",IF($D$11="",IF($D$13="",IF($D$15="",INDEX(orderHistory[status],SMALL(MATCH(ROW(orderHistory[customer]),ROW(orderHistory[customer])),ROWS($A$15:A24)+$B$3)),INDEX(orderHistory[status],SMALL(IF(ISNUMBER(MATCH(YEAR(orderHistory[invoice_date]),$D$15,0)),MATCH(ROW(orderHistory[customer]),ROW(orderHistory[customer])),""),ROWS($A$15:A24)+$B$3))),IF($D$15="",INDEX(orderHistory[status],SMALL(IF(ISNUMBER(MATCH(orderHistory[order_type],$D$13,0)),MATCH(ROW(orderHistory[customer]),ROW(orderHistory[customer])),""),ROWS($A$15:A24)+$B$3)),INDEX(orderHistory[status],SMALL(IF(ISNUMBER(MATCH(orderHistory[order_type],$D$13,0)*MATCH(YEAR(orderHistory[invoice_date]),$D$15,0)),MATCH(ROW(orderHistory[customer]),ROW(orderHistory[customer])),""),ROWS($A$15:A24)+$B$3)))),IF($D$13="",IF($D$15="",INDEX(orderHistory[status],SMALL(IF(ISNUMBER(MATCH(orderHistory[status],$D$11,0)),MATCH(ROW(orderHistory[customer]),ROW(orderHistory[customer])),""),ROWS($A$15:A24)+$B$3)),INDEX(orderHistory[status],SMALL(IF(ISNUMBER(MATCH(orderHistory[status],$D$11,0)*MATCH(YEAR(orderHistory[invoice_date]),$D$15,0)),MATCH(ROW(orderHistory[customer]),ROW(orderHistory[customer])),""),ROWS($A$15:A24)+$B$3))),IF($D$15="",INDEX(orderHistory[status],SMALL(IF(ISNUMBER(MATCH(orderHistory[status],$D$11,0)*MATCH(orderHistory[order_type],$D$13,0)),MATCH(ROW(orderHistory[customer]),ROW(orderHistory[customer])),""),ROWS($A$15:A24)+$B$3)),INDEX(orderHistory[status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status],SMALL(IF(ISNUMBER(MATCH(orderHistory[customer],$D$9,0)),MATCH(ROW(orderHistory[customer]),ROW(orderHistory[customer])),""),ROWS($A$15:A24)+$B$3)),INDEX(orderHistory[status],SMALL(IF(ISNUMBER(MATCH(orderHistory[customer],$D$9,0)*MATCH(YEAR(orderHistory[invoice_date]),$D$15,0)),MATCH(ROW(orderHistory[customer]),ROW(orderHistory[customer])),""),ROWS($A$15:A24)+$B$3))),IF($D$15="",INDEX(orderHistory[status],SMALL(IF(ISNUMBER(MATCH(orderHistory[customer],$D$9,0)*MATCH(orderHistory[order_type],$D$13,0)),MATCH(ROW(orderHistory[customer]),ROW(orderHistory[customer])),""),ROWS($A$15:A24)+$B$3)),INDEX(orderHistory[status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status],SMALL(IF(ISNUMBER(MATCH(orderHistory[customer],$D$9,0)*MATCH(orderHistory[status],$D$11,0)),MATCH(ROW(orderHistory[customer]),ROW(orderHistory[customer])),""),ROWS($A$15:A24)+$B$3)),INDEX(orderHistory[status],SMALL(IF(ISNUMBER(MATCH(orderHistory[customer],$D$9,0)*MATCH(orderHistory[status],$D$11,0)*MATCH(YEAR(orderHistory[status]),$D$15,0)),MATCH(ROW(orderHistory[customer]),ROW(orderHistory[customer])),""),ROWS($A$15:A24)+$B$3))),IF($D$15="",INDEX(orderHistory[status],SMALL(IF(ISNUMBER(MATCH(orderHistory[customer],$D$9,0)*MATCH(orderHistory[status],$D$11,0)*MATCH(orderHistory[order_type],$D$13,0)),MATCH(ROW(orderHistory[customer]),ROW(orderHistory[customer])),""),ROWS($A$15:A24)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SHIPPED</v>
      </c>
      <c r="W19" s="547" t="str">
        <f t="array" ref="W19">IFERROR(IF($D$9="",IF($D$11="",IF($D$13="",IF($D$15="",INDEX(orderHistory[custom_docs],SMALL(MATCH(ROW(orderHistory[customer]),ROW(orderHistory[customer])),ROWS($A$15:A24)+$B$3)),INDEX(orderHistory[custom_docs],SMALL(IF(ISNUMBER(MATCH(YEAR(orderHistory[invoice_date]),$D$15,0)),MATCH(ROW(orderHistory[customer]),ROW(orderHistory[customer])),""),ROWS($A$15:A24)+$B$3))),IF($D$15="",INDEX(orderHistory[custom_docs],SMALL(IF(ISNUMBER(MATCH(orderHistory[order_type],$D$13,0)),MATCH(ROW(orderHistory[customer]),ROW(orderHistory[customer])),""),ROWS($A$15:A24)+$B$3)),INDEX(orderHistory[custom_docs],SMALL(IF(ISNUMBER(MATCH(orderHistory[order_type],$D$13,0)*MATCH(YEAR(orderHistory[invoice_date]),$D$15,0)),MATCH(ROW(orderHistory[customer]),ROW(orderHistory[customer])),""),ROWS($A$15:A24)+$B$3)))),IF($D$13="",IF($D$15="",INDEX(orderHistory[custom_docs],SMALL(IF(ISNUMBER(MATCH(orderHistory[status],$D$11,0)),MATCH(ROW(orderHistory[customer]),ROW(orderHistory[customer])),""),ROWS($A$15:A24)+$B$3)),INDEX(orderHistory[custom_docs],SMALL(IF(ISNUMBER(MATCH(orderHistory[status],$D$11,0)*MATCH(YEAR(orderHistory[invoice_date]),$D$15,0)),MATCH(ROW(orderHistory[customer]),ROW(orderHistory[customer])),""),ROWS($A$15:A24)+$B$3))),IF($D$15="",INDEX(orderHistory[custom_docs],SMALL(IF(ISNUMBER(MATCH(orderHistory[status],$D$11,0)*MATCH(orderHistory[order_type],$D$13,0)),MATCH(ROW(orderHistory[customer]),ROW(orderHistory[customer])),""),ROWS($A$15:A24)+$B$3)),INDEX(orderHistory[custom_docs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custom_docs],SMALL(IF(ISNUMBER(MATCH(orderHistory[customer],$D$9,0)),MATCH(ROW(orderHistory[customer]),ROW(orderHistory[customer])),""),ROWS($A$15:A24)+$B$3)),INDEX(orderHistory[custom_docs],SMALL(IF(ISNUMBER(MATCH(orderHistory[customer],$D$9,0)*MATCH(YEAR(orderHistory[invoice_date]),$D$15,0)),MATCH(ROW(orderHistory[customer]),ROW(orderHistory[customer])),""),ROWS($A$15:A24)+$B$3))),IF($D$15="",INDEX(orderHistory[custom_docs],SMALL(IF(ISNUMBER(MATCH(orderHistory[customer],$D$9,0)*MATCH(orderHistory[order_type],$D$13,0)),MATCH(ROW(orderHistory[customer]),ROW(orderHistory[customer])),""),ROWS($A$15:A24)+$B$3)),INDEX(orderHistory[custom_docs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custom_docs],SMALL(IF(ISNUMBER(MATCH(orderHistory[customer],$D$9,0)*MATCH(orderHistory[status],$D$11,0)),MATCH(ROW(orderHistory[customer]),ROW(orderHistory[customer])),""),ROWS($A$15:A24)+$B$3)),INDEX(orderHistory[custom_docs],SMALL(IF(ISNUMBER(MATCH(orderHistory[customer],$D$9,0)*MATCH(orderHistory[status],$D$11,0)*MATCH(YEAR(orderHistory[status]),$D$15,0)),MATCH(ROW(orderHistory[customer]),ROW(orderHistory[customer])),""),ROWS($A$15:A24)+$B$3))),IF($D$15="",INDEX(orderHistory[custom_docs],SMALL(IF(ISNUMBER(MATCH(orderHistory[customer],$D$9,0)*MATCH(orderHistory[status],$D$11,0)*MATCH(orderHistory[order_type],$D$13,0)),MATCH(ROW(orderHistory[customer]),ROW(orderHistory[customer])),""),ROWS($A$15:A24)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OK</v>
      </c>
      <c r="AO19" s="273"/>
      <c r="AQ19" s="308"/>
      <c r="AR19" s="331"/>
      <c r="AU19" s="271"/>
      <c r="AW19" s="308"/>
      <c r="AX19" s="318"/>
      <c r="AZ19" s="272"/>
      <c r="BB19" s="319"/>
      <c r="BD19" s="873"/>
      <c r="BE19" s="874"/>
      <c r="BF19" s="874"/>
      <c r="BG19" s="874"/>
      <c r="BH19" s="875"/>
      <c r="BJ19" s="271"/>
      <c r="BK19" s="296"/>
      <c r="BL19" s="297"/>
      <c r="BM19" s="298"/>
      <c r="BN19" s="297"/>
      <c r="BO19" s="298"/>
      <c r="BX19" s="880"/>
      <c r="BZ19" s="628" t="s">
        <v>143</v>
      </c>
      <c r="CA19" s="401" t="str">
        <f>IFERROR(IF(BZ19="","",INDEX(bhpc_data[description],MATCH(BZ19,bhpc_data[sku],0))),"")</f>
        <v>BHPC PRESTIGE ROYALE 100ML EDP MEN</v>
      </c>
      <c r="CB19" s="403">
        <v>48</v>
      </c>
      <c r="CC19" s="887">
        <v>15.849721162312886</v>
      </c>
      <c r="CD19" s="416"/>
      <c r="CE19" s="891"/>
      <c r="CF19" s="404"/>
      <c r="CG19" s="405">
        <f>IFERROR(ROUNDUP(CB19/INDEX(bhpc_data[units_per_carton],MATCH(BZ19,bhpc_data[sku],0)),0),"")</f>
        <v>2</v>
      </c>
      <c r="CH19" s="406">
        <f>IFERROR(ROUNDUP(CD19/INDEX(bhpc_data[units_per_carton],MATCH(BZ19,bhpc_data[sku],0)),0),"")</f>
        <v>0</v>
      </c>
      <c r="CI19" s="406" t="str">
        <f>IFERROR(ROUNDUP(CF19/INDEX(bhpc_data[units_per_carton],MATCH(BZ19,bhpc_data[sku])),0),"")</f>
        <v/>
      </c>
      <c r="CJ19" s="406">
        <f>IFERROR(((CB19+CD19+CF19)/INDEX(bhpc_data[units_per_carton],MATCH(BZ19,bhpc_data[sku],0)))*INDEX(bhpc_data[net_weight],MATCH(BZ19,bhpc_data[sku],0)),"")</f>
        <v>18.96</v>
      </c>
      <c r="CK19" s="406">
        <f>IFERROR(((CB19+CD19+CF19)/INDEX(bhpc_data[units_per_carton],MATCH(BZ19,bhpc_data[sku],0)))*INDEX(bhpc_data[gross_weight],MATCH(BZ19,bhpc_data[sku],0)),"")</f>
        <v>19.8</v>
      </c>
      <c r="CL19" s="602">
        <f>IFERROR((CB19+CD19+CF19)/INDEX(bhpc_data[units_per_carton],MATCH(BZ19,bhpc_data[sku],0))*INDEX(bhpc_data[length],MATCH(BZ19,bhpc_data[sku],0))*INDEX(bhpc_data[width],MATCH(BZ19,bhpc_data[sku],0))*INDEX(bhpc_data[height],MATCH(BZ19,bhpc_data[sku],0))/1000000000,"")</f>
        <v>3.5062500000000003E-2</v>
      </c>
      <c r="CM19" s="407" t="str">
        <f>IFERROR(INDEX(bhpc_data[category],MATCH(BZ19,bhpc_data[sku],0)),"")</f>
        <v>PRESTIGE</v>
      </c>
      <c r="CN19" s="407">
        <f>IFERROR(INDEX(bhpc_data[size],MATCH(BZ19,bhpc_data[sku],0)),"")</f>
        <v>100</v>
      </c>
      <c r="CO19" s="408" t="str">
        <f>IFERROR(INDEX(bhpc_data[hs_code],MATCH(BZ19,bhpc_data[sku],0)),"")</f>
        <v>33030010</v>
      </c>
      <c r="CP19" s="489" t="str">
        <f>IFERROR(INDEX(bhpc_data[sku_geko],MATCH(BZ19,bhpc_data[sku],0)),"")</f>
        <v>P06021</v>
      </c>
      <c r="CQ19" s="404"/>
      <c r="CR19" s="517">
        <f>IFERROR(IF(BZ19="","",IF($BX$15="SALE",INDEX(inventory[COSTO UNITARIO],MATCH(BZ19,inventory[SKU],0)),IF($BX$15="SAMPLING",INDEX(inventory[COSTO UNITARIO],MATCH(BZ19,inventory[SKU],0)),""))),"")</f>
        <v>11.68</v>
      </c>
      <c r="CS19" s="517">
        <f t="shared" si="3"/>
        <v>560.64</v>
      </c>
      <c r="CT19" s="896">
        <f t="shared" si="4"/>
        <v>760.78661579101845</v>
      </c>
      <c r="CU19" s="469" t="str">
        <f t="shared" si="0"/>
        <v>OK</v>
      </c>
      <c r="CW19" s="83"/>
      <c r="CX19" s="111"/>
      <c r="CY19" s="78"/>
      <c r="CZ19" s="111"/>
      <c r="DA19" s="78"/>
      <c r="DB19" s="79"/>
      <c r="DH19" s="215"/>
      <c r="EE19" s="439" t="str" cm="1">
        <f t="array" ref="EE19">IFERROR(IF($EC$9="",IF($EC$11="",IF($EC$13="",INDEX(bhpc_data[sku],SMALL(MATCH(ROW(bhpc_data[sku]),ROW(bhpc_data[sku])),ROWS($A$15:A24)+$B$3)),INDEX(bhpc_data[sku],SMALL(IF(ISNUMBER(MATCH(bhpc_data[size],$EC$13,0)),MATCH(ROW(bhpc_data[sku]),ROW(bhpc_data[sku])),""),ROWS($A$15:A24)+$B$3))),IF($EC$13="",INDEX(bhpc_data[sku],SMALL(IF(ISNUMBER(MATCH(bhpc_data[sex],$EC$11,0)),MATCH(ROW(bhpc_data[sku]),ROW(bhpc_data[sku])),""),ROWS($A$15:A24)+$B$3)),INDEX(bhpc_data[sku],SMALL(IF(ISNUMBER(MATCH(bhpc_data[sex],$EC$11,0)*MATCH(bhpc_data[size],$EC$13,0)),MATCH(ROW(bhpc_data[sku]),ROW(bhpc_data[sku])),""),ROWS($A$15:A24)+$B$3)))),IF($EC$11="",IF($EC$13="",INDEX(bhpc_data[sku],SMALL(IF(ISNUMBER(MATCH(bhpc_data[category],$EC$9,0)),MATCH(ROW(bhpc_data[sku]),ROW(bhpc_data[sku])),""),ROWS($A$15:A24)+$B$3)),INDEX(bhpc_data[sku],SMALL(IF(ISNUMBER(MATCH(bhpc_data[category],$EC$9,0)*MATCH(bhpc_data[size],$EC$13,0)),MATCH(ROW(bhpc_data[sku]),ROW(bhpc_data[sku])),""),ROWS($A$15:A24)+$B$3))),IF($EC$13="",INDEX(bhpc_data[sku],SMALL(IF(ISNUMBER(MATCH(bhpc_data[category],$EC$9,0)*MATCH(bhpc_data[sex],$EC$11,0)),MATCH(ROW(bhpc_data[sku]),ROW(bhpc_data[sku])),""),ROWS($A$15:A24)+$B$3)),INDEX(bhpc_data[sku],SMALL(IF(ISNUMBER(MATCH(bhpc_data[category],$EC$9,0)*MATCH(bhpc_data[sex],$EC$11,0)*MATCH(bhpc_data[size],$EC$13,0)),MATCH(ROW(bhpc_data[sku]),ROW(bhpc_data[sku])),""),ROWS($A$15:A24)+$B$3))))),"")</f>
        <v>P05028</v>
      </c>
      <c r="EF19" s="440" t="str" cm="1">
        <f t="array" ref="EF19">IFERROR(IF($EC$9="",IF($EC$11="",IF($EC$13="",INDEX(bhpc_data[description],SMALL(MATCH(ROW(bhpc_data[sku]),ROW(bhpc_data[sku])),ROWS($A$15:A24)+$B$3)),INDEX(bhpc_data[description],SMALL(IF(ISNUMBER(MATCH(bhpc_data[size],$EC$13,0)),MATCH(ROW(bhpc_data[sku]),ROW(bhpc_data[sku])),""),ROWS($A$15:A24)+$B$3))),IF($EC$13="",INDEX(bhpc_data[description],SMALL(IF(ISNUMBER(MATCH(bhpc_data[sex],$EC$11,0)),MATCH(ROW(bhpc_data[sku]),ROW(bhpc_data[sku])),""),ROWS($A$15:A24)+$B$3)),INDEX(bhpc_data[description],SMALL(IF(ISNUMBER(MATCH(bhpc_data[sex],$EC$11,0)*MATCH(bhpc_data[size],$EC$13,0)),MATCH(ROW(bhpc_data[sku]),ROW(bhpc_data[sku])),""),ROWS($A$15:A24)+$B$3)))),IF($EC$11="",IF($EC$13="",INDEX(bhpc_data[description],SMALL(IF(ISNUMBER(MATCH(bhpc_data[category],$EC$9,0)),MATCH(ROW(bhpc_data[sku]),ROW(bhpc_data[sku])),""),ROWS($A$15:A24)+$B$3)),INDEX(bhpc_data[description],SMALL(IF(ISNUMBER(MATCH(bhpc_data[category],$EC$9,0)*MATCH(bhpc_data[size],$EC$13,0)),MATCH(ROW(bhpc_data[sku]),ROW(bhpc_data[sku])),""),ROWS($A$15:A24)+$B$3))),IF($EC$13="",INDEX(bhpc_data[description],SMALL(IF(ISNUMBER(MATCH(bhpc_data[category],$EC$9,0)*MATCH(bhpc_data[sex],$EC$11,0)),MATCH(ROW(bhpc_data[sku]),ROW(bhpc_data[sku])),""),ROWS($A$15:A24)+$B$3)),INDEX(bhpc_data[description],SMALL(IF(ISNUMBER(MATCH(bhpc_data[category],$EC$9,0)*MATCH(bhpc_data[sex],$EC$11,0)*MATCH(bhpc_data[size],$EC$13,0)),MATCH(ROW(bhpc_data[sku]),ROW(bhpc_data[sku])),""),ROWS($A$15:A24)+$B$3))))),"")</f>
        <v>BHPC WOMEN 1 EDP 50ML</v>
      </c>
      <c r="EG19" s="441">
        <f>IFERROR(IF('BHPC MANAGER'!$EE19="","",INDEX(inventory[ESISTENZA],MATCH('BHPC MANAGER'!$EE19,inventory[SKU],0))),0)</f>
        <v>0</v>
      </c>
      <c r="EH19" s="442">
        <v>0</v>
      </c>
      <c r="EI19" s="442">
        <f t="shared" si="1"/>
        <v>0</v>
      </c>
      <c r="EJ19" s="443">
        <v>0</v>
      </c>
      <c r="EK19" s="444">
        <f t="shared" si="2"/>
        <v>0</v>
      </c>
      <c r="FD19" s="498"/>
      <c r="FE19" s="499"/>
      <c r="FF19" s="500"/>
      <c r="FG19" s="500"/>
      <c r="FH19" s="501"/>
      <c r="FI19" s="263"/>
      <c r="FJ19" s="498"/>
      <c r="FK19" s="499"/>
      <c r="FL19" s="500"/>
      <c r="FM19" s="500"/>
      <c r="FN19" s="501"/>
      <c r="FO19" s="263"/>
      <c r="FP19" s="263"/>
      <c r="FQ19" s="263"/>
      <c r="FR19" s="263"/>
      <c r="FS19" s="263"/>
      <c r="FT19" s="263"/>
      <c r="FU19" s="263"/>
      <c r="FV19" s="263"/>
      <c r="FW19" s="263"/>
      <c r="FX19" s="263"/>
      <c r="FY19" s="263"/>
      <c r="FZ19" s="263"/>
      <c r="GA19" s="263"/>
      <c r="GB19" s="263"/>
      <c r="GC19" s="263"/>
      <c r="GD19" s="263"/>
      <c r="GE19" s="263"/>
      <c r="GF19" s="263"/>
      <c r="GG19" s="263"/>
      <c r="GH19" s="263"/>
      <c r="GI19" s="263"/>
      <c r="GJ19" s="263"/>
      <c r="GK19" s="263"/>
      <c r="GL19" s="263"/>
      <c r="GM19" s="263"/>
      <c r="GN19" s="263"/>
      <c r="GO19" s="263"/>
      <c r="GP19" s="263"/>
      <c r="GQ19" s="263"/>
      <c r="GR19" s="263"/>
      <c r="GS19" s="263"/>
      <c r="GT19" s="263"/>
      <c r="GU19" s="263"/>
      <c r="GV19" s="263"/>
      <c r="GW19" s="263"/>
      <c r="GX19" s="263"/>
      <c r="GY19" s="263"/>
      <c r="GZ19" s="263"/>
      <c r="HA19" s="263"/>
      <c r="HB19" s="263"/>
      <c r="HC19" s="263"/>
      <c r="HD19" s="263"/>
      <c r="HE19" s="263"/>
      <c r="HF19" s="263"/>
      <c r="HG19" s="263"/>
      <c r="HH19" s="263"/>
      <c r="HI19" s="263"/>
      <c r="HJ19" s="263"/>
      <c r="HK19" s="263"/>
      <c r="HL19" s="263"/>
      <c r="HM19" s="263"/>
      <c r="HN19" s="263"/>
      <c r="HO19" s="263"/>
      <c r="HP19" s="263"/>
      <c r="HQ19" s="263"/>
      <c r="HR19" s="263"/>
      <c r="HS19" s="263"/>
      <c r="HT19" s="263"/>
    </row>
    <row r="20" spans="1:228" ht="15" customHeight="1" thickBot="1" x14ac:dyDescent="0.4">
      <c r="D20" s="524"/>
      <c r="F20" s="86"/>
      <c r="G20" s="866" t="str">
        <f>IFERROR(INDEX(clientData[vat_no],MATCH($B$6,clientData[cod_cliente],0)),"")</f>
        <v>VAT. NO.: GB303097824</v>
      </c>
      <c r="H20" s="867"/>
      <c r="I20" s="868"/>
      <c r="J20" s="77"/>
      <c r="L20" s="381" t="str">
        <f t="array" ref="L20">IFERROR(IF($D$9="",IF($D$11="",IF($D$13="",IF($D$15="",INDEX(orderHistory[customer],SMALL(MATCH(ROW(orderHistory[customer]),ROW(orderHistory[customer])),ROWS($A$15:A25)+$B$3)),INDEX(orderHistory[customer],SMALL(IF(ISNUMBER(MATCH(YEAR(orderHistory[invoice_date]),$D$15,0)),MATCH(ROW(orderHistory[customer]),ROW(orderHistory[customer])),""),ROWS($A$15:A25)+$B$3))),IF($D$15="",INDEX(orderHistory[customer],SMALL(IF(ISNUMBER(MATCH(orderHistory[order_type],$D$13,0)),MATCH(ROW(orderHistory[customer]),ROW(orderHistory[customer])),""),ROWS($A$15:A25)+$B$3)),INDEX(orderHistory[customer],SMALL(IF(ISNUMBER(MATCH(orderHistory[order_type],$D$13,0)*MATCH(YEAR(orderHistory[invoice_date]),$D$15,0)),MATCH(ROW(orderHistory[customer]),ROW(orderHistory[customer])),""),ROWS($A$15:A25)+$B$3)))),IF($D$13="",IF($D$15="",INDEX(orderHistory[customer],SMALL(IF(ISNUMBER(MATCH(orderHistory[status],$D$11,0)),MATCH(ROW(orderHistory[customer]),ROW(orderHistory[customer])),""),ROWS($A$15:A25)+$B$3)),INDEX(orderHistory[customer],SMALL(IF(ISNUMBER(MATCH(orderHistory[status],$D$11,0)*MATCH(YEAR(orderHistory[invoice_date]),$D$15,0)),MATCH(ROW(orderHistory[customer]),ROW(orderHistory[customer])),""),ROWS($A$15:A25)+$B$3))),IF($D$15="",INDEX(orderHistory[customer],SMALL(IF(ISNUMBER(MATCH(orderHistory[status],$D$11,0)*MATCH(orderHistory[order_type],$D$13,0)),MATCH(ROW(orderHistory[customer]),ROW(orderHistory[customer])),""),ROWS($A$15:A25)+$B$3)),INDEX(orderHistory[customer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customer],SMALL(IF(ISNUMBER(MATCH(orderHistory[customer],$D$9,0)),MATCH(ROW(orderHistory[customer]),ROW(orderHistory[customer])),""),ROWS($A$15:A25)+$B$3)),INDEX(orderHistory[customer],SMALL(IF(ISNUMBER(MATCH(orderHistory[customer],$D$9,0)*MATCH(YEAR(orderHistory[invoice_date]),$D$15,0)),MATCH(ROW(orderHistory[customer]),ROW(orderHistory[customer])),""),ROWS($A$15:A25)+$B$3))),IF($D$15="",INDEX(orderHistory[customer],SMALL(IF(ISNUMBER(MATCH(orderHistory[customer],$D$9,0)*MATCH(orderHistory[order_type],$D$13,0)),MATCH(ROW(orderHistory[customer]),ROW(orderHistory[customer])),""),ROWS($A$15:A25)+$B$3)),INDEX(orderHistory[customer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customer],SMALL(IF(ISNUMBER(MATCH(orderHistory[customer],$D$9,0)*MATCH(orderHistory[status],$D$11,0)),MATCH(ROW(orderHistory[customer]),ROW(orderHistory[customer])),""),ROWS($A$15:A25)+$B$3)),INDEX(orderHistory[customer],SMALL(IF(ISNUMBER(MATCH(orderHistory[customer],$D$9,0)*MATCH(orderHistory[status],$D$11,0)*MATCH(YEAR(orderHistory[invoice_date]),$D$15,0)),MATCH(ROW(orderHistory[customer]),ROW(orderHistory[customer])),""),ROWS($A$15:A25)+$B$3))),IF($D$15="",INDEX(orderHistory[customer],SMALL(IF(ISNUMBER(MATCH(orderHistory[customer],$D$9,0)*MATCH(orderHistory[status],$D$11,0)*MATCH(orderHistory[order_type],$D$13,0)),MATCH(ROW(orderHistory[customer]),ROW(orderHistory[customer])),""),ROWS($A$15:A25)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BACHER &amp; CO</v>
      </c>
      <c r="M20" s="382">
        <f t="array" ref="M20">IFERROR(IF($D$9="",IF($D$11="",IF($D$13="",IF($D$15="",INDEX(orderHistory[order_no],SMALL(MATCH(ROW(orderHistory[customer]),ROW(orderHistory[customer])),ROWS($A$15:A25)+$B$3)),INDEX(orderHistory[order_no],SMALL(IF(ISNUMBER(MATCH(YEAR(orderHistory[invoice_date]),$D$15,0)),MATCH(ROW(orderHistory[customer]),ROW(orderHistory[customer])),""),ROWS($A$15:A25)+$B$3))),IF($D$15="",INDEX(orderHistory[order_no],SMALL(IF(ISNUMBER(MATCH(orderHistory[order_type],$D$13,0)),MATCH(ROW(orderHistory[customer]),ROW(orderHistory[customer])),""),ROWS($A$15:A25)+$B$3)),INDEX(orderHistory[order_no],SMALL(IF(ISNUMBER(MATCH(orderHistory[order_type],$D$13,0)*MATCH(YEAR(orderHistory[invoice_date]),$D$15,0)),MATCH(ROW(orderHistory[customer]),ROW(orderHistory[customer])),""),ROWS($A$15:A25)+$B$3)))),IF($D$13="",IF($D$15="",INDEX(orderHistory[order_no],SMALL(IF(ISNUMBER(MATCH(orderHistory[status],$D$11,0)),MATCH(ROW(orderHistory[customer]),ROW(orderHistory[customer])),""),ROWS($A$15:A25)+$B$3)),INDEX(orderHistory[order_no],SMALL(IF(ISNUMBER(MATCH(orderHistory[status],$D$11,0)*MATCH(YEAR(orderHistory[invoice_date]),$D$15,0)),MATCH(ROW(orderHistory[customer]),ROW(orderHistory[customer])),""),ROWS($A$15:A25)+$B$3))),IF($D$15="",INDEX(orderHistory[order_no],SMALL(IF(ISNUMBER(MATCH(orderHistory[status],$D$11,0)*MATCH(orderHistory[order_type],$D$13,0)),MATCH(ROW(orderHistory[customer]),ROW(orderHistory[customer])),""),ROWS($A$15:A25)+$B$3)),INDEX(orderHistory[order_no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order_no],SMALL(IF(ISNUMBER(MATCH(orderHistory[customer],$D$9,0)),MATCH(ROW(orderHistory[customer]),ROW(orderHistory[customer])),""),ROWS($A$15:A25)+$B$3)),INDEX(orderHistory[order_no],SMALL(IF(ISNUMBER(MATCH(orderHistory[customer],$D$9,0)*MATCH(YEAR(orderHistory[invoice_date]),$D$15,0)),MATCH(ROW(orderHistory[customer]),ROW(orderHistory[customer])),""),ROWS($A$15:A25)+$B$3))),IF($D$15="",INDEX(orderHistory[order_no],SMALL(IF(ISNUMBER(MATCH(orderHistory[customer],$D$9,0)*MATCH(orderHistory[order_type],$D$13,0)),MATCH(ROW(orderHistory[customer]),ROW(orderHistory[customer])),""),ROWS($A$15:A25)+$B$3)),INDEX(orderHistory[order_no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order_no],SMALL(IF(ISNUMBER(MATCH(orderHistory[customer],$D$9,0)*MATCH(orderHistory[status],$D$11,0)),MATCH(ROW(orderHistory[customer]),ROW(orderHistory[customer])),""),ROWS($A$15:A25)+$B$3)),INDEX(orderHistory[order_no],SMALL(IF(ISNUMBER(MATCH(orderHistory[customer],$D$9,0)*MATCH(orderHistory[status],$D$11,0)*MATCH(YEAR(orderHistory[invoice_date]),$D$15,0)),MATCH(ROW(orderHistory[customer]),ROW(orderHistory[customer])),""),ROWS($A$15:A25)+$B$3))),IF($D$15="",INDEX(orderHistory[order_no],SMALL(IF(ISNUMBER(MATCH(orderHistory[customer],$D$9,0)*MATCH(orderHistory[status],$D$11,0)*MATCH(orderHistory[order_type],$D$13,0)),MATCH(ROW(orderHistory[customer]),ROW(orderHistory[customer])),""),ROWS($A$15:A25)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75</v>
      </c>
      <c r="N20" s="383" t="str">
        <f t="array" ref="N20">IFERROR(IF($D$9="",IF($D$11="",IF($D$13="",IF($D$15="",INDEX(orderHistory[order_type],SMALL(MATCH(ROW(orderHistory[customer]),ROW(orderHistory[customer])),ROWS($A$15:A25)+$B$3)),INDEX(orderHistory[order_type],SMALL(IF(ISNUMBER(MATCH(YEAR(orderHistory[invoice_date]),$D$15,0)),MATCH(ROW(orderHistory[customer]),ROW(orderHistory[customer])),""),ROWS($A$15:A25)+$B$3))),IF($D$15="",INDEX(orderHistory[order_type],SMALL(IF(ISNUMBER(MATCH(orderHistory[order_type],$D$13,0)),MATCH(ROW(orderHistory[customer]),ROW(orderHistory[customer])),""),ROWS($A$15:A25)+$B$3)),INDEX(orderHistory[order_type],SMALL(IF(ISNUMBER(MATCH(orderHistory[order_type],$D$13,0)*MATCH(YEAR(orderHistory[invoice_date]),$D$15,0)),MATCH(ROW(orderHistory[customer]),ROW(orderHistory[customer])),""),ROWS($A$15:A25)+$B$3)))),IF($D$13="",IF($D$15="",INDEX(orderHistory[order_type],SMALL(IF(ISNUMBER(MATCH(orderHistory[status],$D$11,0)),MATCH(ROW(orderHistory[customer]),ROW(orderHistory[customer])),""),ROWS($A$15:A25)+$B$3)),INDEX(orderHistory[order_type],SMALL(IF(ISNUMBER(MATCH(orderHistory[status],$D$11,0)*MATCH(YEAR(orderHistory[invoice_date]),$D$15,0)),MATCH(ROW(orderHistory[customer]),ROW(orderHistory[customer])),""),ROWS($A$15:A25)+$B$3))),IF($D$15="",INDEX(orderHistory[order_type],SMALL(IF(ISNUMBER(MATCH(orderHistory[status],$D$11,0)*MATCH(orderHistory[order_type],$D$13,0)),MATCH(ROW(orderHistory[customer]),ROW(orderHistory[customer])),""),ROWS($A$15:A25)+$B$3)),INDEX(orderHistory[order_type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order_type],SMALL(IF(ISNUMBER(MATCH(orderHistory[customer],$D$9,0)),MATCH(ROW(orderHistory[customer]),ROW(orderHistory[customer])),""),ROWS($A$15:A25)+$B$3)),INDEX(orderHistory[order_type],SMALL(IF(ISNUMBER(MATCH(orderHistory[customer],$D$9,0)*MATCH(YEAR(orderHistory[invoice_date]),$D$15,0)),MATCH(ROW(orderHistory[customer]),ROW(orderHistory[customer])),""),ROWS($A$15:A25)+$B$3))),IF($D$15="",INDEX(orderHistory[order_type],SMALL(IF(ISNUMBER(MATCH(orderHistory[customer],$D$9,0)*MATCH(orderHistory[order_type],$D$13,0)),MATCH(ROW(orderHistory[customer]),ROW(orderHistory[customer])),""),ROWS($A$15:A25)+$B$3)),INDEX(orderHistory[order_type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order_type],SMALL(IF(ISNUMBER(MATCH(orderHistory[customer],$D$9,0)*MATCH(orderHistory[status],$D$11,0)),MATCH(ROW(orderHistory[customer]),ROW(orderHistory[customer])),""),ROWS($A$15:A25)+$B$3)),INDEX(orderHistory[order_type],SMALL(IF(ISNUMBER(MATCH(orderHistory[customer],$D$9,0)*MATCH(orderHistory[status],$D$11,0)*MATCH(YEAR(orderHistory[invoice_date]),$D$15,0)),MATCH(ROW(orderHistory[customer]),ROW(orderHistory[customer])),""),ROWS($A$15:A25)+$B$3))),IF($D$15="",INDEX(orderHistory[order_type],SMALL(IF(ISNUMBER(MATCH(orderHistory[customer],$D$9,0)*MATCH(orderHistory[status],$D$11,0)*MATCH(orderHistory[order_type],$D$13,0)),MATCH(ROW(orderHistory[customer]),ROW(orderHistory[customer])),""),ROWS($A$15:A25)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SALE</v>
      </c>
      <c r="O20" s="384">
        <f t="array" ref="O20">IFERROR(IF($D$9="",IF($D$11="",IF($D$13="",IF($D$15="",INDEX(orderHistory[order_date],SMALL(MATCH(ROW(orderHistory[customer]),ROW(orderHistory[customer])),ROWS($A$15:A25)+$B$3)),INDEX(orderHistory[order_date],SMALL(IF(ISNUMBER(MATCH(YEAR(orderHistory[invoice_date]),$D$15,0)),MATCH(ROW(orderHistory[customer]),ROW(orderHistory[customer])),""),ROWS($A$15:A25)+$B$3))),IF($D$15="",INDEX(orderHistory[order_date],SMALL(IF(ISNUMBER(MATCH(orderHistory[order_type],$D$13,0)),MATCH(ROW(orderHistory[customer]),ROW(orderHistory[customer])),""),ROWS($A$15:A25)+$B$3)),INDEX(orderHistory[order_date],SMALL(IF(ISNUMBER(MATCH(orderHistory[order_type],$D$13,0)*MATCH(YEAR(orderHistory[invoice_date]),$D$15,0)),MATCH(ROW(orderHistory[customer]),ROW(orderHistory[customer])),""),ROWS($A$15:A25)+$B$3)))),IF($D$13="",IF($D$15="",INDEX(orderHistory[order_date],SMALL(IF(ISNUMBER(MATCH(orderHistory[status],$D$11,0)),MATCH(ROW(orderHistory[customer]),ROW(orderHistory[customer])),""),ROWS($A$15:A25)+$B$3)),INDEX(orderHistory[order_date],SMALL(IF(ISNUMBER(MATCH(orderHistory[status],$D$11,0)*MATCH(YEAR(orderHistory[invoice_date]),$D$15,0)),MATCH(ROW(orderHistory[customer]),ROW(orderHistory[customer])),""),ROWS($A$15:A25)+$B$3))),IF($D$15="",INDEX(orderHistory[order_date],SMALL(IF(ISNUMBER(MATCH(orderHistory[status],$D$11,0)*MATCH(orderHistory[order_type],$D$13,0)),MATCH(ROW(orderHistory[customer]),ROW(orderHistory[customer])),""),ROWS($A$15:A25)+$B$3)),INDEX(orderHistory[order_date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order_date],SMALL(IF(ISNUMBER(MATCH(orderHistory[customer],$D$9,0)),MATCH(ROW(orderHistory[customer]),ROW(orderHistory[customer])),""),ROWS($A$15:A25)+$B$3)),INDEX(orderHistory[order_date],SMALL(IF(ISNUMBER(MATCH(orderHistory[customer],$D$9,0)*MATCH(YEAR(orderHistory[invoice_date]),$D$15,0)),MATCH(ROW(orderHistory[customer]),ROW(orderHistory[customer])),""),ROWS($A$15:A25)+$B$3))),IF($D$15="",INDEX(orderHistory[order_date],SMALL(IF(ISNUMBER(MATCH(orderHistory[customer],$D$9,0)*MATCH(orderHistory[order_type],$D$13,0)),MATCH(ROW(orderHistory[customer]),ROW(orderHistory[customer])),""),ROWS($A$15:A25)+$B$3)),INDEX(orderHistory[order_date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order_date],SMALL(IF(ISNUMBER(MATCH(orderHistory[customer],$D$9,0)*MATCH(orderHistory[status],$D$11,0)),MATCH(ROW(orderHistory[customer]),ROW(orderHistory[customer])),""),ROWS($A$15:A25)+$B$3)),INDEX(orderHistory[order_date],SMALL(IF(ISNUMBER(MATCH(orderHistory[customer],$D$9,0)*MATCH(orderHistory[status],$D$11,0)*MATCH(YEAR(orderHistory[invoice_date]),$D$15,0)),MATCH(ROW(orderHistory[customer]),ROW(orderHistory[customer])),""),ROWS($A$15:A25)+$B$3))),IF($D$15="",INDEX(orderHistory[order_date],SMALL(IF(ISNUMBER(MATCH(orderHistory[customer],$D$9,0)*MATCH(orderHistory[status],$D$11,0)*MATCH(orderHistory[order_type],$D$13,0)),MATCH(ROW(orderHistory[customer]),ROW(orderHistory[customer])),""),ROWS($A$15:A25)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45488</v>
      </c>
      <c r="P20" s="385" t="str">
        <f t="array" ref="P20">IFERROR(IF($D$9="",IF($D$11="",IF($D$13="",IF($D$15="",INDEX(orderHistory[invoice_no],SMALL(MATCH(ROW(orderHistory[customer]),ROW(orderHistory[customer])),ROWS($A$15:A25)+$B$3)),INDEX(orderHistory[invoice_no],SMALL(IF(ISNUMBER(MATCH(YEAR(orderHistory[invoice_date]),$D$15,0)),MATCH(ROW(orderHistory[customer]),ROW(orderHistory[customer])),""),ROWS($A$15:A25)+$B$3))),IF($D$15="",INDEX(orderHistory[invoice_no],SMALL(IF(ISNUMBER(MATCH(orderHistory[order_type],$D$13,0)),MATCH(ROW(orderHistory[customer]),ROW(orderHistory[customer])),""),ROWS($A$15:A25)+$B$3)),INDEX(orderHistory[invoice_no],SMALL(IF(ISNUMBER(MATCH(orderHistory[order_type],$D$13,0)*MATCH(YEAR(orderHistory[invoice_date]),$D$15,0)),MATCH(ROW(orderHistory[customer]),ROW(orderHistory[customer])),""),ROWS($A$15:A25)+$B$3)))),IF($D$13="",IF($D$15="",INDEX(orderHistory[invoice_no],SMALL(IF(ISNUMBER(MATCH(orderHistory[status],$D$11,0)),MATCH(ROW(orderHistory[customer]),ROW(orderHistory[customer])),""),ROWS($A$15:A25)+$B$3)),INDEX(orderHistory[invoice_no],SMALL(IF(ISNUMBER(MATCH(orderHistory[status],$D$11,0)*MATCH(YEAR(orderHistory[invoice_date]),$D$15,0)),MATCH(ROW(orderHistory[customer]),ROW(orderHistory[customer])),""),ROWS($A$15:A25)+$B$3))),IF($D$15="",INDEX(orderHistory[invoice_no],SMALL(IF(ISNUMBER(MATCH(orderHistory[status],$D$11,0)*MATCH(orderHistory[order_type],$D$13,0)),MATCH(ROW(orderHistory[customer]),ROW(orderHistory[customer])),""),ROWS($A$15:A25)+$B$3)),INDEX(orderHistory[invoice_no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invoice_no],SMALL(IF(ISNUMBER(MATCH(orderHistory[customer],$D$9,0)),MATCH(ROW(orderHistory[customer]),ROW(orderHistory[customer])),""),ROWS($A$15:A25)+$B$3)),INDEX(orderHistory[invoice_no],SMALL(IF(ISNUMBER(MATCH(orderHistory[customer],$D$9,0)*MATCH(YEAR(orderHistory[invoice_date]),$D$15,0)),MATCH(ROW(orderHistory[customer]),ROW(orderHistory[customer])),""),ROWS($A$15:A25)+$B$3))),IF($D$15="",INDEX(orderHistory[invoice_no],SMALL(IF(ISNUMBER(MATCH(orderHistory[customer],$D$9,0)*MATCH(orderHistory[order_type],$D$13,0)),MATCH(ROW(orderHistory[customer]),ROW(orderHistory[customer])),""),ROWS($A$15:A25)+$B$3)),INDEX(orderHistory[invoice_no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invoice_no],SMALL(IF(ISNUMBER(MATCH(orderHistory[customer],$D$9,0)*MATCH(orderHistory[status],$D$11,0)),MATCH(ROW(orderHistory[customer]),ROW(orderHistory[customer])),""),ROWS($A$15:A25)+$B$3)),INDEX(orderHistory[invoice_no],SMALL(IF(ISNUMBER(MATCH(orderHistory[customer],$D$9,0)*MATCH(orderHistory[status],$D$11,0)*MATCH(YEAR(orderHistory[invoice_date]),$D$15,0)),MATCH(ROW(orderHistory[customer]),ROW(orderHistory[customer])),""),ROWS($A$15:A25)+$B$3))),IF($D$15="",INDEX(orderHistory[invoice_no],SMALL(IF(ISNUMBER(MATCH(orderHistory[customer],$D$9,0)*MATCH(orderHistory[status],$D$11,0)*MATCH(orderHistory[order_type],$D$13,0)),MATCH(ROW(orderHistory[customer]),ROW(orderHistory[customer])),""),ROWS($A$15:A25)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296</v>
      </c>
      <c r="Q20" s="386">
        <f t="array" ref="Q20">IFERROR(IF($D$9="",IF($D$11="",IF($D$13="",IF($D$15="",INDEX(orderHistory[invoice_date],SMALL(MATCH(ROW(orderHistory[customer]),ROW(orderHistory[customer])),ROWS($A$15:A25)+$B$3)),INDEX(orderHistory[invoice_date],SMALL(IF(ISNUMBER(MATCH(YEAR(orderHistory[invoice_date]),$D$15,0)),MATCH(ROW(orderHistory[customer]),ROW(orderHistory[customer])),""),ROWS($A$15:A25)+$B$3))),IF($D$15="",INDEX(orderHistory[invoice_date],SMALL(IF(ISNUMBER(MATCH(orderHistory[order_type],$D$13,0)),MATCH(ROW(orderHistory[customer]),ROW(orderHistory[customer])),""),ROWS($A$15:A25)+$B$3)),INDEX(orderHistory[invoice_date],SMALL(IF(ISNUMBER(MATCH(orderHistory[order_type],$D$13,0)*MATCH(YEAR(orderHistory[invoice_date]),$D$15,0)),MATCH(ROW(orderHistory[customer]),ROW(orderHistory[customer])),""),ROWS($A$15:A25)+$B$3)))),IF($D$13="",IF($D$15="",INDEX(orderHistory[invoice_date],SMALL(IF(ISNUMBER(MATCH(orderHistory[status],$D$11,0)),MATCH(ROW(orderHistory[customer]),ROW(orderHistory[customer])),""),ROWS($A$15:A25)+$B$3)),INDEX(orderHistory[invoice_date],SMALL(IF(ISNUMBER(MATCH(orderHistory[status],$D$11,0)*MATCH(YEAR(orderHistory[invoice_date]),$D$15,0)),MATCH(ROW(orderHistory[customer]),ROW(orderHistory[customer])),""),ROWS($A$15:A25)+$B$3))),IF($D$15="",INDEX(orderHistory[invoice_date],SMALL(IF(ISNUMBER(MATCH(orderHistory[status],$D$11,0)*MATCH(orderHistory[order_type],$D$13,0)),MATCH(ROW(orderHistory[customer]),ROW(orderHistory[customer])),""),ROWS($A$15:A25)+$B$3)),INDEX(orderHistory[invoice_date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invoice_date],SMALL(IF(ISNUMBER(MATCH(orderHistory[customer],$D$9,0)),MATCH(ROW(orderHistory[customer]),ROW(orderHistory[customer])),""),ROWS($A$15:A25)+$B$3)),INDEX(orderHistory[invoice_date],SMALL(IF(ISNUMBER(MATCH(orderHistory[customer],$D$9,0)*MATCH(YEAR(orderHistory[invoice_date]),$D$15,0)),MATCH(ROW(orderHistory[customer]),ROW(orderHistory[customer])),""),ROWS($A$15:A25)+$B$3))),IF($D$15="",INDEX(orderHistory[invoice_date],SMALL(IF(ISNUMBER(MATCH(orderHistory[customer],$D$9,0)*MATCH(orderHistory[order_type],$D$13,0)),MATCH(ROW(orderHistory[customer]),ROW(orderHistory[customer])),""),ROWS($A$15:A25)+$B$3)),INDEX(orderHistory[invoice_date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invoice_date],SMALL(IF(ISNUMBER(MATCH(orderHistory[customer],$D$9,0)*MATCH(orderHistory[status],$D$11,0)),MATCH(ROW(orderHistory[customer]),ROW(orderHistory[customer])),""),ROWS($A$15:A25)+$B$3)),INDEX(orderHistory[invoice_date],SMALL(IF(ISNUMBER(MATCH(orderHistory[customer],$D$9,0)*MATCH(orderHistory[status],$D$11,0)*MATCH(YEAR(orderHistory[invoice_date]),$D$15,0)),MATCH(ROW(orderHistory[customer]),ROW(orderHistory[customer])),""),ROWS($A$15:A25)+$B$3))),IF($D$15="",INDEX(orderHistory[invoice_date],SMALL(IF(ISNUMBER(MATCH(orderHistory[customer],$D$9,0)*MATCH(orderHistory[status],$D$11,0)*MATCH(orderHistory[order_type],$D$13,0)),MATCH(ROW(orderHistory[customer]),ROW(orderHistory[customer])),""),ROWS($A$15:A25)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45524</v>
      </c>
      <c r="R20" s="387">
        <f t="array" ref="R20">IFERROR(IF($D$9="",IF($D$11="",IF($D$13="",IF($D$15="",INDEX(orderHistory[inv_amount],SMALL(MATCH(ROW(orderHistory[customer]),ROW(orderHistory[customer])),ROWS($A$15:A25)+$B$3)),INDEX(orderHistory[inv_amount],SMALL(IF(ISNUMBER(MATCH(YEAR(orderHistory[invoice_date]),$D$15,0)),MATCH(ROW(orderHistory[customer]),ROW(orderHistory[customer])),""),ROWS($A$15:A25)+$B$3))),IF($D$15="",INDEX(orderHistory[inv_amount],SMALL(IF(ISNUMBER(MATCH(orderHistory[order_type],$D$13,0)),MATCH(ROW(orderHistory[customer]),ROW(orderHistory[customer])),""),ROWS($A$15:A25)+$B$3)),INDEX(orderHistory[inv_amount],SMALL(IF(ISNUMBER(MATCH(orderHistory[order_type],$D$13,0)*MATCH(YEAR(orderHistory[invoice_date]),$D$15,0)),MATCH(ROW(orderHistory[customer]),ROW(orderHistory[customer])),""),ROWS($A$15:A25)+$B$3)))),IF($D$13="",IF($D$15="",INDEX(orderHistory[inv_amount],SMALL(IF(ISNUMBER(MATCH(orderHistory[status],$D$11,0)),MATCH(ROW(orderHistory[customer]),ROW(orderHistory[customer])),""),ROWS($A$15:A25)+$B$3)),INDEX(orderHistory[inv_amount],SMALL(IF(ISNUMBER(MATCH(orderHistory[status],$D$11,0)*MATCH(YEAR(orderHistory[invoice_date]),$D$15,0)),MATCH(ROW(orderHistory[customer]),ROW(orderHistory[customer])),""),ROWS($A$15:A25)+$B$3))),IF($D$15="",INDEX(orderHistory[inv_amount],SMALL(IF(ISNUMBER(MATCH(orderHistory[status],$D$11,0)*MATCH(orderHistory[order_type],$D$13,0)),MATCH(ROW(orderHistory[customer]),ROW(orderHistory[customer])),""),ROWS($A$15:A25)+$B$3)),INDEX(orderHistory[inv_amount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inv_amount],SMALL(IF(ISNUMBER(MATCH(orderHistory[customer],$D$9,0)),MATCH(ROW(orderHistory[customer]),ROW(orderHistory[customer])),""),ROWS($A$15:A25)+$B$3)),INDEX(orderHistory[inv_amount],SMALL(IF(ISNUMBER(MATCH(orderHistory[customer],$D$9,0)*MATCH(YEAR(orderHistory[invoice_date]),$D$15,0)),MATCH(ROW(orderHistory[customer]),ROW(orderHistory[customer])),""),ROWS($A$15:A25)+$B$3))),IF($D$15="",INDEX(orderHistory[inv_amount],SMALL(IF(ISNUMBER(MATCH(orderHistory[customer],$D$9,0)*MATCH(orderHistory[order_type],$D$13,0)),MATCH(ROW(orderHistory[customer]),ROW(orderHistory[customer])),""),ROWS($A$15:A25)+$B$3)),INDEX(orderHistory[inv_amount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inv_amount],SMALL(IF(ISNUMBER(MATCH(orderHistory[customer],$D$9,0)*MATCH(orderHistory[status],$D$11,0)),MATCH(ROW(orderHistory[customer]),ROW(orderHistory[customer])),""),ROWS($A$15:A25)+$B$3)),INDEX(orderHistory[inv_amount],SMALL(IF(ISNUMBER(MATCH(orderHistory[customer],$D$9,0)*MATCH(orderHistory[status],$D$11,0)*MATCH(YEAR(orderHistory[inv_amount]),$D$15,0)),MATCH(ROW(orderHistory[customer]),ROW(orderHistory[customer])),""),ROWS($A$15:A25)+$B$3))),IF($D$15="",INDEX(orderHistory[inv_amount],SMALL(IF(ISNUMBER(MATCH(orderHistory[customer],$D$9,0)*MATCH(orderHistory[status],$D$11,0)*MATCH(orderHistory[order_type],$D$13,0)),MATCH(ROW(orderHistory[customer]),ROW(orderHistory[customer])),""),ROWS($A$15:A25)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6300.9743774810531</v>
      </c>
      <c r="S20" s="465" t="str">
        <f t="array" ref="S20">IFERROR(IF($D$9="",IF($D$11="",IF($D$13="",IF($D$15="",INDEX(orderHistory[lock_goods],SMALL(MATCH(ROW(orderHistory[customer]),ROW(orderHistory[customer])),ROWS($A$15:A25)+$B$3)),INDEX(orderHistory[lock_goods],SMALL(IF(ISNUMBER(MATCH(YEAR(orderHistory[invoice_date]),$D$15,0)),MATCH(ROW(orderHistory[customer]),ROW(orderHistory[customer])),""),ROWS($A$15:A25)+$B$3))),IF($D$15="",INDEX(orderHistory[lock_goods],SMALL(IF(ISNUMBER(MATCH(orderHistory[order_type],$D$13,0)),MATCH(ROW(orderHistory[customer]),ROW(orderHistory[customer])),""),ROWS($A$15:A25)+$B$3)),INDEX(orderHistory[lock_goods],SMALL(IF(ISNUMBER(MATCH(orderHistory[order_type],$D$13,0)*MATCH(YEAR(orderHistory[invoice_date]),$D$15,0)),MATCH(ROW(orderHistory[customer]),ROW(orderHistory[customer])),""),ROWS($A$15:A25)+$B$3)))),IF($D$13="",IF($D$15="",INDEX(orderHistory[lock_goods],SMALL(IF(ISNUMBER(MATCH(orderHistory[status],$D$11,0)),MATCH(ROW(orderHistory[customer]),ROW(orderHistory[customer])),""),ROWS($A$15:A25)+$B$3)),INDEX(orderHistory[lock_goods],SMALL(IF(ISNUMBER(MATCH(orderHistory[status],$D$11,0)*MATCH(YEAR(orderHistory[invoice_date]),$D$15,0)),MATCH(ROW(orderHistory[customer]),ROW(orderHistory[customer])),""),ROWS($A$15:A25)+$B$3))),IF($D$15="",INDEX(orderHistory[lock_goods],SMALL(IF(ISNUMBER(MATCH(orderHistory[status],$D$11,0)*MATCH(orderHistory[order_type],$D$13,0)),MATCH(ROW(orderHistory[customer]),ROW(orderHistory[customer])),""),ROWS($A$15:A25)+$B$3)),INDEX(orderHistory[lock_goods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lock_goods],SMALL(IF(ISNUMBER(MATCH(orderHistory[customer],$D$9,0)),MATCH(ROW(orderHistory[customer]),ROW(orderHistory[customer])),""),ROWS($A$15:A25)+$B$3)),INDEX(orderHistory[lock_goods],SMALL(IF(ISNUMBER(MATCH(orderHistory[customer],$D$9,0)*MATCH(YEAR(orderHistory[invoice_date]),$D$15,0)),MATCH(ROW(orderHistory[customer]),ROW(orderHistory[customer])),""),ROWS($A$15:A25)+$B$3))),IF($D$15="",INDEX(orderHistory[lock_goods],SMALL(IF(ISNUMBER(MATCH(orderHistory[customer],$D$9,0)*MATCH(orderHistory[order_type],$D$13,0)),MATCH(ROW(orderHistory[customer]),ROW(orderHistory[customer])),""),ROWS($A$15:A25)+$B$3)),INDEX(orderHistory[lock_goods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lock_goods],SMALL(IF(ISNUMBER(MATCH(orderHistory[customer],$D$9,0)*MATCH(orderHistory[status],$D$11,0)),MATCH(ROW(orderHistory[customer]),ROW(orderHistory[customer])),""),ROWS($A$15:A25)+$B$3)),INDEX(orderHistory[lock_goods],SMALL(IF(ISNUMBER(MATCH(orderHistory[customer],$D$9,0)*MATCH(orderHistory[status],$D$11,0)*MATCH(YEAR(orderHistory[payed]),$D$15,0)),MATCH(ROW(orderHistory[customer]),ROW(orderHistory[customer])),""),ROWS($A$15:A25)+$B$3))),IF($D$15="",INDEX(orderHistory[lock_goods],SMALL(IF(ISNUMBER(MATCH(orderHistory[customer],$D$9,0)*MATCH(orderHistory[status],$D$11,0)*MATCH(orderHistory[order_type],$D$13,0)),MATCH(ROW(orderHistory[customer]),ROW(orderHistory[customer])),""),ROWS($A$15:A25)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GOODS SENT</v>
      </c>
      <c r="T20" s="388" t="b">
        <f t="array" ref="T20">IFERROR(IF($D$9="",IF($D$11="",IF($D$13="",IF($D$15="",INDEX(orderHistory[payed],SMALL(MATCH(ROW(orderHistory[customer]),ROW(orderHistory[customer])),ROWS($A$15:A25)+$B$3)),INDEX(orderHistory[payed],SMALL(IF(ISNUMBER(MATCH(YEAR(orderHistory[invoice_date]),$D$15,0)),MATCH(ROW(orderHistory[customer]),ROW(orderHistory[customer])),""),ROWS($A$15:A25)+$B$3))),IF($D$15="",INDEX(orderHistory[payed],SMALL(IF(ISNUMBER(MATCH(orderHistory[order_type],$D$13,0)),MATCH(ROW(orderHistory[customer]),ROW(orderHistory[customer])),""),ROWS($A$15:A25)+$B$3)),INDEX(orderHistory[payed],SMALL(IF(ISNUMBER(MATCH(orderHistory[order_type],$D$13,0)*MATCH(YEAR(orderHistory[invoice_date]),$D$15,0)),MATCH(ROW(orderHistory[customer]),ROW(orderHistory[customer])),""),ROWS($A$15:A25)+$B$3)))),IF($D$13="",IF($D$15="",INDEX(orderHistory[payed],SMALL(IF(ISNUMBER(MATCH(orderHistory[status],$D$11,0)),MATCH(ROW(orderHistory[customer]),ROW(orderHistory[customer])),""),ROWS($A$15:A25)+$B$3)),INDEX(orderHistory[payed],SMALL(IF(ISNUMBER(MATCH(orderHistory[status],$D$11,0)*MATCH(YEAR(orderHistory[invoice_date]),$D$15,0)),MATCH(ROW(orderHistory[customer]),ROW(orderHistory[customer])),""),ROWS($A$15:A25)+$B$3))),IF($D$15="",INDEX(orderHistory[payed],SMALL(IF(ISNUMBER(MATCH(orderHistory[status],$D$11,0)*MATCH(orderHistory[order_type],$D$13,0)),MATCH(ROW(orderHistory[customer]),ROW(orderHistory[customer])),""),ROWS($A$15:A25)+$B$3)),INDEX(orderHistory[payed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payed],SMALL(IF(ISNUMBER(MATCH(orderHistory[customer],$D$9,0)),MATCH(ROW(orderHistory[customer]),ROW(orderHistory[customer])),""),ROWS($A$15:A25)+$B$3)),INDEX(orderHistory[payed],SMALL(IF(ISNUMBER(MATCH(orderHistory[customer],$D$9,0)*MATCH(YEAR(orderHistory[invoice_date]),$D$15,0)),MATCH(ROW(orderHistory[customer]),ROW(orderHistory[customer])),""),ROWS($A$15:A25)+$B$3))),IF($D$15="",INDEX(orderHistory[payed],SMALL(IF(ISNUMBER(MATCH(orderHistory[customer],$D$9,0)*MATCH(orderHistory[order_type],$D$13,0)),MATCH(ROW(orderHistory[customer]),ROW(orderHistory[customer])),""),ROWS($A$15:A25)+$B$3)),INDEX(orderHistory[payed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payed],SMALL(IF(ISNUMBER(MATCH(orderHistory[customer],$D$9,0)*MATCH(orderHistory[status],$D$11,0)),MATCH(ROW(orderHistory[customer]),ROW(orderHistory[customer])),""),ROWS($A$15:A25)+$B$3)),INDEX(orderHistory[payed],SMALL(IF(ISNUMBER(MATCH(orderHistory[customer],$D$9,0)*MATCH(orderHistory[status],$D$11,0)*MATCH(YEAR(orderHistory[payed]),$D$15,0)),MATCH(ROW(orderHistory[customer]),ROW(orderHistory[customer])),""),ROWS($A$15:A25)+$B$3))),IF($D$15="",INDEX(orderHistory[payed],SMALL(IF(ISNUMBER(MATCH(orderHistory[customer],$D$9,0)*MATCH(orderHistory[status],$D$11,0)*MATCH(orderHistory[order_type],$D$13,0)),MATCH(ROW(orderHistory[customer]),ROW(orderHistory[customer])),""),ROWS($A$15:A25)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1</v>
      </c>
      <c r="U20" s="383" t="str">
        <f t="array" ref="U20">IFERROR(IF($D$9="",IF($D$11="",IF($D$13="",IF($D$15="",INDEX(orderHistory[shipping_method],SMALL(MATCH(ROW(orderHistory[customer]),ROW(orderHistory[customer])),ROWS($A$15:A25)+$B$3)),INDEX(orderHistory[shipping_method],SMALL(IF(ISNUMBER(MATCH(YEAR(orderHistory[invoice_date]),$D$15,0)),MATCH(ROW(orderHistory[customer]),ROW(orderHistory[customer])),""),ROWS($A$15:A25)+$B$3))),IF($D$15="",INDEX(orderHistory[shipping_method],SMALL(IF(ISNUMBER(MATCH(orderHistory[order_type],$D$13,0)),MATCH(ROW(orderHistory[customer]),ROW(orderHistory[customer])),""),ROWS($A$15:A25)+$B$3)),INDEX(orderHistory[shipping_method],SMALL(IF(ISNUMBER(MATCH(orderHistory[order_type],$D$13,0)*MATCH(YEAR(orderHistory[invoice_date]),$D$15,0)),MATCH(ROW(orderHistory[customer]),ROW(orderHistory[customer])),""),ROWS($A$15:A25)+$B$3)))),IF($D$13="",IF($D$15="",INDEX(orderHistory[shipping_method],SMALL(IF(ISNUMBER(MATCH(orderHistory[status],$D$11,0)),MATCH(ROW(orderHistory[customer]),ROW(orderHistory[customer])),""),ROWS($A$15:A25)+$B$3)),INDEX(orderHistory[shipping_method],SMALL(IF(ISNUMBER(MATCH(orderHistory[status],$D$11,0)*MATCH(YEAR(orderHistory[invoice_date]),$D$15,0)),MATCH(ROW(orderHistory[customer]),ROW(orderHistory[customer])),""),ROWS($A$15:A25)+$B$3))),IF($D$15="",INDEX(orderHistory[shipping_method],SMALL(IF(ISNUMBER(MATCH(orderHistory[status],$D$11,0)*MATCH(orderHistory[order_type],$D$13,0)),MATCH(ROW(orderHistory[customer]),ROW(orderHistory[customer])),""),ROWS($A$15:A25)+$B$3)),INDEX(orderHistory[shipping_method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shipping_method],SMALL(IF(ISNUMBER(MATCH(orderHistory[customer],$D$9,0)),MATCH(ROW(orderHistory[customer]),ROW(orderHistory[customer])),""),ROWS($A$15:A25)+$B$3)),INDEX(orderHistory[shipping_method],SMALL(IF(ISNUMBER(MATCH(orderHistory[customer],$D$9,0)*MATCH(YEAR(orderHistory[invoice_date]),$D$15,0)),MATCH(ROW(orderHistory[customer]),ROW(orderHistory[customer])),""),ROWS($A$15:A25)+$B$3))),IF($D$15="",INDEX(orderHistory[shipping_method],SMALL(IF(ISNUMBER(MATCH(orderHistory[customer],$D$9,0)*MATCH(orderHistory[order_type],$D$13,0)),MATCH(ROW(orderHistory[customer]),ROW(orderHistory[customer])),""),ROWS($A$15:A25)+$B$3)),INDEX(orderHistory[shipping_method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shipping_method],SMALL(IF(ISNUMBER(MATCH(orderHistory[customer],$D$9,0)*MATCH(orderHistory[status],$D$11,0)),MATCH(ROW(orderHistory[customer]),ROW(orderHistory[customer])),""),ROWS($A$15:A25)+$B$3)),INDEX(orderHistory[shipping_method],SMALL(IF(ISNUMBER(MATCH(orderHistory[customer],$D$9,0)*MATCH(orderHistory[status],$D$11,0)*MATCH(YEAR(orderHistory[shipping_method]),$D$15,0)),MATCH(ROW(orderHistory[customer]),ROW(orderHistory[customer])),""),ROWS($A$15:A25)+$B$3))),IF($D$15="",INDEX(orderHistory[shipping_method],SMALL(IF(ISNUMBER(MATCH(orderHistory[customer],$D$9,0)*MATCH(orderHistory[status],$D$11,0)*MATCH(orderHistory[order_type],$D$13,0)),MATCH(ROW(orderHistory[customer]),ROW(orderHistory[customer])),""),ROWS($A$15:A25)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BY ROAD</v>
      </c>
      <c r="V20" s="388" t="str">
        <f t="array" ref="V20">IFERROR(IF($D$9="",IF($D$11="",IF($D$13="",IF($D$15="",INDEX(orderHistory[status],SMALL(MATCH(ROW(orderHistory[customer]),ROW(orderHistory[customer])),ROWS($A$15:A25)+$B$3)),INDEX(orderHistory[status],SMALL(IF(ISNUMBER(MATCH(YEAR(orderHistory[invoice_date]),$D$15,0)),MATCH(ROW(orderHistory[customer]),ROW(orderHistory[customer])),""),ROWS($A$15:A25)+$B$3))),IF($D$15="",INDEX(orderHistory[status],SMALL(IF(ISNUMBER(MATCH(orderHistory[order_type],$D$13,0)),MATCH(ROW(orderHistory[customer]),ROW(orderHistory[customer])),""),ROWS($A$15:A25)+$B$3)),INDEX(orderHistory[status],SMALL(IF(ISNUMBER(MATCH(orderHistory[order_type],$D$13,0)*MATCH(YEAR(orderHistory[invoice_date]),$D$15,0)),MATCH(ROW(orderHistory[customer]),ROW(orderHistory[customer])),""),ROWS($A$15:A25)+$B$3)))),IF($D$13="",IF($D$15="",INDEX(orderHistory[status],SMALL(IF(ISNUMBER(MATCH(orderHistory[status],$D$11,0)),MATCH(ROW(orderHistory[customer]),ROW(orderHistory[customer])),""),ROWS($A$15:A25)+$B$3)),INDEX(orderHistory[status],SMALL(IF(ISNUMBER(MATCH(orderHistory[status],$D$11,0)*MATCH(YEAR(orderHistory[invoice_date]),$D$15,0)),MATCH(ROW(orderHistory[customer]),ROW(orderHistory[customer])),""),ROWS($A$15:A25)+$B$3))),IF($D$15="",INDEX(orderHistory[status],SMALL(IF(ISNUMBER(MATCH(orderHistory[status],$D$11,0)*MATCH(orderHistory[order_type],$D$13,0)),MATCH(ROW(orderHistory[customer]),ROW(orderHistory[customer])),""),ROWS($A$15:A25)+$B$3)),INDEX(orderHistory[status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status],SMALL(IF(ISNUMBER(MATCH(orderHistory[customer],$D$9,0)),MATCH(ROW(orderHistory[customer]),ROW(orderHistory[customer])),""),ROWS($A$15:A25)+$B$3)),INDEX(orderHistory[status],SMALL(IF(ISNUMBER(MATCH(orderHistory[customer],$D$9,0)*MATCH(YEAR(orderHistory[invoice_date]),$D$15,0)),MATCH(ROW(orderHistory[customer]),ROW(orderHistory[customer])),""),ROWS($A$15:A25)+$B$3))),IF($D$15="",INDEX(orderHistory[status],SMALL(IF(ISNUMBER(MATCH(orderHistory[customer],$D$9,0)*MATCH(orderHistory[order_type],$D$13,0)),MATCH(ROW(orderHistory[customer]),ROW(orderHistory[customer])),""),ROWS($A$15:A25)+$B$3)),INDEX(orderHistory[status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status],SMALL(IF(ISNUMBER(MATCH(orderHistory[customer],$D$9,0)*MATCH(orderHistory[status],$D$11,0)),MATCH(ROW(orderHistory[customer]),ROW(orderHistory[customer])),""),ROWS($A$15:A25)+$B$3)),INDEX(orderHistory[status],SMALL(IF(ISNUMBER(MATCH(orderHistory[customer],$D$9,0)*MATCH(orderHistory[status],$D$11,0)*MATCH(YEAR(orderHistory[status]),$D$15,0)),MATCH(ROW(orderHistory[customer]),ROW(orderHistory[customer])),""),ROWS($A$15:A25)+$B$3))),IF($D$15="",INDEX(orderHistory[status],SMALL(IF(ISNUMBER(MATCH(orderHistory[customer],$D$9,0)*MATCH(orderHistory[status],$D$11,0)*MATCH(orderHistory[order_type],$D$13,0)),MATCH(ROW(orderHistory[customer]),ROW(orderHistory[customer])),""),ROWS($A$15:A25)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SHIPPED</v>
      </c>
      <c r="W20" s="547" t="str">
        <f t="array" ref="W20">IFERROR(IF($D$9="",IF($D$11="",IF($D$13="",IF($D$15="",INDEX(orderHistory[custom_docs],SMALL(MATCH(ROW(orderHistory[customer]),ROW(orderHistory[customer])),ROWS($A$15:A25)+$B$3)),INDEX(orderHistory[custom_docs],SMALL(IF(ISNUMBER(MATCH(YEAR(orderHistory[invoice_date]),$D$15,0)),MATCH(ROW(orderHistory[customer]),ROW(orderHistory[customer])),""),ROWS($A$15:A25)+$B$3))),IF($D$15="",INDEX(orderHistory[custom_docs],SMALL(IF(ISNUMBER(MATCH(orderHistory[order_type],$D$13,0)),MATCH(ROW(orderHistory[customer]),ROW(orderHistory[customer])),""),ROWS($A$15:A25)+$B$3)),INDEX(orderHistory[custom_docs],SMALL(IF(ISNUMBER(MATCH(orderHistory[order_type],$D$13,0)*MATCH(YEAR(orderHistory[invoice_date]),$D$15,0)),MATCH(ROW(orderHistory[customer]),ROW(orderHistory[customer])),""),ROWS($A$15:A25)+$B$3)))),IF($D$13="",IF($D$15="",INDEX(orderHistory[custom_docs],SMALL(IF(ISNUMBER(MATCH(orderHistory[status],$D$11,0)),MATCH(ROW(orderHistory[customer]),ROW(orderHistory[customer])),""),ROWS($A$15:A25)+$B$3)),INDEX(orderHistory[custom_docs],SMALL(IF(ISNUMBER(MATCH(orderHistory[status],$D$11,0)*MATCH(YEAR(orderHistory[invoice_date]),$D$15,0)),MATCH(ROW(orderHistory[customer]),ROW(orderHistory[customer])),""),ROWS($A$15:A25)+$B$3))),IF($D$15="",INDEX(orderHistory[custom_docs],SMALL(IF(ISNUMBER(MATCH(orderHistory[status],$D$11,0)*MATCH(orderHistory[order_type],$D$13,0)),MATCH(ROW(orderHistory[customer]),ROW(orderHistory[customer])),""),ROWS($A$15:A25)+$B$3)),INDEX(orderHistory[custom_docs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custom_docs],SMALL(IF(ISNUMBER(MATCH(orderHistory[customer],$D$9,0)),MATCH(ROW(orderHistory[customer]),ROW(orderHistory[customer])),""),ROWS($A$15:A25)+$B$3)),INDEX(orderHistory[custom_docs],SMALL(IF(ISNUMBER(MATCH(orderHistory[customer],$D$9,0)*MATCH(YEAR(orderHistory[invoice_date]),$D$15,0)),MATCH(ROW(orderHistory[customer]),ROW(orderHistory[customer])),""),ROWS($A$15:A25)+$B$3))),IF($D$15="",INDEX(orderHistory[custom_docs],SMALL(IF(ISNUMBER(MATCH(orderHistory[customer],$D$9,0)*MATCH(orderHistory[order_type],$D$13,0)),MATCH(ROW(orderHistory[customer]),ROW(orderHistory[customer])),""),ROWS($A$15:A25)+$B$3)),INDEX(orderHistory[custom_docs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custom_docs],SMALL(IF(ISNUMBER(MATCH(orderHistory[customer],$D$9,0)*MATCH(orderHistory[status],$D$11,0)),MATCH(ROW(orderHistory[customer]),ROW(orderHistory[customer])),""),ROWS($A$15:A25)+$B$3)),INDEX(orderHistory[custom_docs],SMALL(IF(ISNUMBER(MATCH(orderHistory[customer],$D$9,0)*MATCH(orderHistory[status],$D$11,0)*MATCH(YEAR(orderHistory[status]),$D$15,0)),MATCH(ROW(orderHistory[customer]),ROW(orderHistory[customer])),""),ROWS($A$15:A25)+$B$3))),IF($D$15="",INDEX(orderHistory[custom_docs],SMALL(IF(ISNUMBER(MATCH(orderHistory[customer],$D$9,0)*MATCH(orderHistory[status],$D$11,0)*MATCH(orderHistory[order_type],$D$13,0)),MATCH(ROW(orderHistory[customer]),ROW(orderHistory[customer])),""),ROWS($A$15:A25)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OK</v>
      </c>
      <c r="AO20" s="273"/>
      <c r="AQ20" s="308"/>
      <c r="AR20" s="331"/>
      <c r="AS20" s="847"/>
      <c r="AT20" s="845"/>
      <c r="AU20" s="271"/>
      <c r="AW20" s="308"/>
      <c r="BD20" s="876"/>
      <c r="BE20" s="877"/>
      <c r="BF20" s="877"/>
      <c r="BG20" s="877"/>
      <c r="BH20" s="878"/>
      <c r="BJ20" s="271"/>
      <c r="BK20" s="296"/>
      <c r="BL20" s="297"/>
      <c r="BM20" s="298"/>
      <c r="BN20" s="297"/>
      <c r="BO20" s="298"/>
      <c r="BX20" s="364"/>
      <c r="BZ20" s="628"/>
      <c r="CA20" s="401" t="str">
        <f>IFERROR(IF(BZ20="","",INDEX(bhpc_data[description],MATCH(BZ20,bhpc_data[sku],0))),"")</f>
        <v/>
      </c>
      <c r="CB20" s="403"/>
      <c r="CC20" s="887"/>
      <c r="CD20" s="416"/>
      <c r="CE20" s="891"/>
      <c r="CF20" s="404"/>
      <c r="CG20" s="405" t="str">
        <f>IFERROR(ROUNDUP(CB20/INDEX(bhpc_data[units_per_carton],MATCH(BZ20,bhpc_data[sku],0)),0),"")</f>
        <v/>
      </c>
      <c r="CH20" s="406" t="str">
        <f>IFERROR(ROUNDUP(CD20/INDEX(bhpc_data[units_per_carton],MATCH(BZ20,bhpc_data[sku],0)),0),"")</f>
        <v/>
      </c>
      <c r="CI20" s="406" t="str">
        <f>IFERROR(ROUNDUP(CF20/INDEX(bhpc_data[units_per_carton],MATCH(BZ20,bhpc_data[sku])),0),"")</f>
        <v/>
      </c>
      <c r="CJ20" s="406" t="str">
        <f>IFERROR(((CB20+CD20+CF20)/INDEX(bhpc_data[units_per_carton],MATCH(BZ20,bhpc_data[sku],0)))*INDEX(bhpc_data[net_weight],MATCH(BZ20,bhpc_data[sku],0)),"")</f>
        <v/>
      </c>
      <c r="CK20" s="406" t="str">
        <f>IFERROR(((CB20+CD20+CF20)/INDEX(bhpc_data[units_per_carton],MATCH(BZ20,bhpc_data[sku],0)))*INDEX(bhpc_data[gross_weight],MATCH(BZ20,bhpc_data[sku],0)),"")</f>
        <v/>
      </c>
      <c r="CL20" s="602" t="str">
        <f>IFERROR((CB20+CD20+CF20)/INDEX(bhpc_data[units_per_carton],MATCH(BZ20,bhpc_data[sku],0))*INDEX(bhpc_data[length],MATCH(BZ20,bhpc_data[sku],0))*INDEX(bhpc_data[width],MATCH(BZ20,bhpc_data[sku],0))*INDEX(bhpc_data[height],MATCH(BZ20,bhpc_data[sku],0))/1000000000,"")</f>
        <v/>
      </c>
      <c r="CM20" s="407" t="str">
        <f>IFERROR(INDEX(bhpc_data[category],MATCH(BZ20,bhpc_data[sku],0)),"")</f>
        <v/>
      </c>
      <c r="CN20" s="407" t="str">
        <f>IFERROR(INDEX(bhpc_data[size],MATCH(BZ20,bhpc_data[sku],0)),"")</f>
        <v/>
      </c>
      <c r="CO20" s="408" t="str">
        <f>IFERROR(INDEX(bhpc_data[hs_code],MATCH(BZ20,bhpc_data[sku],0)),"")</f>
        <v/>
      </c>
      <c r="CP20" s="489" t="str">
        <f>IFERROR(INDEX(bhpc_data[sku_geko],MATCH(BZ20,bhpc_data[sku],0)),"")</f>
        <v/>
      </c>
      <c r="CQ20" s="404"/>
      <c r="CR20" s="517" t="str">
        <f>IFERROR(IF(BZ20="","",IF($BX$15="SALE",INDEX(inventory[COSTO UNITARIO],MATCH(BZ20,inventory[SKU],0)),IF($BX$15="SAMPLING",INDEX(inventory[COSTO UNITARIO],MATCH(BZ20,inventory[SKU],0)),""))),"")</f>
        <v/>
      </c>
      <c r="CS20" s="517" t="str">
        <f t="shared" si="3"/>
        <v/>
      </c>
      <c r="CT20" s="896" t="str">
        <f t="shared" si="4"/>
        <v/>
      </c>
      <c r="CU20" s="469" t="str">
        <f t="shared" si="0"/>
        <v/>
      </c>
      <c r="CW20" s="114" t="s">
        <v>569</v>
      </c>
      <c r="CX20" s="336"/>
      <c r="CY20" s="336"/>
      <c r="CZ20" s="358"/>
      <c r="DA20" s="336"/>
      <c r="DB20" s="336"/>
      <c r="DH20" s="215"/>
      <c r="EE20" s="445" t="str" cm="1">
        <f t="array" ref="EE20">IFERROR(IF($EC$9="",IF($EC$11="",IF($EC$13="",INDEX(bhpc_data[sku],SMALL(MATCH(ROW(bhpc_data[sku]),ROW(bhpc_data[sku])),ROWS($A$15:A25)+$B$3)),INDEX(bhpc_data[sku],SMALL(IF(ISNUMBER(MATCH(bhpc_data[size],$EC$13,0)),MATCH(ROW(bhpc_data[sku]),ROW(bhpc_data[sku])),""),ROWS($A$15:A25)+$B$3))),IF($EC$13="",INDEX(bhpc_data[sku],SMALL(IF(ISNUMBER(MATCH(bhpc_data[sex],$EC$11,0)),MATCH(ROW(bhpc_data[sku]),ROW(bhpc_data[sku])),""),ROWS($A$15:A25)+$B$3)),INDEX(bhpc_data[sku],SMALL(IF(ISNUMBER(MATCH(bhpc_data[sex],$EC$11,0)*MATCH(bhpc_data[size],$EC$13,0)),MATCH(ROW(bhpc_data[sku]),ROW(bhpc_data[sku])),""),ROWS($A$15:A25)+$B$3)))),IF($EC$11="",IF($EC$13="",INDEX(bhpc_data[sku],SMALL(IF(ISNUMBER(MATCH(bhpc_data[category],$EC$9,0)),MATCH(ROW(bhpc_data[sku]),ROW(bhpc_data[sku])),""),ROWS($A$15:A25)+$B$3)),INDEX(bhpc_data[sku],SMALL(IF(ISNUMBER(MATCH(bhpc_data[category],$EC$9,0)*MATCH(bhpc_data[size],$EC$13,0)),MATCH(ROW(bhpc_data[sku]),ROW(bhpc_data[sku])),""),ROWS($A$15:A25)+$B$3))),IF($EC$13="",INDEX(bhpc_data[sku],SMALL(IF(ISNUMBER(MATCH(bhpc_data[category],$EC$9,0)*MATCH(bhpc_data[sex],$EC$11,0)),MATCH(ROW(bhpc_data[sku]),ROW(bhpc_data[sku])),""),ROWS($A$15:A25)+$B$3)),INDEX(bhpc_data[sku],SMALL(IF(ISNUMBER(MATCH(bhpc_data[category],$EC$9,0)*MATCH(bhpc_data[sex],$EC$11,0)*MATCH(bhpc_data[size],$EC$13,0)),MATCH(ROW(bhpc_data[sku]),ROW(bhpc_data[sku])),""),ROWS($A$15:A25)+$B$3))))),"")</f>
        <v>P05028L</v>
      </c>
      <c r="EF20" s="446" t="str" cm="1">
        <f t="array" ref="EF20">IFERROR(IF($EC$9="",IF($EC$11="",IF($EC$13="",INDEX(bhpc_data[description],SMALL(MATCH(ROW(bhpc_data[sku]),ROW(bhpc_data[sku])),ROWS($A$15:A25)+$B$3)),INDEX(bhpc_data[description],SMALL(IF(ISNUMBER(MATCH(bhpc_data[size],$EC$13,0)),MATCH(ROW(bhpc_data[sku]),ROW(bhpc_data[sku])),""),ROWS($A$15:A25)+$B$3))),IF($EC$13="",INDEX(bhpc_data[description],SMALL(IF(ISNUMBER(MATCH(bhpc_data[sex],$EC$11,0)),MATCH(ROW(bhpc_data[sku]),ROW(bhpc_data[sku])),""),ROWS($A$15:A25)+$B$3)),INDEX(bhpc_data[description],SMALL(IF(ISNUMBER(MATCH(bhpc_data[sex],$EC$11,0)*MATCH(bhpc_data[size],$EC$13,0)),MATCH(ROW(bhpc_data[sku]),ROW(bhpc_data[sku])),""),ROWS($A$15:A25)+$B$3)))),IF($EC$11="",IF($EC$13="",INDEX(bhpc_data[description],SMALL(IF(ISNUMBER(MATCH(bhpc_data[category],$EC$9,0)),MATCH(ROW(bhpc_data[sku]),ROW(bhpc_data[sku])),""),ROWS($A$15:A25)+$B$3)),INDEX(bhpc_data[description],SMALL(IF(ISNUMBER(MATCH(bhpc_data[category],$EC$9,0)*MATCH(bhpc_data[size],$EC$13,0)),MATCH(ROW(bhpc_data[sku]),ROW(bhpc_data[sku])),""),ROWS($A$15:A25)+$B$3))),IF($EC$13="",INDEX(bhpc_data[description],SMALL(IF(ISNUMBER(MATCH(bhpc_data[category],$EC$9,0)*MATCH(bhpc_data[sex],$EC$11,0)),MATCH(ROW(bhpc_data[sku]),ROW(bhpc_data[sku])),""),ROWS($A$15:A25)+$B$3)),INDEX(bhpc_data[description],SMALL(IF(ISNUMBER(MATCH(bhpc_data[category],$EC$9,0)*MATCH(bhpc_data[sex],$EC$11,0)*MATCH(bhpc_data[size],$EC$13,0)),MATCH(ROW(bhpc_data[sku]),ROW(bhpc_data[sku])),""),ROWS($A$15:A25)+$B$3))))),"")</f>
        <v>BHPC WOMEN 1 EDP 50ML (UNBOXED)</v>
      </c>
      <c r="EG20" s="447">
        <f>IFERROR(IF('BHPC MANAGER'!$EE20="","",INDEX(inventory[ESISTENZA],MATCH('BHPC MANAGER'!$EE20,inventory[SKU],0))),0)</f>
        <v>7776</v>
      </c>
      <c r="EH20" s="448">
        <v>-76</v>
      </c>
      <c r="EI20" s="448">
        <f t="shared" si="1"/>
        <v>7700</v>
      </c>
      <c r="EJ20" s="449">
        <v>0</v>
      </c>
      <c r="EK20" s="450">
        <f t="shared" si="2"/>
        <v>7700</v>
      </c>
      <c r="FF20" s="263"/>
      <c r="FG20" s="263"/>
      <c r="FH20" s="263"/>
      <c r="FI20" s="263"/>
      <c r="FJ20" s="263"/>
      <c r="FK20" s="263"/>
      <c r="FL20" s="263"/>
      <c r="FM20" s="263"/>
      <c r="FN20" s="263"/>
      <c r="FO20" s="263"/>
      <c r="FP20" s="263"/>
      <c r="FQ20" s="263"/>
      <c r="FR20" s="263"/>
      <c r="FS20" s="263"/>
      <c r="FT20" s="263"/>
      <c r="FU20" s="263"/>
      <c r="FV20" s="263"/>
      <c r="FW20" s="263"/>
      <c r="FX20" s="263"/>
      <c r="FY20" s="263"/>
      <c r="FZ20" s="263"/>
      <c r="GA20" s="263"/>
      <c r="GB20" s="263"/>
      <c r="GC20" s="263"/>
      <c r="GD20" s="263"/>
      <c r="GE20" s="263"/>
      <c r="GF20" s="263"/>
      <c r="GG20" s="263"/>
      <c r="GH20" s="263"/>
      <c r="GI20" s="263"/>
      <c r="GJ20" s="263"/>
      <c r="GK20" s="263"/>
      <c r="GL20" s="263"/>
      <c r="GM20" s="263"/>
      <c r="GN20" s="263"/>
      <c r="GO20" s="263"/>
      <c r="GP20" s="263"/>
      <c r="GQ20" s="263"/>
      <c r="GR20" s="263"/>
      <c r="GS20" s="263"/>
      <c r="GT20" s="263"/>
      <c r="GU20" s="263"/>
      <c r="GV20" s="263"/>
      <c r="GW20" s="263"/>
      <c r="GX20" s="263"/>
      <c r="GY20" s="263"/>
      <c r="GZ20" s="263"/>
      <c r="HA20" s="263"/>
      <c r="HB20" s="263"/>
      <c r="HC20" s="263"/>
      <c r="HD20" s="263"/>
      <c r="HE20" s="263"/>
      <c r="HF20" s="263"/>
      <c r="HG20" s="263"/>
      <c r="HH20" s="263"/>
      <c r="HI20" s="263"/>
      <c r="HJ20" s="263"/>
      <c r="HK20" s="263"/>
      <c r="HL20" s="263"/>
      <c r="HM20" s="263"/>
      <c r="HN20" s="263"/>
      <c r="HO20" s="263"/>
      <c r="HP20" s="263"/>
      <c r="HQ20" s="263"/>
      <c r="HR20" s="263"/>
      <c r="HS20" s="263"/>
      <c r="HT20" s="263"/>
    </row>
    <row r="21" spans="1:228" ht="15" customHeight="1" x14ac:dyDescent="0.35">
      <c r="D21" s="523"/>
      <c r="F21" s="86"/>
      <c r="G21" s="94" t="s">
        <v>1193</v>
      </c>
      <c r="H21" s="76"/>
      <c r="I21" s="76"/>
      <c r="J21" s="77"/>
      <c r="L21" s="381" t="str">
        <f t="array" ref="L21">IFERROR(IF($D$9="",IF($D$11="",IF($D$13="",IF($D$15="",INDEX(orderHistory[customer],SMALL(MATCH(ROW(orderHistory[customer]),ROW(orderHistory[customer])),ROWS($A$15:A26)+$B$3)),INDEX(orderHistory[customer],SMALL(IF(ISNUMBER(MATCH(YEAR(orderHistory[invoice_date]),$D$15,0)),MATCH(ROW(orderHistory[customer]),ROW(orderHistory[customer])),""),ROWS($A$15:A26)+$B$3))),IF($D$15="",INDEX(orderHistory[customer],SMALL(IF(ISNUMBER(MATCH(orderHistory[order_type],$D$13,0)),MATCH(ROW(orderHistory[customer]),ROW(orderHistory[customer])),""),ROWS($A$15:A26)+$B$3)),INDEX(orderHistory[customer],SMALL(IF(ISNUMBER(MATCH(orderHistory[order_type],$D$13,0)*MATCH(YEAR(orderHistory[invoice_date]),$D$15,0)),MATCH(ROW(orderHistory[customer]),ROW(orderHistory[customer])),""),ROWS($A$15:A26)+$B$3)))),IF($D$13="",IF($D$15="",INDEX(orderHistory[customer],SMALL(IF(ISNUMBER(MATCH(orderHistory[status],$D$11,0)),MATCH(ROW(orderHistory[customer]),ROW(orderHistory[customer])),""),ROWS($A$15:A26)+$B$3)),INDEX(orderHistory[customer],SMALL(IF(ISNUMBER(MATCH(orderHistory[status],$D$11,0)*MATCH(YEAR(orderHistory[invoice_date]),$D$15,0)),MATCH(ROW(orderHistory[customer]),ROW(orderHistory[customer])),""),ROWS($A$15:A26)+$B$3))),IF($D$15="",INDEX(orderHistory[customer],SMALL(IF(ISNUMBER(MATCH(orderHistory[status],$D$11,0)*MATCH(orderHistory[order_type],$D$13,0)),MATCH(ROW(orderHistory[customer]),ROW(orderHistory[customer])),""),ROWS($A$15:A26)+$B$3)),INDEX(orderHistory[customer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customer],SMALL(IF(ISNUMBER(MATCH(orderHistory[customer],$D$9,0)),MATCH(ROW(orderHistory[customer]),ROW(orderHistory[customer])),""),ROWS($A$15:A26)+$B$3)),INDEX(orderHistory[customer],SMALL(IF(ISNUMBER(MATCH(orderHistory[customer],$D$9,0)*MATCH(YEAR(orderHistory[invoice_date]),$D$15,0)),MATCH(ROW(orderHistory[customer]),ROW(orderHistory[customer])),""),ROWS($A$15:A26)+$B$3))),IF($D$15="",INDEX(orderHistory[customer],SMALL(IF(ISNUMBER(MATCH(orderHistory[customer],$D$9,0)*MATCH(orderHistory[order_type],$D$13,0)),MATCH(ROW(orderHistory[customer]),ROW(orderHistory[customer])),""),ROWS($A$15:A26)+$B$3)),INDEX(orderHistory[customer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customer],SMALL(IF(ISNUMBER(MATCH(orderHistory[customer],$D$9,0)*MATCH(orderHistory[status],$D$11,0)),MATCH(ROW(orderHistory[customer]),ROW(orderHistory[customer])),""),ROWS($A$15:A26)+$B$3)),INDEX(orderHistory[customer],SMALL(IF(ISNUMBER(MATCH(orderHistory[customer],$D$9,0)*MATCH(orderHistory[status],$D$11,0)*MATCH(YEAR(orderHistory[invoice_date]),$D$15,0)),MATCH(ROW(orderHistory[customer]),ROW(orderHistory[customer])),""),ROWS($A$15:A26)+$B$3))),IF($D$15="",INDEX(orderHistory[customer],SMALL(IF(ISNUMBER(MATCH(orderHistory[customer],$D$9,0)*MATCH(orderHistory[status],$D$11,0)*MATCH(orderHistory[order_type],$D$13,0)),MATCH(ROW(orderHistory[customer]),ROW(orderHistory[customer])),""),ROWS($A$15:A26)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SIGMA</v>
      </c>
      <c r="M21" s="382">
        <f t="array" ref="M21">IFERROR(IF($D$9="",IF($D$11="",IF($D$13="",IF($D$15="",INDEX(orderHistory[order_no],SMALL(MATCH(ROW(orderHistory[customer]),ROW(orderHistory[customer])),ROWS($A$15:A26)+$B$3)),INDEX(orderHistory[order_no],SMALL(IF(ISNUMBER(MATCH(YEAR(orderHistory[invoice_date]),$D$15,0)),MATCH(ROW(orderHistory[customer]),ROW(orderHistory[customer])),""),ROWS($A$15:A26)+$B$3))),IF($D$15="",INDEX(orderHistory[order_no],SMALL(IF(ISNUMBER(MATCH(orderHistory[order_type],$D$13,0)),MATCH(ROW(orderHistory[customer]),ROW(orderHistory[customer])),""),ROWS($A$15:A26)+$B$3)),INDEX(orderHistory[order_no],SMALL(IF(ISNUMBER(MATCH(orderHistory[order_type],$D$13,0)*MATCH(YEAR(orderHistory[invoice_date]),$D$15,0)),MATCH(ROW(orderHistory[customer]),ROW(orderHistory[customer])),""),ROWS($A$15:A26)+$B$3)))),IF($D$13="",IF($D$15="",INDEX(orderHistory[order_no],SMALL(IF(ISNUMBER(MATCH(orderHistory[status],$D$11,0)),MATCH(ROW(orderHistory[customer]),ROW(orderHistory[customer])),""),ROWS($A$15:A26)+$B$3)),INDEX(orderHistory[order_no],SMALL(IF(ISNUMBER(MATCH(orderHistory[status],$D$11,0)*MATCH(YEAR(orderHistory[invoice_date]),$D$15,0)),MATCH(ROW(orderHistory[customer]),ROW(orderHistory[customer])),""),ROWS($A$15:A26)+$B$3))),IF($D$15="",INDEX(orderHistory[order_no],SMALL(IF(ISNUMBER(MATCH(orderHistory[status],$D$11,0)*MATCH(orderHistory[order_type],$D$13,0)),MATCH(ROW(orderHistory[customer]),ROW(orderHistory[customer])),""),ROWS($A$15:A26)+$B$3)),INDEX(orderHistory[order_no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order_no],SMALL(IF(ISNUMBER(MATCH(orderHistory[customer],$D$9,0)),MATCH(ROW(orderHistory[customer]),ROW(orderHistory[customer])),""),ROWS($A$15:A26)+$B$3)),INDEX(orderHistory[order_no],SMALL(IF(ISNUMBER(MATCH(orderHistory[customer],$D$9,0)*MATCH(YEAR(orderHistory[invoice_date]),$D$15,0)),MATCH(ROW(orderHistory[customer]),ROW(orderHistory[customer])),""),ROWS($A$15:A26)+$B$3))),IF($D$15="",INDEX(orderHistory[order_no],SMALL(IF(ISNUMBER(MATCH(orderHistory[customer],$D$9,0)*MATCH(orderHistory[order_type],$D$13,0)),MATCH(ROW(orderHistory[customer]),ROW(orderHistory[customer])),""),ROWS($A$15:A26)+$B$3)),INDEX(orderHistory[order_no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order_no],SMALL(IF(ISNUMBER(MATCH(orderHistory[customer],$D$9,0)*MATCH(orderHistory[status],$D$11,0)),MATCH(ROW(orderHistory[customer]),ROW(orderHistory[customer])),""),ROWS($A$15:A26)+$B$3)),INDEX(orderHistory[order_no],SMALL(IF(ISNUMBER(MATCH(orderHistory[customer],$D$9,0)*MATCH(orderHistory[status],$D$11,0)*MATCH(YEAR(orderHistory[invoice_date]),$D$15,0)),MATCH(ROW(orderHistory[customer]),ROW(orderHistory[customer])),""),ROWS($A$15:A26)+$B$3))),IF($D$15="",INDEX(orderHistory[order_no],SMALL(IF(ISNUMBER(MATCH(orderHistory[customer],$D$9,0)*MATCH(orderHistory[status],$D$11,0)*MATCH(orderHistory[order_type],$D$13,0)),MATCH(ROW(orderHistory[customer]),ROW(orderHistory[customer])),""),ROWS($A$15:A26)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63</v>
      </c>
      <c r="N21" s="383" t="str">
        <f t="array" ref="N21">IFERROR(IF($D$9="",IF($D$11="",IF($D$13="",IF($D$15="",INDEX(orderHistory[order_type],SMALL(MATCH(ROW(orderHistory[customer]),ROW(orderHistory[customer])),ROWS($A$15:A26)+$B$3)),INDEX(orderHistory[order_type],SMALL(IF(ISNUMBER(MATCH(YEAR(orderHistory[invoice_date]),$D$15,0)),MATCH(ROW(orderHistory[customer]),ROW(orderHistory[customer])),""),ROWS($A$15:A26)+$B$3))),IF($D$15="",INDEX(orderHistory[order_type],SMALL(IF(ISNUMBER(MATCH(orderHistory[order_type],$D$13,0)),MATCH(ROW(orderHistory[customer]),ROW(orderHistory[customer])),""),ROWS($A$15:A26)+$B$3)),INDEX(orderHistory[order_type],SMALL(IF(ISNUMBER(MATCH(orderHistory[order_type],$D$13,0)*MATCH(YEAR(orderHistory[invoice_date]),$D$15,0)),MATCH(ROW(orderHistory[customer]),ROW(orderHistory[customer])),""),ROWS($A$15:A26)+$B$3)))),IF($D$13="",IF($D$15="",INDEX(orderHistory[order_type],SMALL(IF(ISNUMBER(MATCH(orderHistory[status],$D$11,0)),MATCH(ROW(orderHistory[customer]),ROW(orderHistory[customer])),""),ROWS($A$15:A26)+$B$3)),INDEX(orderHistory[order_type],SMALL(IF(ISNUMBER(MATCH(orderHistory[status],$D$11,0)*MATCH(YEAR(orderHistory[invoice_date]),$D$15,0)),MATCH(ROW(orderHistory[customer]),ROW(orderHistory[customer])),""),ROWS($A$15:A26)+$B$3))),IF($D$15="",INDEX(orderHistory[order_type],SMALL(IF(ISNUMBER(MATCH(orderHistory[status],$D$11,0)*MATCH(orderHistory[order_type],$D$13,0)),MATCH(ROW(orderHistory[customer]),ROW(orderHistory[customer])),""),ROWS($A$15:A26)+$B$3)),INDEX(orderHistory[order_type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order_type],SMALL(IF(ISNUMBER(MATCH(orderHistory[customer],$D$9,0)),MATCH(ROW(orderHistory[customer]),ROW(orderHistory[customer])),""),ROWS($A$15:A26)+$B$3)),INDEX(orderHistory[order_type],SMALL(IF(ISNUMBER(MATCH(orderHistory[customer],$D$9,0)*MATCH(YEAR(orderHistory[invoice_date]),$D$15,0)),MATCH(ROW(orderHistory[customer]),ROW(orderHistory[customer])),""),ROWS($A$15:A26)+$B$3))),IF($D$15="",INDEX(orderHistory[order_type],SMALL(IF(ISNUMBER(MATCH(orderHistory[customer],$D$9,0)*MATCH(orderHistory[order_type],$D$13,0)),MATCH(ROW(orderHistory[customer]),ROW(orderHistory[customer])),""),ROWS($A$15:A26)+$B$3)),INDEX(orderHistory[order_type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order_type],SMALL(IF(ISNUMBER(MATCH(orderHistory[customer],$D$9,0)*MATCH(orderHistory[status],$D$11,0)),MATCH(ROW(orderHistory[customer]),ROW(orderHistory[customer])),""),ROWS($A$15:A26)+$B$3)),INDEX(orderHistory[order_type],SMALL(IF(ISNUMBER(MATCH(orderHistory[customer],$D$9,0)*MATCH(orderHistory[status],$D$11,0)*MATCH(YEAR(orderHistory[invoice_date]),$D$15,0)),MATCH(ROW(orderHistory[customer]),ROW(orderHistory[customer])),""),ROWS($A$15:A26)+$B$3))),IF($D$15="",INDEX(orderHistory[order_type],SMALL(IF(ISNUMBER(MATCH(orderHistory[customer],$D$9,0)*MATCH(orderHistory[status],$D$11,0)*MATCH(orderHistory[order_type],$D$13,0)),MATCH(ROW(orderHistory[customer]),ROW(orderHistory[customer])),""),ROWS($A$15:A26)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SALE</v>
      </c>
      <c r="O21" s="384" t="str">
        <f t="array" ref="O21">IFERROR(IF($D$9="",IF($D$11="",IF($D$13="",IF($D$15="",INDEX(orderHistory[order_date],SMALL(MATCH(ROW(orderHistory[customer]),ROW(orderHistory[customer])),ROWS($A$15:A26)+$B$3)),INDEX(orderHistory[order_date],SMALL(IF(ISNUMBER(MATCH(YEAR(orderHistory[invoice_date]),$D$15,0)),MATCH(ROW(orderHistory[customer]),ROW(orderHistory[customer])),""),ROWS($A$15:A26)+$B$3))),IF($D$15="",INDEX(orderHistory[order_date],SMALL(IF(ISNUMBER(MATCH(orderHistory[order_type],$D$13,0)),MATCH(ROW(orderHistory[customer]),ROW(orderHistory[customer])),""),ROWS($A$15:A26)+$B$3)),INDEX(orderHistory[order_date],SMALL(IF(ISNUMBER(MATCH(orderHistory[order_type],$D$13,0)*MATCH(YEAR(orderHistory[invoice_date]),$D$15,0)),MATCH(ROW(orderHistory[customer]),ROW(orderHistory[customer])),""),ROWS($A$15:A26)+$B$3)))),IF($D$13="",IF($D$15="",INDEX(orderHistory[order_date],SMALL(IF(ISNUMBER(MATCH(orderHistory[status],$D$11,0)),MATCH(ROW(orderHistory[customer]),ROW(orderHistory[customer])),""),ROWS($A$15:A26)+$B$3)),INDEX(orderHistory[order_date],SMALL(IF(ISNUMBER(MATCH(orderHistory[status],$D$11,0)*MATCH(YEAR(orderHistory[invoice_date]),$D$15,0)),MATCH(ROW(orderHistory[customer]),ROW(orderHistory[customer])),""),ROWS($A$15:A26)+$B$3))),IF($D$15="",INDEX(orderHistory[order_date],SMALL(IF(ISNUMBER(MATCH(orderHistory[status],$D$11,0)*MATCH(orderHistory[order_type],$D$13,0)),MATCH(ROW(orderHistory[customer]),ROW(orderHistory[customer])),""),ROWS($A$15:A26)+$B$3)),INDEX(orderHistory[order_date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order_date],SMALL(IF(ISNUMBER(MATCH(orderHistory[customer],$D$9,0)),MATCH(ROW(orderHistory[customer]),ROW(orderHistory[customer])),""),ROWS($A$15:A26)+$B$3)),INDEX(orderHistory[order_date],SMALL(IF(ISNUMBER(MATCH(orderHistory[customer],$D$9,0)*MATCH(YEAR(orderHistory[invoice_date]),$D$15,0)),MATCH(ROW(orderHistory[customer]),ROW(orderHistory[customer])),""),ROWS($A$15:A26)+$B$3))),IF($D$15="",INDEX(orderHistory[order_date],SMALL(IF(ISNUMBER(MATCH(orderHistory[customer],$D$9,0)*MATCH(orderHistory[order_type],$D$13,0)),MATCH(ROW(orderHistory[customer]),ROW(orderHistory[customer])),""),ROWS($A$15:A26)+$B$3)),INDEX(orderHistory[order_date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order_date],SMALL(IF(ISNUMBER(MATCH(orderHistory[customer],$D$9,0)*MATCH(orderHistory[status],$D$11,0)),MATCH(ROW(orderHistory[customer]),ROW(orderHistory[customer])),""),ROWS($A$15:A26)+$B$3)),INDEX(orderHistory[order_date],SMALL(IF(ISNUMBER(MATCH(orderHistory[customer],$D$9,0)*MATCH(orderHistory[status],$D$11,0)*MATCH(YEAR(orderHistory[invoice_date]),$D$15,0)),MATCH(ROW(orderHistory[customer]),ROW(orderHistory[customer])),""),ROWS($A$15:A26)+$B$3))),IF($D$15="",INDEX(orderHistory[order_date],SMALL(IF(ISNUMBER(MATCH(orderHistory[customer],$D$9,0)*MATCH(orderHistory[status],$D$11,0)*MATCH(orderHistory[order_type],$D$13,0)),MATCH(ROW(orderHistory[customer]),ROW(orderHistory[customer])),""),ROWS($A$15:A26)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01/07/2024</v>
      </c>
      <c r="P21" s="385" t="str">
        <f t="array" ref="P21">IFERROR(IF($D$9="",IF($D$11="",IF($D$13="",IF($D$15="",INDEX(orderHistory[invoice_no],SMALL(MATCH(ROW(orderHistory[customer]),ROW(orderHistory[customer])),ROWS($A$15:A26)+$B$3)),INDEX(orderHistory[invoice_no],SMALL(IF(ISNUMBER(MATCH(YEAR(orderHistory[invoice_date]),$D$15,0)),MATCH(ROW(orderHistory[customer]),ROW(orderHistory[customer])),""),ROWS($A$15:A26)+$B$3))),IF($D$15="",INDEX(orderHistory[invoice_no],SMALL(IF(ISNUMBER(MATCH(orderHistory[order_type],$D$13,0)),MATCH(ROW(orderHistory[customer]),ROW(orderHistory[customer])),""),ROWS($A$15:A26)+$B$3)),INDEX(orderHistory[invoice_no],SMALL(IF(ISNUMBER(MATCH(orderHistory[order_type],$D$13,0)*MATCH(YEAR(orderHistory[invoice_date]),$D$15,0)),MATCH(ROW(orderHistory[customer]),ROW(orderHistory[customer])),""),ROWS($A$15:A26)+$B$3)))),IF($D$13="",IF($D$15="",INDEX(orderHistory[invoice_no],SMALL(IF(ISNUMBER(MATCH(orderHistory[status],$D$11,0)),MATCH(ROW(orderHistory[customer]),ROW(orderHistory[customer])),""),ROWS($A$15:A26)+$B$3)),INDEX(orderHistory[invoice_no],SMALL(IF(ISNUMBER(MATCH(orderHistory[status],$D$11,0)*MATCH(YEAR(orderHistory[invoice_date]),$D$15,0)),MATCH(ROW(orderHistory[customer]),ROW(orderHistory[customer])),""),ROWS($A$15:A26)+$B$3))),IF($D$15="",INDEX(orderHistory[invoice_no],SMALL(IF(ISNUMBER(MATCH(orderHistory[status],$D$11,0)*MATCH(orderHistory[order_type],$D$13,0)),MATCH(ROW(orderHistory[customer]),ROW(orderHistory[customer])),""),ROWS($A$15:A26)+$B$3)),INDEX(orderHistory[invoice_no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invoice_no],SMALL(IF(ISNUMBER(MATCH(orderHistory[customer],$D$9,0)),MATCH(ROW(orderHistory[customer]),ROW(orderHistory[customer])),""),ROWS($A$15:A26)+$B$3)),INDEX(orderHistory[invoice_no],SMALL(IF(ISNUMBER(MATCH(orderHistory[customer],$D$9,0)*MATCH(YEAR(orderHistory[invoice_date]),$D$15,0)),MATCH(ROW(orderHistory[customer]),ROW(orderHistory[customer])),""),ROWS($A$15:A26)+$B$3))),IF($D$15="",INDEX(orderHistory[invoice_no],SMALL(IF(ISNUMBER(MATCH(orderHistory[customer],$D$9,0)*MATCH(orderHistory[order_type],$D$13,0)),MATCH(ROW(orderHistory[customer]),ROW(orderHistory[customer])),""),ROWS($A$15:A26)+$B$3)),INDEX(orderHistory[invoice_no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invoice_no],SMALL(IF(ISNUMBER(MATCH(orderHistory[customer],$D$9,0)*MATCH(orderHistory[status],$D$11,0)),MATCH(ROW(orderHistory[customer]),ROW(orderHistory[customer])),""),ROWS($A$15:A26)+$B$3)),INDEX(orderHistory[invoice_no],SMALL(IF(ISNUMBER(MATCH(orderHistory[customer],$D$9,0)*MATCH(orderHistory[status],$D$11,0)*MATCH(YEAR(orderHistory[invoice_date]),$D$15,0)),MATCH(ROW(orderHistory[customer]),ROW(orderHistory[customer])),""),ROWS($A$15:A26)+$B$3))),IF($D$15="",INDEX(orderHistory[invoice_no],SMALL(IF(ISNUMBER(MATCH(orderHistory[customer],$D$9,0)*MATCH(orderHistory[status],$D$11,0)*MATCH(orderHistory[order_type],$D$13,0)),MATCH(ROW(orderHistory[customer]),ROW(orderHistory[customer])),""),ROWS($A$15:A26)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295</v>
      </c>
      <c r="Q21" s="386">
        <f t="array" ref="Q21">IFERROR(IF($D$9="",IF($D$11="",IF($D$13="",IF($D$15="",INDEX(orderHistory[invoice_date],SMALL(MATCH(ROW(orderHistory[customer]),ROW(orderHistory[customer])),ROWS($A$15:A26)+$B$3)),INDEX(orderHistory[invoice_date],SMALL(IF(ISNUMBER(MATCH(YEAR(orderHistory[invoice_date]),$D$15,0)),MATCH(ROW(orderHistory[customer]),ROW(orderHistory[customer])),""),ROWS($A$15:A26)+$B$3))),IF($D$15="",INDEX(orderHistory[invoice_date],SMALL(IF(ISNUMBER(MATCH(orderHistory[order_type],$D$13,0)),MATCH(ROW(orderHistory[customer]),ROW(orderHistory[customer])),""),ROWS($A$15:A26)+$B$3)),INDEX(orderHistory[invoice_date],SMALL(IF(ISNUMBER(MATCH(orderHistory[order_type],$D$13,0)*MATCH(YEAR(orderHistory[invoice_date]),$D$15,0)),MATCH(ROW(orderHistory[customer]),ROW(orderHistory[customer])),""),ROWS($A$15:A26)+$B$3)))),IF($D$13="",IF($D$15="",INDEX(orderHistory[invoice_date],SMALL(IF(ISNUMBER(MATCH(orderHistory[status],$D$11,0)),MATCH(ROW(orderHistory[customer]),ROW(orderHistory[customer])),""),ROWS($A$15:A26)+$B$3)),INDEX(orderHistory[invoice_date],SMALL(IF(ISNUMBER(MATCH(orderHistory[status],$D$11,0)*MATCH(YEAR(orderHistory[invoice_date]),$D$15,0)),MATCH(ROW(orderHistory[customer]),ROW(orderHistory[customer])),""),ROWS($A$15:A26)+$B$3))),IF($D$15="",INDEX(orderHistory[invoice_date],SMALL(IF(ISNUMBER(MATCH(orderHistory[status],$D$11,0)*MATCH(orderHistory[order_type],$D$13,0)),MATCH(ROW(orderHistory[customer]),ROW(orderHistory[customer])),""),ROWS($A$15:A26)+$B$3)),INDEX(orderHistory[invoice_date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invoice_date],SMALL(IF(ISNUMBER(MATCH(orderHistory[customer],$D$9,0)),MATCH(ROW(orderHistory[customer]),ROW(orderHistory[customer])),""),ROWS($A$15:A26)+$B$3)),INDEX(orderHistory[invoice_date],SMALL(IF(ISNUMBER(MATCH(orderHistory[customer],$D$9,0)*MATCH(YEAR(orderHistory[invoice_date]),$D$15,0)),MATCH(ROW(orderHistory[customer]),ROW(orderHistory[customer])),""),ROWS($A$15:A26)+$B$3))),IF($D$15="",INDEX(orderHistory[invoice_date],SMALL(IF(ISNUMBER(MATCH(orderHistory[customer],$D$9,0)*MATCH(orderHistory[order_type],$D$13,0)),MATCH(ROW(orderHistory[customer]),ROW(orderHistory[customer])),""),ROWS($A$15:A26)+$B$3)),INDEX(orderHistory[invoice_date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invoice_date],SMALL(IF(ISNUMBER(MATCH(orderHistory[customer],$D$9,0)*MATCH(orderHistory[status],$D$11,0)),MATCH(ROW(orderHistory[customer]),ROW(orderHistory[customer])),""),ROWS($A$15:A26)+$B$3)),INDEX(orderHistory[invoice_date],SMALL(IF(ISNUMBER(MATCH(orderHistory[customer],$D$9,0)*MATCH(orderHistory[status],$D$11,0)*MATCH(YEAR(orderHistory[invoice_date]),$D$15,0)),MATCH(ROW(orderHistory[customer]),ROW(orderHistory[customer])),""),ROWS($A$15:A26)+$B$3))),IF($D$15="",INDEX(orderHistory[invoice_date],SMALL(IF(ISNUMBER(MATCH(orderHistory[customer],$D$9,0)*MATCH(orderHistory[status],$D$11,0)*MATCH(orderHistory[order_type],$D$13,0)),MATCH(ROW(orderHistory[customer]),ROW(orderHistory[customer])),""),ROWS($A$15:A26)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45524</v>
      </c>
      <c r="R21" s="387">
        <f t="array" ref="R21">IFERROR(IF($D$9="",IF($D$11="",IF($D$13="",IF($D$15="",INDEX(orderHistory[inv_amount],SMALL(MATCH(ROW(orderHistory[customer]),ROW(orderHistory[customer])),ROWS($A$15:A26)+$B$3)),INDEX(orderHistory[inv_amount],SMALL(IF(ISNUMBER(MATCH(YEAR(orderHistory[invoice_date]),$D$15,0)),MATCH(ROW(orderHistory[customer]),ROW(orderHistory[customer])),""),ROWS($A$15:A26)+$B$3))),IF($D$15="",INDEX(orderHistory[inv_amount],SMALL(IF(ISNUMBER(MATCH(orderHistory[order_type],$D$13,0)),MATCH(ROW(orderHistory[customer]),ROW(orderHistory[customer])),""),ROWS($A$15:A26)+$B$3)),INDEX(orderHistory[inv_amount],SMALL(IF(ISNUMBER(MATCH(orderHistory[order_type],$D$13,0)*MATCH(YEAR(orderHistory[invoice_date]),$D$15,0)),MATCH(ROW(orderHistory[customer]),ROW(orderHistory[customer])),""),ROWS($A$15:A26)+$B$3)))),IF($D$13="",IF($D$15="",INDEX(orderHistory[inv_amount],SMALL(IF(ISNUMBER(MATCH(orderHistory[status],$D$11,0)),MATCH(ROW(orderHistory[customer]),ROW(orderHistory[customer])),""),ROWS($A$15:A26)+$B$3)),INDEX(orderHistory[inv_amount],SMALL(IF(ISNUMBER(MATCH(orderHistory[status],$D$11,0)*MATCH(YEAR(orderHistory[invoice_date]),$D$15,0)),MATCH(ROW(orderHistory[customer]),ROW(orderHistory[customer])),""),ROWS($A$15:A26)+$B$3))),IF($D$15="",INDEX(orderHistory[inv_amount],SMALL(IF(ISNUMBER(MATCH(orderHistory[status],$D$11,0)*MATCH(orderHistory[order_type],$D$13,0)),MATCH(ROW(orderHistory[customer]),ROW(orderHistory[customer])),""),ROWS($A$15:A26)+$B$3)),INDEX(orderHistory[inv_amount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inv_amount],SMALL(IF(ISNUMBER(MATCH(orderHistory[customer],$D$9,0)),MATCH(ROW(orderHistory[customer]),ROW(orderHistory[customer])),""),ROWS($A$15:A26)+$B$3)),INDEX(orderHistory[inv_amount],SMALL(IF(ISNUMBER(MATCH(orderHistory[customer],$D$9,0)*MATCH(YEAR(orderHistory[invoice_date]),$D$15,0)),MATCH(ROW(orderHistory[customer]),ROW(orderHistory[customer])),""),ROWS($A$15:A26)+$B$3))),IF($D$15="",INDEX(orderHistory[inv_amount],SMALL(IF(ISNUMBER(MATCH(orderHistory[customer],$D$9,0)*MATCH(orderHistory[order_type],$D$13,0)),MATCH(ROW(orderHistory[customer]),ROW(orderHistory[customer])),""),ROWS($A$15:A26)+$B$3)),INDEX(orderHistory[inv_amount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inv_amount],SMALL(IF(ISNUMBER(MATCH(orderHistory[customer],$D$9,0)*MATCH(orderHistory[status],$D$11,0)),MATCH(ROW(orderHistory[customer]),ROW(orderHistory[customer])),""),ROWS($A$15:A26)+$B$3)),INDEX(orderHistory[inv_amount],SMALL(IF(ISNUMBER(MATCH(orderHistory[customer],$D$9,0)*MATCH(orderHistory[status],$D$11,0)*MATCH(YEAR(orderHistory[inv_amount]),$D$15,0)),MATCH(ROW(orderHistory[customer]),ROW(orderHistory[customer])),""),ROWS($A$15:A26)+$B$3))),IF($D$15="",INDEX(orderHistory[inv_amount],SMALL(IF(ISNUMBER(MATCH(orderHistory[customer],$D$9,0)*MATCH(orderHistory[status],$D$11,0)*MATCH(orderHistory[order_type],$D$13,0)),MATCH(ROW(orderHistory[customer]),ROW(orderHistory[customer])),""),ROWS($A$15:A26)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42638.8</v>
      </c>
      <c r="S21" s="465" t="str">
        <f t="array" ref="S21">IFERROR(IF($D$9="",IF($D$11="",IF($D$13="",IF($D$15="",INDEX(orderHistory[lock_goods],SMALL(MATCH(ROW(orderHistory[customer]),ROW(orderHistory[customer])),ROWS($A$15:A26)+$B$3)),INDEX(orderHistory[lock_goods],SMALL(IF(ISNUMBER(MATCH(YEAR(orderHistory[invoice_date]),$D$15,0)),MATCH(ROW(orderHistory[customer]),ROW(orderHistory[customer])),""),ROWS($A$15:A26)+$B$3))),IF($D$15="",INDEX(orderHistory[lock_goods],SMALL(IF(ISNUMBER(MATCH(orderHistory[order_type],$D$13,0)),MATCH(ROW(orderHistory[customer]),ROW(orderHistory[customer])),""),ROWS($A$15:A26)+$B$3)),INDEX(orderHistory[lock_goods],SMALL(IF(ISNUMBER(MATCH(orderHistory[order_type],$D$13,0)*MATCH(YEAR(orderHistory[invoice_date]),$D$15,0)),MATCH(ROW(orderHistory[customer]),ROW(orderHistory[customer])),""),ROWS($A$15:A26)+$B$3)))),IF($D$13="",IF($D$15="",INDEX(orderHistory[lock_goods],SMALL(IF(ISNUMBER(MATCH(orderHistory[status],$D$11,0)),MATCH(ROW(orderHistory[customer]),ROW(orderHistory[customer])),""),ROWS($A$15:A26)+$B$3)),INDEX(orderHistory[lock_goods],SMALL(IF(ISNUMBER(MATCH(orderHistory[status],$D$11,0)*MATCH(YEAR(orderHistory[invoice_date]),$D$15,0)),MATCH(ROW(orderHistory[customer]),ROW(orderHistory[customer])),""),ROWS($A$15:A26)+$B$3))),IF($D$15="",INDEX(orderHistory[lock_goods],SMALL(IF(ISNUMBER(MATCH(orderHistory[status],$D$11,0)*MATCH(orderHistory[order_type],$D$13,0)),MATCH(ROW(orderHistory[customer]),ROW(orderHistory[customer])),""),ROWS($A$15:A26)+$B$3)),INDEX(orderHistory[lock_goods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lock_goods],SMALL(IF(ISNUMBER(MATCH(orderHistory[customer],$D$9,0)),MATCH(ROW(orderHistory[customer]),ROW(orderHistory[customer])),""),ROWS($A$15:A26)+$B$3)),INDEX(orderHistory[lock_goods],SMALL(IF(ISNUMBER(MATCH(orderHistory[customer],$D$9,0)*MATCH(YEAR(orderHistory[invoice_date]),$D$15,0)),MATCH(ROW(orderHistory[customer]),ROW(orderHistory[customer])),""),ROWS($A$15:A26)+$B$3))),IF($D$15="",INDEX(orderHistory[lock_goods],SMALL(IF(ISNUMBER(MATCH(orderHistory[customer],$D$9,0)*MATCH(orderHistory[order_type],$D$13,0)),MATCH(ROW(orderHistory[customer]),ROW(orderHistory[customer])),""),ROWS($A$15:A26)+$B$3)),INDEX(orderHistory[lock_goods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lock_goods],SMALL(IF(ISNUMBER(MATCH(orderHistory[customer],$D$9,0)*MATCH(orderHistory[status],$D$11,0)),MATCH(ROW(orderHistory[customer]),ROW(orderHistory[customer])),""),ROWS($A$15:A26)+$B$3)),INDEX(orderHistory[lock_goods],SMALL(IF(ISNUMBER(MATCH(orderHistory[customer],$D$9,0)*MATCH(orderHistory[status],$D$11,0)*MATCH(YEAR(orderHistory[payed]),$D$15,0)),MATCH(ROW(orderHistory[customer]),ROW(orderHistory[customer])),""),ROWS($A$15:A26)+$B$3))),IF($D$15="",INDEX(orderHistory[lock_goods],SMALL(IF(ISNUMBER(MATCH(orderHistory[customer],$D$9,0)*MATCH(orderHistory[status],$D$11,0)*MATCH(orderHistory[order_type],$D$13,0)),MATCH(ROW(orderHistory[customer]),ROW(orderHistory[customer])),""),ROWS($A$15:A26)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GOODS SENT</v>
      </c>
      <c r="T21" s="388" t="b">
        <f t="array" ref="T21">IFERROR(IF($D$9="",IF($D$11="",IF($D$13="",IF($D$15="",INDEX(orderHistory[payed],SMALL(MATCH(ROW(orderHistory[customer]),ROW(orderHistory[customer])),ROWS($A$15:A26)+$B$3)),INDEX(orderHistory[payed],SMALL(IF(ISNUMBER(MATCH(YEAR(orderHistory[invoice_date]),$D$15,0)),MATCH(ROW(orderHistory[customer]),ROW(orderHistory[customer])),""),ROWS($A$15:A26)+$B$3))),IF($D$15="",INDEX(orderHistory[payed],SMALL(IF(ISNUMBER(MATCH(orderHistory[order_type],$D$13,0)),MATCH(ROW(orderHistory[customer]),ROW(orderHistory[customer])),""),ROWS($A$15:A26)+$B$3)),INDEX(orderHistory[payed],SMALL(IF(ISNUMBER(MATCH(orderHistory[order_type],$D$13,0)*MATCH(YEAR(orderHistory[invoice_date]),$D$15,0)),MATCH(ROW(orderHistory[customer]),ROW(orderHistory[customer])),""),ROWS($A$15:A26)+$B$3)))),IF($D$13="",IF($D$15="",INDEX(orderHistory[payed],SMALL(IF(ISNUMBER(MATCH(orderHistory[status],$D$11,0)),MATCH(ROW(orderHistory[customer]),ROW(orderHistory[customer])),""),ROWS($A$15:A26)+$B$3)),INDEX(orderHistory[payed],SMALL(IF(ISNUMBER(MATCH(orderHistory[status],$D$11,0)*MATCH(YEAR(orderHistory[invoice_date]),$D$15,0)),MATCH(ROW(orderHistory[customer]),ROW(orderHistory[customer])),""),ROWS($A$15:A26)+$B$3))),IF($D$15="",INDEX(orderHistory[payed],SMALL(IF(ISNUMBER(MATCH(orderHistory[status],$D$11,0)*MATCH(orderHistory[order_type],$D$13,0)),MATCH(ROW(orderHistory[customer]),ROW(orderHistory[customer])),""),ROWS($A$15:A26)+$B$3)),INDEX(orderHistory[payed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payed],SMALL(IF(ISNUMBER(MATCH(orderHistory[customer],$D$9,0)),MATCH(ROW(orderHistory[customer]),ROW(orderHistory[customer])),""),ROWS($A$15:A26)+$B$3)),INDEX(orderHistory[payed],SMALL(IF(ISNUMBER(MATCH(orderHistory[customer],$D$9,0)*MATCH(YEAR(orderHistory[invoice_date]),$D$15,0)),MATCH(ROW(orderHistory[customer]),ROW(orderHistory[customer])),""),ROWS($A$15:A26)+$B$3))),IF($D$15="",INDEX(orderHistory[payed],SMALL(IF(ISNUMBER(MATCH(orderHistory[customer],$D$9,0)*MATCH(orderHistory[order_type],$D$13,0)),MATCH(ROW(orderHistory[customer]),ROW(orderHistory[customer])),""),ROWS($A$15:A26)+$B$3)),INDEX(orderHistory[payed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payed],SMALL(IF(ISNUMBER(MATCH(orderHistory[customer],$D$9,0)*MATCH(orderHistory[status],$D$11,0)),MATCH(ROW(orderHistory[customer]),ROW(orderHistory[customer])),""),ROWS($A$15:A26)+$B$3)),INDEX(orderHistory[payed],SMALL(IF(ISNUMBER(MATCH(orderHistory[customer],$D$9,0)*MATCH(orderHistory[status],$D$11,0)*MATCH(YEAR(orderHistory[payed]),$D$15,0)),MATCH(ROW(orderHistory[customer]),ROW(orderHistory[customer])),""),ROWS($A$15:A26)+$B$3))),IF($D$15="",INDEX(orderHistory[payed],SMALL(IF(ISNUMBER(MATCH(orderHistory[customer],$D$9,0)*MATCH(orderHistory[status],$D$11,0)*MATCH(orderHistory[order_type],$D$13,0)),MATCH(ROW(orderHistory[customer]),ROW(orderHistory[customer])),""),ROWS($A$15:A26)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1</v>
      </c>
      <c r="U21" s="383" t="str">
        <f t="array" ref="U21">IFERROR(IF($D$9="",IF($D$11="",IF($D$13="",IF($D$15="",INDEX(orderHistory[shipping_method],SMALL(MATCH(ROW(orderHistory[customer]),ROW(orderHistory[customer])),ROWS($A$15:A26)+$B$3)),INDEX(orderHistory[shipping_method],SMALL(IF(ISNUMBER(MATCH(YEAR(orderHistory[invoice_date]),$D$15,0)),MATCH(ROW(orderHistory[customer]),ROW(orderHistory[customer])),""),ROWS($A$15:A26)+$B$3))),IF($D$15="",INDEX(orderHistory[shipping_method],SMALL(IF(ISNUMBER(MATCH(orderHistory[order_type],$D$13,0)),MATCH(ROW(orderHistory[customer]),ROW(orderHistory[customer])),""),ROWS($A$15:A26)+$B$3)),INDEX(orderHistory[shipping_method],SMALL(IF(ISNUMBER(MATCH(orderHistory[order_type],$D$13,0)*MATCH(YEAR(orderHistory[invoice_date]),$D$15,0)),MATCH(ROW(orderHistory[customer]),ROW(orderHistory[customer])),""),ROWS($A$15:A26)+$B$3)))),IF($D$13="",IF($D$15="",INDEX(orderHistory[shipping_method],SMALL(IF(ISNUMBER(MATCH(orderHistory[status],$D$11,0)),MATCH(ROW(orderHistory[customer]),ROW(orderHistory[customer])),""),ROWS($A$15:A26)+$B$3)),INDEX(orderHistory[shipping_method],SMALL(IF(ISNUMBER(MATCH(orderHistory[status],$D$11,0)*MATCH(YEAR(orderHistory[invoice_date]),$D$15,0)),MATCH(ROW(orderHistory[customer]),ROW(orderHistory[customer])),""),ROWS($A$15:A26)+$B$3))),IF($D$15="",INDEX(orderHistory[shipping_method],SMALL(IF(ISNUMBER(MATCH(orderHistory[status],$D$11,0)*MATCH(orderHistory[order_type],$D$13,0)),MATCH(ROW(orderHistory[customer]),ROW(orderHistory[customer])),""),ROWS($A$15:A26)+$B$3)),INDEX(orderHistory[shipping_method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shipping_method],SMALL(IF(ISNUMBER(MATCH(orderHistory[customer],$D$9,0)),MATCH(ROW(orderHistory[customer]),ROW(orderHistory[customer])),""),ROWS($A$15:A26)+$B$3)),INDEX(orderHistory[shipping_method],SMALL(IF(ISNUMBER(MATCH(orderHistory[customer],$D$9,0)*MATCH(YEAR(orderHistory[invoice_date]),$D$15,0)),MATCH(ROW(orderHistory[customer]),ROW(orderHistory[customer])),""),ROWS($A$15:A26)+$B$3))),IF($D$15="",INDEX(orderHistory[shipping_method],SMALL(IF(ISNUMBER(MATCH(orderHistory[customer],$D$9,0)*MATCH(orderHistory[order_type],$D$13,0)),MATCH(ROW(orderHistory[customer]),ROW(orderHistory[customer])),""),ROWS($A$15:A26)+$B$3)),INDEX(orderHistory[shipping_method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shipping_method],SMALL(IF(ISNUMBER(MATCH(orderHistory[customer],$D$9,0)*MATCH(orderHistory[status],$D$11,0)),MATCH(ROW(orderHistory[customer]),ROW(orderHistory[customer])),""),ROWS($A$15:A26)+$B$3)),INDEX(orderHistory[shipping_method],SMALL(IF(ISNUMBER(MATCH(orderHistory[customer],$D$9,0)*MATCH(orderHistory[status],$D$11,0)*MATCH(YEAR(orderHistory[shipping_method]),$D$15,0)),MATCH(ROW(orderHistory[customer]),ROW(orderHistory[customer])),""),ROWS($A$15:A26)+$B$3))),IF($D$15="",INDEX(orderHistory[shipping_method],SMALL(IF(ISNUMBER(MATCH(orderHistory[customer],$D$9,0)*MATCH(orderHistory[status],$D$11,0)*MATCH(orderHistory[order_type],$D$13,0)),MATCH(ROW(orderHistory[customer]),ROW(orderHistory[customer])),""),ROWS($A$15:A26)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BY ROAD</v>
      </c>
      <c r="V21" s="388" t="str">
        <f t="array" ref="V21">IFERROR(IF($D$9="",IF($D$11="",IF($D$13="",IF($D$15="",INDEX(orderHistory[status],SMALL(MATCH(ROW(orderHistory[customer]),ROW(orderHistory[customer])),ROWS($A$15:A26)+$B$3)),INDEX(orderHistory[status],SMALL(IF(ISNUMBER(MATCH(YEAR(orderHistory[invoice_date]),$D$15,0)),MATCH(ROW(orderHistory[customer]),ROW(orderHistory[customer])),""),ROWS($A$15:A26)+$B$3))),IF($D$15="",INDEX(orderHistory[status],SMALL(IF(ISNUMBER(MATCH(orderHistory[order_type],$D$13,0)),MATCH(ROW(orderHistory[customer]),ROW(orderHistory[customer])),""),ROWS($A$15:A26)+$B$3)),INDEX(orderHistory[status],SMALL(IF(ISNUMBER(MATCH(orderHistory[order_type],$D$13,0)*MATCH(YEAR(orderHistory[invoice_date]),$D$15,0)),MATCH(ROW(orderHistory[customer]),ROW(orderHistory[customer])),""),ROWS($A$15:A26)+$B$3)))),IF($D$13="",IF($D$15="",INDEX(orderHistory[status],SMALL(IF(ISNUMBER(MATCH(orderHistory[status],$D$11,0)),MATCH(ROW(orderHistory[customer]),ROW(orderHistory[customer])),""),ROWS($A$15:A26)+$B$3)),INDEX(orderHistory[status],SMALL(IF(ISNUMBER(MATCH(orderHistory[status],$D$11,0)*MATCH(YEAR(orderHistory[invoice_date]),$D$15,0)),MATCH(ROW(orderHistory[customer]),ROW(orderHistory[customer])),""),ROWS($A$15:A26)+$B$3))),IF($D$15="",INDEX(orderHistory[status],SMALL(IF(ISNUMBER(MATCH(orderHistory[status],$D$11,0)*MATCH(orderHistory[order_type],$D$13,0)),MATCH(ROW(orderHistory[customer]),ROW(orderHistory[customer])),""),ROWS($A$15:A26)+$B$3)),INDEX(orderHistory[status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status],SMALL(IF(ISNUMBER(MATCH(orderHistory[customer],$D$9,0)),MATCH(ROW(orderHistory[customer]),ROW(orderHistory[customer])),""),ROWS($A$15:A26)+$B$3)),INDEX(orderHistory[status],SMALL(IF(ISNUMBER(MATCH(orderHistory[customer],$D$9,0)*MATCH(YEAR(orderHistory[invoice_date]),$D$15,0)),MATCH(ROW(orderHistory[customer]),ROW(orderHistory[customer])),""),ROWS($A$15:A26)+$B$3))),IF($D$15="",INDEX(orderHistory[status],SMALL(IF(ISNUMBER(MATCH(orderHistory[customer],$D$9,0)*MATCH(orderHistory[order_type],$D$13,0)),MATCH(ROW(orderHistory[customer]),ROW(orderHistory[customer])),""),ROWS($A$15:A26)+$B$3)),INDEX(orderHistory[status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status],SMALL(IF(ISNUMBER(MATCH(orderHistory[customer],$D$9,0)*MATCH(orderHistory[status],$D$11,0)),MATCH(ROW(orderHistory[customer]),ROW(orderHistory[customer])),""),ROWS($A$15:A26)+$B$3)),INDEX(orderHistory[status],SMALL(IF(ISNUMBER(MATCH(orderHistory[customer],$D$9,0)*MATCH(orderHistory[status],$D$11,0)*MATCH(YEAR(orderHistory[status]),$D$15,0)),MATCH(ROW(orderHistory[customer]),ROW(orderHistory[customer])),""),ROWS($A$15:A26)+$B$3))),IF($D$15="",INDEX(orderHistory[status],SMALL(IF(ISNUMBER(MATCH(orderHistory[customer],$D$9,0)*MATCH(orderHistory[status],$D$11,0)*MATCH(orderHistory[order_type],$D$13,0)),MATCH(ROW(orderHistory[customer]),ROW(orderHistory[customer])),""),ROWS($A$15:A26)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SHIPPED</v>
      </c>
      <c r="W21" s="547" t="str">
        <f t="array" ref="W21">IFERROR(IF($D$9="",IF($D$11="",IF($D$13="",IF($D$15="",INDEX(orderHistory[custom_docs],SMALL(MATCH(ROW(orderHistory[customer]),ROW(orderHistory[customer])),ROWS($A$15:A26)+$B$3)),INDEX(orderHistory[custom_docs],SMALL(IF(ISNUMBER(MATCH(YEAR(orderHistory[invoice_date]),$D$15,0)),MATCH(ROW(orderHistory[customer]),ROW(orderHistory[customer])),""),ROWS($A$15:A26)+$B$3))),IF($D$15="",INDEX(orderHistory[custom_docs],SMALL(IF(ISNUMBER(MATCH(orderHistory[order_type],$D$13,0)),MATCH(ROW(orderHistory[customer]),ROW(orderHistory[customer])),""),ROWS($A$15:A26)+$B$3)),INDEX(orderHistory[custom_docs],SMALL(IF(ISNUMBER(MATCH(orderHistory[order_type],$D$13,0)*MATCH(YEAR(orderHistory[invoice_date]),$D$15,0)),MATCH(ROW(orderHistory[customer]),ROW(orderHistory[customer])),""),ROWS($A$15:A26)+$B$3)))),IF($D$13="",IF($D$15="",INDEX(orderHistory[custom_docs],SMALL(IF(ISNUMBER(MATCH(orderHistory[status],$D$11,0)),MATCH(ROW(orderHistory[customer]),ROW(orderHistory[customer])),""),ROWS($A$15:A26)+$B$3)),INDEX(orderHistory[custom_docs],SMALL(IF(ISNUMBER(MATCH(orderHistory[status],$D$11,0)*MATCH(YEAR(orderHistory[invoice_date]),$D$15,0)),MATCH(ROW(orderHistory[customer]),ROW(orderHistory[customer])),""),ROWS($A$15:A26)+$B$3))),IF($D$15="",INDEX(orderHistory[custom_docs],SMALL(IF(ISNUMBER(MATCH(orderHistory[status],$D$11,0)*MATCH(orderHistory[order_type],$D$13,0)),MATCH(ROW(orderHistory[customer]),ROW(orderHistory[customer])),""),ROWS($A$15:A26)+$B$3)),INDEX(orderHistory[custom_docs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custom_docs],SMALL(IF(ISNUMBER(MATCH(orderHistory[customer],$D$9,0)),MATCH(ROW(orderHistory[customer]),ROW(orderHistory[customer])),""),ROWS($A$15:A26)+$B$3)),INDEX(orderHistory[custom_docs],SMALL(IF(ISNUMBER(MATCH(orderHistory[customer],$D$9,0)*MATCH(YEAR(orderHistory[invoice_date]),$D$15,0)),MATCH(ROW(orderHistory[customer]),ROW(orderHistory[customer])),""),ROWS($A$15:A26)+$B$3))),IF($D$15="",INDEX(orderHistory[custom_docs],SMALL(IF(ISNUMBER(MATCH(orderHistory[customer],$D$9,0)*MATCH(orderHistory[order_type],$D$13,0)),MATCH(ROW(orderHistory[customer]),ROW(orderHistory[customer])),""),ROWS($A$15:A26)+$B$3)),INDEX(orderHistory[custom_docs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custom_docs],SMALL(IF(ISNUMBER(MATCH(orderHistory[customer],$D$9,0)*MATCH(orderHistory[status],$D$11,0)),MATCH(ROW(orderHistory[customer]),ROW(orderHistory[customer])),""),ROWS($A$15:A26)+$B$3)),INDEX(orderHistory[custom_docs],SMALL(IF(ISNUMBER(MATCH(orderHistory[customer],$D$9,0)*MATCH(orderHistory[status],$D$11,0)*MATCH(YEAR(orderHistory[status]),$D$15,0)),MATCH(ROW(orderHistory[customer]),ROW(orderHistory[customer])),""),ROWS($A$15:A26)+$B$3))),IF($D$15="",INDEX(orderHistory[custom_docs],SMALL(IF(ISNUMBER(MATCH(orderHistory[customer],$D$9,0)*MATCH(orderHistory[status],$D$11,0)*MATCH(orderHistory[order_type],$D$13,0)),MATCH(ROW(orderHistory[customer]),ROW(orderHistory[customer])),""),ROWS($A$15:A26)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OK</v>
      </c>
      <c r="AO21" s="273"/>
      <c r="AQ21" s="308"/>
      <c r="AR21" s="331"/>
      <c r="AS21" s="847"/>
      <c r="AT21" s="846"/>
      <c r="AU21" s="271"/>
      <c r="AW21" s="308"/>
      <c r="AX21" s="273"/>
      <c r="AZ21" s="278"/>
      <c r="BB21" s="278"/>
      <c r="BD21" s="273"/>
      <c r="BJ21" s="271"/>
      <c r="BK21" s="296"/>
      <c r="BL21" s="297"/>
      <c r="BM21" s="298"/>
      <c r="BN21" s="297"/>
      <c r="BO21" s="298"/>
      <c r="BX21" s="364"/>
      <c r="BZ21" s="487"/>
      <c r="CA21" s="413" t="str">
        <f>IFERROR(IF(BZ21="","",INDEX(bhpc_data[description],MATCH(BZ21,bhpc_data[sku],0))),"")</f>
        <v/>
      </c>
      <c r="CB21" s="402"/>
      <c r="CC21" s="887"/>
      <c r="CD21" s="411"/>
      <c r="CE21" s="890"/>
      <c r="CF21" s="404"/>
      <c r="CG21" s="405" t="str">
        <f>IFERROR(ROUNDUP(CB21/INDEX(bhpc_data[units_per_carton],MATCH(BZ21,bhpc_data[sku],0)),0),"")</f>
        <v/>
      </c>
      <c r="CH21" s="406" t="str">
        <f>IFERROR(ROUNDUP(CD21/INDEX(bhpc_data[units_per_carton],MATCH(BZ21,bhpc_data[sku],0)),0),"")</f>
        <v/>
      </c>
      <c r="CI21" s="406" t="str">
        <f>IFERROR(ROUNDUP(CF21/INDEX(bhpc_data[units_per_carton],MATCH(BZ21,bhpc_data[sku])),0),"")</f>
        <v/>
      </c>
      <c r="CJ21" s="406" t="str">
        <f>IFERROR(((CB21+CD21+CF21)/INDEX(bhpc_data[units_per_carton],MATCH(BZ21,bhpc_data[sku],0)))*INDEX(bhpc_data[net_weight],MATCH(BZ21,bhpc_data[sku],0)),"")</f>
        <v/>
      </c>
      <c r="CK21" s="406" t="str">
        <f>IFERROR(((CB21+CD21+CF21)/INDEX(bhpc_data[units_per_carton],MATCH(BZ21,bhpc_data[sku],0)))*INDEX(bhpc_data[gross_weight],MATCH(BZ21,bhpc_data[sku],0)),"")</f>
        <v/>
      </c>
      <c r="CL21" s="602" t="str">
        <f>IFERROR((CB21+CD21+CF21)/INDEX(bhpc_data[units_per_carton],MATCH(BZ21,bhpc_data[sku],0))*INDEX(bhpc_data[length],MATCH(BZ21,bhpc_data[sku],0))*INDEX(bhpc_data[width],MATCH(BZ21,bhpc_data[sku],0))*INDEX(bhpc_data[height],MATCH(BZ21,bhpc_data[sku],0))/1000000000,"")</f>
        <v/>
      </c>
      <c r="CM21" s="407" t="str">
        <f>IFERROR(INDEX(bhpc_data[category],MATCH(BZ21,bhpc_data[sku],0)),"")</f>
        <v/>
      </c>
      <c r="CN21" s="407" t="str">
        <f>IFERROR(INDEX(bhpc_data[size],MATCH(BZ21,bhpc_data[sku],0)),"")</f>
        <v/>
      </c>
      <c r="CO21" s="408" t="str">
        <f>IFERROR(INDEX(bhpc_data[hs_code],MATCH(BZ21,bhpc_data[sku],0)),"")</f>
        <v/>
      </c>
      <c r="CP21" s="489" t="str">
        <f>IFERROR(INDEX(bhpc_data[sku_geko],MATCH(BZ21,bhpc_data[sku],0)),"")</f>
        <v/>
      </c>
      <c r="CQ21" s="404"/>
      <c r="CR21" s="517" t="str">
        <f>IFERROR(IF(BZ21="","",IF($BX$15="SALE",INDEX(inventory[COSTO UNITARIO],MATCH(BZ21,inventory[SKU],0)),IF($BX$15="SAMPLING",INDEX(inventory[COSTO UNITARIO],MATCH(BZ21,inventory[SKU],0)),""))),"")</f>
        <v/>
      </c>
      <c r="CS21" s="517" t="str">
        <f t="shared" si="3"/>
        <v/>
      </c>
      <c r="CT21" s="896" t="str">
        <f t="shared" si="4"/>
        <v/>
      </c>
      <c r="CU21" s="469" t="str">
        <f t="shared" si="0"/>
        <v/>
      </c>
      <c r="CW21" s="80"/>
      <c r="CX21" s="76"/>
      <c r="CY21" s="76"/>
      <c r="CZ21" s="84"/>
      <c r="DA21" s="76"/>
      <c r="DB21" s="77"/>
      <c r="DH21" s="215"/>
      <c r="EE21" s="439" t="str" cm="1">
        <f t="array" ref="EE21">IFERROR(IF($EC$9="",IF($EC$11="",IF($EC$13="",INDEX(bhpc_data[sku],SMALL(MATCH(ROW(bhpc_data[sku]),ROW(bhpc_data[sku])),ROWS($A$15:A26)+$B$3)),INDEX(bhpc_data[sku],SMALL(IF(ISNUMBER(MATCH(bhpc_data[size],$EC$13,0)),MATCH(ROW(bhpc_data[sku]),ROW(bhpc_data[sku])),""),ROWS($A$15:A26)+$B$3))),IF($EC$13="",INDEX(bhpc_data[sku],SMALL(IF(ISNUMBER(MATCH(bhpc_data[sex],$EC$11,0)),MATCH(ROW(bhpc_data[sku]),ROW(bhpc_data[sku])),""),ROWS($A$15:A26)+$B$3)),INDEX(bhpc_data[sku],SMALL(IF(ISNUMBER(MATCH(bhpc_data[sex],$EC$11,0)*MATCH(bhpc_data[size],$EC$13,0)),MATCH(ROW(bhpc_data[sku]),ROW(bhpc_data[sku])),""),ROWS($A$15:A26)+$B$3)))),IF($EC$11="",IF($EC$13="",INDEX(bhpc_data[sku],SMALL(IF(ISNUMBER(MATCH(bhpc_data[category],$EC$9,0)),MATCH(ROW(bhpc_data[sku]),ROW(bhpc_data[sku])),""),ROWS($A$15:A26)+$B$3)),INDEX(bhpc_data[sku],SMALL(IF(ISNUMBER(MATCH(bhpc_data[category],$EC$9,0)*MATCH(bhpc_data[size],$EC$13,0)),MATCH(ROW(bhpc_data[sku]),ROW(bhpc_data[sku])),""),ROWS($A$15:A26)+$B$3))),IF($EC$13="",INDEX(bhpc_data[sku],SMALL(IF(ISNUMBER(MATCH(bhpc_data[category],$EC$9,0)*MATCH(bhpc_data[sex],$EC$11,0)),MATCH(ROW(bhpc_data[sku]),ROW(bhpc_data[sku])),""),ROWS($A$15:A26)+$B$3)),INDEX(bhpc_data[sku],SMALL(IF(ISNUMBER(MATCH(bhpc_data[category],$EC$9,0)*MATCH(bhpc_data[sex],$EC$11,0)*MATCH(bhpc_data[size],$EC$13,0)),MATCH(ROW(bhpc_data[sku]),ROW(bhpc_data[sku])),""),ROWS($A$15:A26)+$B$3))))),"")</f>
        <v>P05029</v>
      </c>
      <c r="EF21" s="440" t="str" cm="1">
        <f t="array" ref="EF21">IFERROR(IF($EC$9="",IF($EC$11="",IF($EC$13="",INDEX(bhpc_data[description],SMALL(MATCH(ROW(bhpc_data[sku]),ROW(bhpc_data[sku])),ROWS($A$15:A26)+$B$3)),INDEX(bhpc_data[description],SMALL(IF(ISNUMBER(MATCH(bhpc_data[size],$EC$13,0)),MATCH(ROW(bhpc_data[sku]),ROW(bhpc_data[sku])),""),ROWS($A$15:A26)+$B$3))),IF($EC$13="",INDEX(bhpc_data[description],SMALL(IF(ISNUMBER(MATCH(bhpc_data[sex],$EC$11,0)),MATCH(ROW(bhpc_data[sku]),ROW(bhpc_data[sku])),""),ROWS($A$15:A26)+$B$3)),INDEX(bhpc_data[description],SMALL(IF(ISNUMBER(MATCH(bhpc_data[sex],$EC$11,0)*MATCH(bhpc_data[size],$EC$13,0)),MATCH(ROW(bhpc_data[sku]),ROW(bhpc_data[sku])),""),ROWS($A$15:A26)+$B$3)))),IF($EC$11="",IF($EC$13="",INDEX(bhpc_data[description],SMALL(IF(ISNUMBER(MATCH(bhpc_data[category],$EC$9,0)),MATCH(ROW(bhpc_data[sku]),ROW(bhpc_data[sku])),""),ROWS($A$15:A26)+$B$3)),INDEX(bhpc_data[description],SMALL(IF(ISNUMBER(MATCH(bhpc_data[category],$EC$9,0)*MATCH(bhpc_data[size],$EC$13,0)),MATCH(ROW(bhpc_data[sku]),ROW(bhpc_data[sku])),""),ROWS($A$15:A26)+$B$3))),IF($EC$13="",INDEX(bhpc_data[description],SMALL(IF(ISNUMBER(MATCH(bhpc_data[category],$EC$9,0)*MATCH(bhpc_data[sex],$EC$11,0)),MATCH(ROW(bhpc_data[sku]),ROW(bhpc_data[sku])),""),ROWS($A$15:A26)+$B$3)),INDEX(bhpc_data[description],SMALL(IF(ISNUMBER(MATCH(bhpc_data[category],$EC$9,0)*MATCH(bhpc_data[sex],$EC$11,0)*MATCH(bhpc_data[size],$EC$13,0)),MATCH(ROW(bhpc_data[sku]),ROW(bhpc_data[sku])),""),ROWS($A$15:A26)+$B$3))))),"")</f>
        <v>BHPC WOMEN 9 EDP 50ML</v>
      </c>
      <c r="EG21" s="441">
        <f>IFERROR(IF('BHPC MANAGER'!$EE21="","",INDEX(inventory[ESISTENZA],MATCH('BHPC MANAGER'!$EE21,inventory[SKU],0))),0)</f>
        <v>0</v>
      </c>
      <c r="EH21" s="442">
        <v>0</v>
      </c>
      <c r="EI21" s="442">
        <f t="shared" si="1"/>
        <v>0</v>
      </c>
      <c r="EJ21" s="443">
        <v>0</v>
      </c>
      <c r="EK21" s="444">
        <f t="shared" si="2"/>
        <v>0</v>
      </c>
      <c r="FF21" s="263"/>
      <c r="FG21" s="263"/>
      <c r="FH21" s="263"/>
      <c r="FI21" s="263"/>
      <c r="FJ21" s="263"/>
      <c r="FK21" s="263"/>
      <c r="FL21" s="263"/>
      <c r="FM21" s="263"/>
      <c r="FN21" s="263"/>
      <c r="FO21" s="263"/>
      <c r="FP21" s="263"/>
      <c r="FQ21" s="263"/>
      <c r="FR21" s="263"/>
      <c r="FS21" s="263"/>
      <c r="FT21" s="263"/>
      <c r="FU21" s="263"/>
      <c r="FV21" s="263"/>
      <c r="FW21" s="263"/>
      <c r="FX21" s="263"/>
      <c r="FY21" s="263"/>
      <c r="FZ21" s="263"/>
      <c r="GA21" s="263"/>
      <c r="GB21" s="263"/>
      <c r="GC21" s="263"/>
      <c r="GD21" s="263"/>
      <c r="GE21" s="263"/>
      <c r="GF21" s="263"/>
      <c r="GG21" s="263"/>
      <c r="GH21" s="263"/>
      <c r="GI21" s="263"/>
      <c r="GJ21" s="263"/>
      <c r="GK21" s="263"/>
      <c r="GL21" s="263"/>
      <c r="GM21" s="263"/>
      <c r="GN21" s="263"/>
      <c r="GO21" s="263"/>
      <c r="GP21" s="263"/>
      <c r="GQ21" s="263"/>
      <c r="GR21" s="263"/>
      <c r="GS21" s="263"/>
      <c r="GT21" s="263"/>
      <c r="GU21" s="263"/>
      <c r="GV21" s="263"/>
      <c r="GW21" s="263"/>
      <c r="GX21" s="263"/>
      <c r="GY21" s="263"/>
      <c r="GZ21" s="263"/>
      <c r="HA21" s="263"/>
      <c r="HB21" s="263"/>
      <c r="HC21" s="263"/>
      <c r="HD21" s="263"/>
      <c r="HE21" s="263"/>
      <c r="HF21" s="263"/>
      <c r="HG21" s="263"/>
      <c r="HH21" s="263"/>
      <c r="HI21" s="263"/>
      <c r="HJ21" s="263"/>
      <c r="HK21" s="263"/>
      <c r="HL21" s="263"/>
      <c r="HM21" s="263"/>
      <c r="HN21" s="263"/>
      <c r="HO21" s="263"/>
      <c r="HP21" s="263"/>
      <c r="HQ21" s="263"/>
      <c r="HR21" s="263"/>
      <c r="HS21" s="263"/>
      <c r="HT21" s="263"/>
    </row>
    <row r="22" spans="1:228" ht="15" customHeight="1" thickBot="1" x14ac:dyDescent="0.4">
      <c r="F22" s="86"/>
      <c r="G22" s="515" t="str">
        <f>IFERROR(INDEX(orderHistory[currency],MATCH($B$4,orderHistory[order_no],0)),"")</f>
        <v>EUR</v>
      </c>
      <c r="H22" s="76"/>
      <c r="I22" s="76"/>
      <c r="J22" s="77"/>
      <c r="L22" s="381" t="str">
        <f t="array" ref="L22">IFERROR(IF($D$9="",IF($D$11="",IF($D$13="",IF($D$15="",INDEX(orderHistory[customer],SMALL(MATCH(ROW(orderHistory[customer]),ROW(orderHistory[customer])),ROWS($A$15:A27)+$B$3)),INDEX(orderHistory[customer],SMALL(IF(ISNUMBER(MATCH(YEAR(orderHistory[invoice_date]),$D$15,0)),MATCH(ROW(orderHistory[customer]),ROW(orderHistory[customer])),""),ROWS($A$15:A27)+$B$3))),IF($D$15="",INDEX(orderHistory[customer],SMALL(IF(ISNUMBER(MATCH(orderHistory[order_type],$D$13,0)),MATCH(ROW(orderHistory[customer]),ROW(orderHistory[customer])),""),ROWS($A$15:A27)+$B$3)),INDEX(orderHistory[customer],SMALL(IF(ISNUMBER(MATCH(orderHistory[order_type],$D$13,0)*MATCH(YEAR(orderHistory[invoice_date]),$D$15,0)),MATCH(ROW(orderHistory[customer]),ROW(orderHistory[customer])),""),ROWS($A$15:A27)+$B$3)))),IF($D$13="",IF($D$15="",INDEX(orderHistory[customer],SMALL(IF(ISNUMBER(MATCH(orderHistory[status],$D$11,0)),MATCH(ROW(orderHistory[customer]),ROW(orderHistory[customer])),""),ROWS($A$15:A27)+$B$3)),INDEX(orderHistory[customer],SMALL(IF(ISNUMBER(MATCH(orderHistory[status],$D$11,0)*MATCH(YEAR(orderHistory[invoice_date]),$D$15,0)),MATCH(ROW(orderHistory[customer]),ROW(orderHistory[customer])),""),ROWS($A$15:A27)+$B$3))),IF($D$15="",INDEX(orderHistory[customer],SMALL(IF(ISNUMBER(MATCH(orderHistory[status],$D$11,0)*MATCH(orderHistory[order_type],$D$13,0)),MATCH(ROW(orderHistory[customer]),ROW(orderHistory[customer])),""),ROWS($A$15:A27)+$B$3)),INDEX(orderHistory[customer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customer],SMALL(IF(ISNUMBER(MATCH(orderHistory[customer],$D$9,0)),MATCH(ROW(orderHistory[customer]),ROW(orderHistory[customer])),""),ROWS($A$15:A27)+$B$3)),INDEX(orderHistory[customer],SMALL(IF(ISNUMBER(MATCH(orderHistory[customer],$D$9,0)*MATCH(YEAR(orderHistory[invoice_date]),$D$15,0)),MATCH(ROW(orderHistory[customer]),ROW(orderHistory[customer])),""),ROWS($A$15:A27)+$B$3))),IF($D$15="",INDEX(orderHistory[customer],SMALL(IF(ISNUMBER(MATCH(orderHistory[customer],$D$9,0)*MATCH(orderHistory[order_type],$D$13,0)),MATCH(ROW(orderHistory[customer]),ROW(orderHistory[customer])),""),ROWS($A$15:A27)+$B$3)),INDEX(orderHistory[customer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customer],SMALL(IF(ISNUMBER(MATCH(orderHistory[customer],$D$9,0)*MATCH(orderHistory[status],$D$11,0)),MATCH(ROW(orderHistory[customer]),ROW(orderHistory[customer])),""),ROWS($A$15:A27)+$B$3)),INDEX(orderHistory[customer],SMALL(IF(ISNUMBER(MATCH(orderHistory[customer],$D$9,0)*MATCH(orderHistory[status],$D$11,0)*MATCH(YEAR(orderHistory[invoice_date]),$D$15,0)),MATCH(ROW(orderHistory[customer]),ROW(orderHistory[customer])),""),ROWS($A$15:A27)+$B$3))),IF($D$15="",INDEX(orderHistory[customer],SMALL(IF(ISNUMBER(MATCH(orderHistory[customer],$D$9,0)*MATCH(orderHistory[status],$D$11,0)*MATCH(orderHistory[order_type],$D$13,0)),MATCH(ROW(orderHistory[customer]),ROW(orderHistory[customer])),""),ROWS($A$15:A27)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LUXUM BEAUTY - HAMBURG</v>
      </c>
      <c r="M22" s="382">
        <f t="array" ref="M22">IFERROR(IF($D$9="",IF($D$11="",IF($D$13="",IF($D$15="",INDEX(orderHistory[order_no],SMALL(MATCH(ROW(orderHistory[customer]),ROW(orderHistory[customer])),ROWS($A$15:A27)+$B$3)),INDEX(orderHistory[order_no],SMALL(IF(ISNUMBER(MATCH(YEAR(orderHistory[invoice_date]),$D$15,0)),MATCH(ROW(orderHistory[customer]),ROW(orderHistory[customer])),""),ROWS($A$15:A27)+$B$3))),IF($D$15="",INDEX(orderHistory[order_no],SMALL(IF(ISNUMBER(MATCH(orderHistory[order_type],$D$13,0)),MATCH(ROW(orderHistory[customer]),ROW(orderHistory[customer])),""),ROWS($A$15:A27)+$B$3)),INDEX(orderHistory[order_no],SMALL(IF(ISNUMBER(MATCH(orderHistory[order_type],$D$13,0)*MATCH(YEAR(orderHistory[invoice_date]),$D$15,0)),MATCH(ROW(orderHistory[customer]),ROW(orderHistory[customer])),""),ROWS($A$15:A27)+$B$3)))),IF($D$13="",IF($D$15="",INDEX(orderHistory[order_no],SMALL(IF(ISNUMBER(MATCH(orderHistory[status],$D$11,0)),MATCH(ROW(orderHistory[customer]),ROW(orderHistory[customer])),""),ROWS($A$15:A27)+$B$3)),INDEX(orderHistory[order_no],SMALL(IF(ISNUMBER(MATCH(orderHistory[status],$D$11,0)*MATCH(YEAR(orderHistory[invoice_date]),$D$15,0)),MATCH(ROW(orderHistory[customer]),ROW(orderHistory[customer])),""),ROWS($A$15:A27)+$B$3))),IF($D$15="",INDEX(orderHistory[order_no],SMALL(IF(ISNUMBER(MATCH(orderHistory[status],$D$11,0)*MATCH(orderHistory[order_type],$D$13,0)),MATCH(ROW(orderHistory[customer]),ROW(orderHistory[customer])),""),ROWS($A$15:A27)+$B$3)),INDEX(orderHistory[order_no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order_no],SMALL(IF(ISNUMBER(MATCH(orderHistory[customer],$D$9,0)),MATCH(ROW(orderHistory[customer]),ROW(orderHistory[customer])),""),ROWS($A$15:A27)+$B$3)),INDEX(orderHistory[order_no],SMALL(IF(ISNUMBER(MATCH(orderHistory[customer],$D$9,0)*MATCH(YEAR(orderHistory[invoice_date]),$D$15,0)),MATCH(ROW(orderHistory[customer]),ROW(orderHistory[customer])),""),ROWS($A$15:A27)+$B$3))),IF($D$15="",INDEX(orderHistory[order_no],SMALL(IF(ISNUMBER(MATCH(orderHistory[customer],$D$9,0)*MATCH(orderHistory[order_type],$D$13,0)),MATCH(ROW(orderHistory[customer]),ROW(orderHistory[customer])),""),ROWS($A$15:A27)+$B$3)),INDEX(orderHistory[order_no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order_no],SMALL(IF(ISNUMBER(MATCH(orderHistory[customer],$D$9,0)*MATCH(orderHistory[status],$D$11,0)),MATCH(ROW(orderHistory[customer]),ROW(orderHistory[customer])),""),ROWS($A$15:A27)+$B$3)),INDEX(orderHistory[order_no],SMALL(IF(ISNUMBER(MATCH(orderHistory[customer],$D$9,0)*MATCH(orderHistory[status],$D$11,0)*MATCH(YEAR(orderHistory[invoice_date]),$D$15,0)),MATCH(ROW(orderHistory[customer]),ROW(orderHistory[customer])),""),ROWS($A$15:A27)+$B$3))),IF($D$15="",INDEX(orderHistory[order_no],SMALL(IF(ISNUMBER(MATCH(orderHistory[customer],$D$9,0)*MATCH(orderHistory[status],$D$11,0)*MATCH(orderHistory[order_type],$D$13,0)),MATCH(ROW(orderHistory[customer]),ROW(orderHistory[customer])),""),ROWS($A$15:A27)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84</v>
      </c>
      <c r="N22" s="383" t="str">
        <f t="array" ref="N22">IFERROR(IF($D$9="",IF($D$11="",IF($D$13="",IF($D$15="",INDEX(orderHistory[order_type],SMALL(MATCH(ROW(orderHistory[customer]),ROW(orderHistory[customer])),ROWS($A$15:A27)+$B$3)),INDEX(orderHistory[order_type],SMALL(IF(ISNUMBER(MATCH(YEAR(orderHistory[invoice_date]),$D$15,0)),MATCH(ROW(orderHistory[customer]),ROW(orderHistory[customer])),""),ROWS($A$15:A27)+$B$3))),IF($D$15="",INDEX(orderHistory[order_type],SMALL(IF(ISNUMBER(MATCH(orderHistory[order_type],$D$13,0)),MATCH(ROW(orderHistory[customer]),ROW(orderHistory[customer])),""),ROWS($A$15:A27)+$B$3)),INDEX(orderHistory[order_type],SMALL(IF(ISNUMBER(MATCH(orderHistory[order_type],$D$13,0)*MATCH(YEAR(orderHistory[invoice_date]),$D$15,0)),MATCH(ROW(orderHistory[customer]),ROW(orderHistory[customer])),""),ROWS($A$15:A27)+$B$3)))),IF($D$13="",IF($D$15="",INDEX(orderHistory[order_type],SMALL(IF(ISNUMBER(MATCH(orderHistory[status],$D$11,0)),MATCH(ROW(orderHistory[customer]),ROW(orderHistory[customer])),""),ROWS($A$15:A27)+$B$3)),INDEX(orderHistory[order_type],SMALL(IF(ISNUMBER(MATCH(orderHistory[status],$D$11,0)*MATCH(YEAR(orderHistory[invoice_date]),$D$15,0)),MATCH(ROW(orderHistory[customer]),ROW(orderHistory[customer])),""),ROWS($A$15:A27)+$B$3))),IF($D$15="",INDEX(orderHistory[order_type],SMALL(IF(ISNUMBER(MATCH(orderHistory[status],$D$11,0)*MATCH(orderHistory[order_type],$D$13,0)),MATCH(ROW(orderHistory[customer]),ROW(orderHistory[customer])),""),ROWS($A$15:A27)+$B$3)),INDEX(orderHistory[order_type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order_type],SMALL(IF(ISNUMBER(MATCH(orderHistory[customer],$D$9,0)),MATCH(ROW(orderHistory[customer]),ROW(orderHistory[customer])),""),ROWS($A$15:A27)+$B$3)),INDEX(orderHistory[order_type],SMALL(IF(ISNUMBER(MATCH(orderHistory[customer],$D$9,0)*MATCH(YEAR(orderHistory[invoice_date]),$D$15,0)),MATCH(ROW(orderHistory[customer]),ROW(orderHistory[customer])),""),ROWS($A$15:A27)+$B$3))),IF($D$15="",INDEX(orderHistory[order_type],SMALL(IF(ISNUMBER(MATCH(orderHistory[customer],$D$9,0)*MATCH(orderHistory[order_type],$D$13,0)),MATCH(ROW(orderHistory[customer]),ROW(orderHistory[customer])),""),ROWS($A$15:A27)+$B$3)),INDEX(orderHistory[order_type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order_type],SMALL(IF(ISNUMBER(MATCH(orderHistory[customer],$D$9,0)*MATCH(orderHistory[status],$D$11,0)),MATCH(ROW(orderHistory[customer]),ROW(orderHistory[customer])),""),ROWS($A$15:A27)+$B$3)),INDEX(orderHistory[order_type],SMALL(IF(ISNUMBER(MATCH(orderHistory[customer],$D$9,0)*MATCH(orderHistory[status],$D$11,0)*MATCH(YEAR(orderHistory[invoice_date]),$D$15,0)),MATCH(ROW(orderHistory[customer]),ROW(orderHistory[customer])),""),ROWS($A$15:A27)+$B$3))),IF($D$15="",INDEX(orderHistory[order_type],SMALL(IF(ISNUMBER(MATCH(orderHistory[customer],$D$9,0)*MATCH(orderHistory[status],$D$11,0)*MATCH(orderHistory[order_type],$D$13,0)),MATCH(ROW(orderHistory[customer]),ROW(orderHistory[customer])),""),ROWS($A$15:A27)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SALE</v>
      </c>
      <c r="O22" s="384">
        <f t="array" ref="O22">IFERROR(IF($D$9="",IF($D$11="",IF($D$13="",IF($D$15="",INDEX(orderHistory[order_date],SMALL(MATCH(ROW(orderHistory[customer]),ROW(orderHistory[customer])),ROWS($A$15:A27)+$B$3)),INDEX(orderHistory[order_date],SMALL(IF(ISNUMBER(MATCH(YEAR(orderHistory[invoice_date]),$D$15,0)),MATCH(ROW(orderHistory[customer]),ROW(orderHistory[customer])),""),ROWS($A$15:A27)+$B$3))),IF($D$15="",INDEX(orderHistory[order_date],SMALL(IF(ISNUMBER(MATCH(orderHistory[order_type],$D$13,0)),MATCH(ROW(orderHistory[customer]),ROW(orderHistory[customer])),""),ROWS($A$15:A27)+$B$3)),INDEX(orderHistory[order_date],SMALL(IF(ISNUMBER(MATCH(orderHistory[order_type],$D$13,0)*MATCH(YEAR(orderHistory[invoice_date]),$D$15,0)),MATCH(ROW(orderHistory[customer]),ROW(orderHistory[customer])),""),ROWS($A$15:A27)+$B$3)))),IF($D$13="",IF($D$15="",INDEX(orderHistory[order_date],SMALL(IF(ISNUMBER(MATCH(orderHistory[status],$D$11,0)),MATCH(ROW(orderHistory[customer]),ROW(orderHistory[customer])),""),ROWS($A$15:A27)+$B$3)),INDEX(orderHistory[order_date],SMALL(IF(ISNUMBER(MATCH(orderHistory[status],$D$11,0)*MATCH(YEAR(orderHistory[invoice_date]),$D$15,0)),MATCH(ROW(orderHistory[customer]),ROW(orderHistory[customer])),""),ROWS($A$15:A27)+$B$3))),IF($D$15="",INDEX(orderHistory[order_date],SMALL(IF(ISNUMBER(MATCH(orderHistory[status],$D$11,0)*MATCH(orderHistory[order_type],$D$13,0)),MATCH(ROW(orderHistory[customer]),ROW(orderHistory[customer])),""),ROWS($A$15:A27)+$B$3)),INDEX(orderHistory[order_date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order_date],SMALL(IF(ISNUMBER(MATCH(orderHistory[customer],$D$9,0)),MATCH(ROW(orderHistory[customer]),ROW(orderHistory[customer])),""),ROWS($A$15:A27)+$B$3)),INDEX(orderHistory[order_date],SMALL(IF(ISNUMBER(MATCH(orderHistory[customer],$D$9,0)*MATCH(YEAR(orderHistory[invoice_date]),$D$15,0)),MATCH(ROW(orderHistory[customer]),ROW(orderHistory[customer])),""),ROWS($A$15:A27)+$B$3))),IF($D$15="",INDEX(orderHistory[order_date],SMALL(IF(ISNUMBER(MATCH(orderHistory[customer],$D$9,0)*MATCH(orderHistory[order_type],$D$13,0)),MATCH(ROW(orderHistory[customer]),ROW(orderHistory[customer])),""),ROWS($A$15:A27)+$B$3)),INDEX(orderHistory[order_date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order_date],SMALL(IF(ISNUMBER(MATCH(orderHistory[customer],$D$9,0)*MATCH(orderHistory[status],$D$11,0)),MATCH(ROW(orderHistory[customer]),ROW(orderHistory[customer])),""),ROWS($A$15:A27)+$B$3)),INDEX(orderHistory[order_date],SMALL(IF(ISNUMBER(MATCH(orderHistory[customer],$D$9,0)*MATCH(orderHistory[status],$D$11,0)*MATCH(YEAR(orderHistory[invoice_date]),$D$15,0)),MATCH(ROW(orderHistory[customer]),ROW(orderHistory[customer])),""),ROWS($A$15:A27)+$B$3))),IF($D$15="",INDEX(orderHistory[order_date],SMALL(IF(ISNUMBER(MATCH(orderHistory[customer],$D$9,0)*MATCH(orderHistory[status],$D$11,0)*MATCH(orderHistory[order_type],$D$13,0)),MATCH(ROW(orderHistory[customer]),ROW(orderHistory[customer])),""),ROWS($A$15:A27)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45510</v>
      </c>
      <c r="P22" s="385" t="str">
        <f t="array" ref="P22">IFERROR(IF($D$9="",IF($D$11="",IF($D$13="",IF($D$15="",INDEX(orderHistory[invoice_no],SMALL(MATCH(ROW(orderHistory[customer]),ROW(orderHistory[customer])),ROWS($A$15:A27)+$B$3)),INDEX(orderHistory[invoice_no],SMALL(IF(ISNUMBER(MATCH(YEAR(orderHistory[invoice_date]),$D$15,0)),MATCH(ROW(orderHistory[customer]),ROW(orderHistory[customer])),""),ROWS($A$15:A27)+$B$3))),IF($D$15="",INDEX(orderHistory[invoice_no],SMALL(IF(ISNUMBER(MATCH(orderHistory[order_type],$D$13,0)),MATCH(ROW(orderHistory[customer]),ROW(orderHistory[customer])),""),ROWS($A$15:A27)+$B$3)),INDEX(orderHistory[invoice_no],SMALL(IF(ISNUMBER(MATCH(orderHistory[order_type],$D$13,0)*MATCH(YEAR(orderHistory[invoice_date]),$D$15,0)),MATCH(ROW(orderHistory[customer]),ROW(orderHistory[customer])),""),ROWS($A$15:A27)+$B$3)))),IF($D$13="",IF($D$15="",INDEX(orderHistory[invoice_no],SMALL(IF(ISNUMBER(MATCH(orderHistory[status],$D$11,0)),MATCH(ROW(orderHistory[customer]),ROW(orderHistory[customer])),""),ROWS($A$15:A27)+$B$3)),INDEX(orderHistory[invoice_no],SMALL(IF(ISNUMBER(MATCH(orderHistory[status],$D$11,0)*MATCH(YEAR(orderHistory[invoice_date]),$D$15,0)),MATCH(ROW(orderHistory[customer]),ROW(orderHistory[customer])),""),ROWS($A$15:A27)+$B$3))),IF($D$15="",INDEX(orderHistory[invoice_no],SMALL(IF(ISNUMBER(MATCH(orderHistory[status],$D$11,0)*MATCH(orderHistory[order_type],$D$13,0)),MATCH(ROW(orderHistory[customer]),ROW(orderHistory[customer])),""),ROWS($A$15:A27)+$B$3)),INDEX(orderHistory[invoice_no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invoice_no],SMALL(IF(ISNUMBER(MATCH(orderHistory[customer],$D$9,0)),MATCH(ROW(orderHistory[customer]),ROW(orderHistory[customer])),""),ROWS($A$15:A27)+$B$3)),INDEX(orderHistory[invoice_no],SMALL(IF(ISNUMBER(MATCH(orderHistory[customer],$D$9,0)*MATCH(YEAR(orderHistory[invoice_date]),$D$15,0)),MATCH(ROW(orderHistory[customer]),ROW(orderHistory[customer])),""),ROWS($A$15:A27)+$B$3))),IF($D$15="",INDEX(orderHistory[invoice_no],SMALL(IF(ISNUMBER(MATCH(orderHistory[customer],$D$9,0)*MATCH(orderHistory[order_type],$D$13,0)),MATCH(ROW(orderHistory[customer]),ROW(orderHistory[customer])),""),ROWS($A$15:A27)+$B$3)),INDEX(orderHistory[invoice_no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invoice_no],SMALL(IF(ISNUMBER(MATCH(orderHistory[customer],$D$9,0)*MATCH(orderHistory[status],$D$11,0)),MATCH(ROW(orderHistory[customer]),ROW(orderHistory[customer])),""),ROWS($A$15:A27)+$B$3)),INDEX(orderHistory[invoice_no],SMALL(IF(ISNUMBER(MATCH(orderHistory[customer],$D$9,0)*MATCH(orderHistory[status],$D$11,0)*MATCH(YEAR(orderHistory[invoice_date]),$D$15,0)),MATCH(ROW(orderHistory[customer]),ROW(orderHistory[customer])),""),ROWS($A$15:A27)+$B$3))),IF($D$15="",INDEX(orderHistory[invoice_no],SMALL(IF(ISNUMBER(MATCH(orderHistory[customer],$D$9,0)*MATCH(orderHistory[status],$D$11,0)*MATCH(orderHistory[order_type],$D$13,0)),MATCH(ROW(orderHistory[customer]),ROW(orderHistory[customer])),""),ROWS($A$15:A27)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285</v>
      </c>
      <c r="Q22" s="386">
        <f t="array" ref="Q22">IFERROR(IF($D$9="",IF($D$11="",IF($D$13="",IF($D$15="",INDEX(orderHistory[invoice_date],SMALL(MATCH(ROW(orderHistory[customer]),ROW(orderHistory[customer])),ROWS($A$15:A27)+$B$3)),INDEX(orderHistory[invoice_date],SMALL(IF(ISNUMBER(MATCH(YEAR(orderHistory[invoice_date]),$D$15,0)),MATCH(ROW(orderHistory[customer]),ROW(orderHistory[customer])),""),ROWS($A$15:A27)+$B$3))),IF($D$15="",INDEX(orderHistory[invoice_date],SMALL(IF(ISNUMBER(MATCH(orderHistory[order_type],$D$13,0)),MATCH(ROW(orderHistory[customer]),ROW(orderHistory[customer])),""),ROWS($A$15:A27)+$B$3)),INDEX(orderHistory[invoice_date],SMALL(IF(ISNUMBER(MATCH(orderHistory[order_type],$D$13,0)*MATCH(YEAR(orderHistory[invoice_date]),$D$15,0)),MATCH(ROW(orderHistory[customer]),ROW(orderHistory[customer])),""),ROWS($A$15:A27)+$B$3)))),IF($D$13="",IF($D$15="",INDEX(orderHistory[invoice_date],SMALL(IF(ISNUMBER(MATCH(orderHistory[status],$D$11,0)),MATCH(ROW(orderHistory[customer]),ROW(orderHistory[customer])),""),ROWS($A$15:A27)+$B$3)),INDEX(orderHistory[invoice_date],SMALL(IF(ISNUMBER(MATCH(orderHistory[status],$D$11,0)*MATCH(YEAR(orderHistory[invoice_date]),$D$15,0)),MATCH(ROW(orderHistory[customer]),ROW(orderHistory[customer])),""),ROWS($A$15:A27)+$B$3))),IF($D$15="",INDEX(orderHistory[invoice_date],SMALL(IF(ISNUMBER(MATCH(orderHistory[status],$D$11,0)*MATCH(orderHistory[order_type],$D$13,0)),MATCH(ROW(orderHistory[customer]),ROW(orderHistory[customer])),""),ROWS($A$15:A27)+$B$3)),INDEX(orderHistory[invoice_date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invoice_date],SMALL(IF(ISNUMBER(MATCH(orderHistory[customer],$D$9,0)),MATCH(ROW(orderHistory[customer]),ROW(orderHistory[customer])),""),ROWS($A$15:A27)+$B$3)),INDEX(orderHistory[invoice_date],SMALL(IF(ISNUMBER(MATCH(orderHistory[customer],$D$9,0)*MATCH(YEAR(orderHistory[invoice_date]),$D$15,0)),MATCH(ROW(orderHistory[customer]),ROW(orderHistory[customer])),""),ROWS($A$15:A27)+$B$3))),IF($D$15="",INDEX(orderHistory[invoice_date],SMALL(IF(ISNUMBER(MATCH(orderHistory[customer],$D$9,0)*MATCH(orderHistory[order_type],$D$13,0)),MATCH(ROW(orderHistory[customer]),ROW(orderHistory[customer])),""),ROWS($A$15:A27)+$B$3)),INDEX(orderHistory[invoice_date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invoice_date],SMALL(IF(ISNUMBER(MATCH(orderHistory[customer],$D$9,0)*MATCH(orderHistory[status],$D$11,0)),MATCH(ROW(orderHistory[customer]),ROW(orderHistory[customer])),""),ROWS($A$15:A27)+$B$3)),INDEX(orderHistory[invoice_date],SMALL(IF(ISNUMBER(MATCH(orderHistory[customer],$D$9,0)*MATCH(orderHistory[status],$D$11,0)*MATCH(YEAR(orderHistory[invoice_date]),$D$15,0)),MATCH(ROW(orderHistory[customer]),ROW(orderHistory[customer])),""),ROWS($A$15:A27)+$B$3))),IF($D$15="",INDEX(orderHistory[invoice_date],SMALL(IF(ISNUMBER(MATCH(orderHistory[customer],$D$9,0)*MATCH(orderHistory[status],$D$11,0)*MATCH(orderHistory[order_type],$D$13,0)),MATCH(ROW(orderHistory[customer]),ROW(orderHistory[customer])),""),ROWS($A$15:A27)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45516</v>
      </c>
      <c r="R22" s="387">
        <f t="array" ref="R22">IFERROR(IF($D$9="",IF($D$11="",IF($D$13="",IF($D$15="",INDEX(orderHistory[inv_amount],SMALL(MATCH(ROW(orderHistory[customer]),ROW(orderHistory[customer])),ROWS($A$15:A27)+$B$3)),INDEX(orderHistory[inv_amount],SMALL(IF(ISNUMBER(MATCH(YEAR(orderHistory[invoice_date]),$D$15,0)),MATCH(ROW(orderHistory[customer]),ROW(orderHistory[customer])),""),ROWS($A$15:A27)+$B$3))),IF($D$15="",INDEX(orderHistory[inv_amount],SMALL(IF(ISNUMBER(MATCH(orderHistory[order_type],$D$13,0)),MATCH(ROW(orderHistory[customer]),ROW(orderHistory[customer])),""),ROWS($A$15:A27)+$B$3)),INDEX(orderHistory[inv_amount],SMALL(IF(ISNUMBER(MATCH(orderHistory[order_type],$D$13,0)*MATCH(YEAR(orderHistory[invoice_date]),$D$15,0)),MATCH(ROW(orderHistory[customer]),ROW(orderHistory[customer])),""),ROWS($A$15:A27)+$B$3)))),IF($D$13="",IF($D$15="",INDEX(orderHistory[inv_amount],SMALL(IF(ISNUMBER(MATCH(orderHistory[status],$D$11,0)),MATCH(ROW(orderHistory[customer]),ROW(orderHistory[customer])),""),ROWS($A$15:A27)+$B$3)),INDEX(orderHistory[inv_amount],SMALL(IF(ISNUMBER(MATCH(orderHistory[status],$D$11,0)*MATCH(YEAR(orderHistory[invoice_date]),$D$15,0)),MATCH(ROW(orderHistory[customer]),ROW(orderHistory[customer])),""),ROWS($A$15:A27)+$B$3))),IF($D$15="",INDEX(orderHistory[inv_amount],SMALL(IF(ISNUMBER(MATCH(orderHistory[status],$D$11,0)*MATCH(orderHistory[order_type],$D$13,0)),MATCH(ROW(orderHistory[customer]),ROW(orderHistory[customer])),""),ROWS($A$15:A27)+$B$3)),INDEX(orderHistory[inv_amount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inv_amount],SMALL(IF(ISNUMBER(MATCH(orderHistory[customer],$D$9,0)),MATCH(ROW(orderHistory[customer]),ROW(orderHistory[customer])),""),ROWS($A$15:A27)+$B$3)),INDEX(orderHistory[inv_amount],SMALL(IF(ISNUMBER(MATCH(orderHistory[customer],$D$9,0)*MATCH(YEAR(orderHistory[invoice_date]),$D$15,0)),MATCH(ROW(orderHistory[customer]),ROW(orderHistory[customer])),""),ROWS($A$15:A27)+$B$3))),IF($D$15="",INDEX(orderHistory[inv_amount],SMALL(IF(ISNUMBER(MATCH(orderHistory[customer],$D$9,0)*MATCH(orderHistory[order_type],$D$13,0)),MATCH(ROW(orderHistory[customer]),ROW(orderHistory[customer])),""),ROWS($A$15:A27)+$B$3)),INDEX(orderHistory[inv_amount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inv_amount],SMALL(IF(ISNUMBER(MATCH(orderHistory[customer],$D$9,0)*MATCH(orderHistory[status],$D$11,0)),MATCH(ROW(orderHistory[customer]),ROW(orderHistory[customer])),""),ROWS($A$15:A27)+$B$3)),INDEX(orderHistory[inv_amount],SMALL(IF(ISNUMBER(MATCH(orderHistory[customer],$D$9,0)*MATCH(orderHistory[status],$D$11,0)*MATCH(YEAR(orderHistory[inv_amount]),$D$15,0)),MATCH(ROW(orderHistory[customer]),ROW(orderHistory[customer])),""),ROWS($A$15:A27)+$B$3))),IF($D$15="",INDEX(orderHistory[inv_amount],SMALL(IF(ISNUMBER(MATCH(orderHistory[customer],$D$9,0)*MATCH(orderHistory[status],$D$11,0)*MATCH(orderHistory[order_type],$D$13,0)),MATCH(ROW(orderHistory[customer]),ROW(orderHistory[customer])),""),ROWS($A$15:A27)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7500</v>
      </c>
      <c r="S22" s="465" t="str">
        <f t="array" ref="S22">IFERROR(IF($D$9="",IF($D$11="",IF($D$13="",IF($D$15="",INDEX(orderHistory[lock_goods],SMALL(MATCH(ROW(orderHistory[customer]),ROW(orderHistory[customer])),ROWS($A$15:A27)+$B$3)),INDEX(orderHistory[lock_goods],SMALL(IF(ISNUMBER(MATCH(YEAR(orderHistory[invoice_date]),$D$15,0)),MATCH(ROW(orderHistory[customer]),ROW(orderHistory[customer])),""),ROWS($A$15:A27)+$B$3))),IF($D$15="",INDEX(orderHistory[lock_goods],SMALL(IF(ISNUMBER(MATCH(orderHistory[order_type],$D$13,0)),MATCH(ROW(orderHistory[customer]),ROW(orderHistory[customer])),""),ROWS($A$15:A27)+$B$3)),INDEX(orderHistory[lock_goods],SMALL(IF(ISNUMBER(MATCH(orderHistory[order_type],$D$13,0)*MATCH(YEAR(orderHistory[invoice_date]),$D$15,0)),MATCH(ROW(orderHistory[customer]),ROW(orderHistory[customer])),""),ROWS($A$15:A27)+$B$3)))),IF($D$13="",IF($D$15="",INDEX(orderHistory[lock_goods],SMALL(IF(ISNUMBER(MATCH(orderHistory[status],$D$11,0)),MATCH(ROW(orderHistory[customer]),ROW(orderHistory[customer])),""),ROWS($A$15:A27)+$B$3)),INDEX(orderHistory[lock_goods],SMALL(IF(ISNUMBER(MATCH(orderHistory[status],$D$11,0)*MATCH(YEAR(orderHistory[invoice_date]),$D$15,0)),MATCH(ROW(orderHistory[customer]),ROW(orderHistory[customer])),""),ROWS($A$15:A27)+$B$3))),IF($D$15="",INDEX(orderHistory[lock_goods],SMALL(IF(ISNUMBER(MATCH(orderHistory[status],$D$11,0)*MATCH(orderHistory[order_type],$D$13,0)),MATCH(ROW(orderHistory[customer]),ROW(orderHistory[customer])),""),ROWS($A$15:A27)+$B$3)),INDEX(orderHistory[lock_goods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lock_goods],SMALL(IF(ISNUMBER(MATCH(orderHistory[customer],$D$9,0)),MATCH(ROW(orderHistory[customer]),ROW(orderHistory[customer])),""),ROWS($A$15:A27)+$B$3)),INDEX(orderHistory[lock_goods],SMALL(IF(ISNUMBER(MATCH(orderHistory[customer],$D$9,0)*MATCH(YEAR(orderHistory[invoice_date]),$D$15,0)),MATCH(ROW(orderHistory[customer]),ROW(orderHistory[customer])),""),ROWS($A$15:A27)+$B$3))),IF($D$15="",INDEX(orderHistory[lock_goods],SMALL(IF(ISNUMBER(MATCH(orderHistory[customer],$D$9,0)*MATCH(orderHistory[order_type],$D$13,0)),MATCH(ROW(orderHistory[customer]),ROW(orderHistory[customer])),""),ROWS($A$15:A27)+$B$3)),INDEX(orderHistory[lock_goods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lock_goods],SMALL(IF(ISNUMBER(MATCH(orderHistory[customer],$D$9,0)*MATCH(orderHistory[status],$D$11,0)),MATCH(ROW(orderHistory[customer]),ROW(orderHistory[customer])),""),ROWS($A$15:A27)+$B$3)),INDEX(orderHistory[lock_goods],SMALL(IF(ISNUMBER(MATCH(orderHistory[customer],$D$9,0)*MATCH(orderHistory[status],$D$11,0)*MATCH(YEAR(orderHistory[payed]),$D$15,0)),MATCH(ROW(orderHistory[customer]),ROW(orderHistory[customer])),""),ROWS($A$15:A27)+$B$3))),IF($D$15="",INDEX(orderHistory[lock_goods],SMALL(IF(ISNUMBER(MATCH(orderHistory[customer],$D$9,0)*MATCH(orderHistory[status],$D$11,0)*MATCH(orderHistory[order_type],$D$13,0)),MATCH(ROW(orderHistory[customer]),ROW(orderHistory[customer])),""),ROWS($A$15:A27)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GOODS SENT</v>
      </c>
      <c r="T22" s="388" t="b">
        <f t="array" ref="T22">IFERROR(IF($D$9="",IF($D$11="",IF($D$13="",IF($D$15="",INDEX(orderHistory[payed],SMALL(MATCH(ROW(orderHistory[customer]),ROW(orderHistory[customer])),ROWS($A$15:A27)+$B$3)),INDEX(orderHistory[payed],SMALL(IF(ISNUMBER(MATCH(YEAR(orderHistory[invoice_date]),$D$15,0)),MATCH(ROW(orderHistory[customer]),ROW(orderHistory[customer])),""),ROWS($A$15:A27)+$B$3))),IF($D$15="",INDEX(orderHistory[payed],SMALL(IF(ISNUMBER(MATCH(orderHistory[order_type],$D$13,0)),MATCH(ROW(orderHistory[customer]),ROW(orderHistory[customer])),""),ROWS($A$15:A27)+$B$3)),INDEX(orderHistory[payed],SMALL(IF(ISNUMBER(MATCH(orderHistory[order_type],$D$13,0)*MATCH(YEAR(orderHistory[invoice_date]),$D$15,0)),MATCH(ROW(orderHistory[customer]),ROW(orderHistory[customer])),""),ROWS($A$15:A27)+$B$3)))),IF($D$13="",IF($D$15="",INDEX(orderHistory[payed],SMALL(IF(ISNUMBER(MATCH(orderHistory[status],$D$11,0)),MATCH(ROW(orderHistory[customer]),ROW(orderHistory[customer])),""),ROWS($A$15:A27)+$B$3)),INDEX(orderHistory[payed],SMALL(IF(ISNUMBER(MATCH(orderHistory[status],$D$11,0)*MATCH(YEAR(orderHistory[invoice_date]),$D$15,0)),MATCH(ROW(orderHistory[customer]),ROW(orderHistory[customer])),""),ROWS($A$15:A27)+$B$3))),IF($D$15="",INDEX(orderHistory[payed],SMALL(IF(ISNUMBER(MATCH(orderHistory[status],$D$11,0)*MATCH(orderHistory[order_type],$D$13,0)),MATCH(ROW(orderHistory[customer]),ROW(orderHistory[customer])),""),ROWS($A$15:A27)+$B$3)),INDEX(orderHistory[payed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payed],SMALL(IF(ISNUMBER(MATCH(orderHistory[customer],$D$9,0)),MATCH(ROW(orderHistory[customer]),ROW(orderHistory[customer])),""),ROWS($A$15:A27)+$B$3)),INDEX(orderHistory[payed],SMALL(IF(ISNUMBER(MATCH(orderHistory[customer],$D$9,0)*MATCH(YEAR(orderHistory[invoice_date]),$D$15,0)),MATCH(ROW(orderHistory[customer]),ROW(orderHistory[customer])),""),ROWS($A$15:A27)+$B$3))),IF($D$15="",INDEX(orderHistory[payed],SMALL(IF(ISNUMBER(MATCH(orderHistory[customer],$D$9,0)*MATCH(orderHistory[order_type],$D$13,0)),MATCH(ROW(orderHistory[customer]),ROW(orderHistory[customer])),""),ROWS($A$15:A27)+$B$3)),INDEX(orderHistory[payed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payed],SMALL(IF(ISNUMBER(MATCH(orderHistory[customer],$D$9,0)*MATCH(orderHistory[status],$D$11,0)),MATCH(ROW(orderHistory[customer]),ROW(orderHistory[customer])),""),ROWS($A$15:A27)+$B$3)),INDEX(orderHistory[payed],SMALL(IF(ISNUMBER(MATCH(orderHistory[customer],$D$9,0)*MATCH(orderHistory[status],$D$11,0)*MATCH(YEAR(orderHistory[payed]),$D$15,0)),MATCH(ROW(orderHistory[customer]),ROW(orderHistory[customer])),""),ROWS($A$15:A27)+$B$3))),IF($D$15="",INDEX(orderHistory[payed],SMALL(IF(ISNUMBER(MATCH(orderHistory[customer],$D$9,0)*MATCH(orderHistory[status],$D$11,0)*MATCH(orderHistory[order_type],$D$13,0)),MATCH(ROW(orderHistory[customer]),ROW(orderHistory[customer])),""),ROWS($A$15:A27)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1</v>
      </c>
      <c r="U22" s="383" t="str">
        <f t="array" ref="U22">IFERROR(IF($D$9="",IF($D$11="",IF($D$13="",IF($D$15="",INDEX(orderHistory[shipping_method],SMALL(MATCH(ROW(orderHistory[customer]),ROW(orderHistory[customer])),ROWS($A$15:A27)+$B$3)),INDEX(orderHistory[shipping_method],SMALL(IF(ISNUMBER(MATCH(YEAR(orderHistory[invoice_date]),$D$15,0)),MATCH(ROW(orderHistory[customer]),ROW(orderHistory[customer])),""),ROWS($A$15:A27)+$B$3))),IF($D$15="",INDEX(orderHistory[shipping_method],SMALL(IF(ISNUMBER(MATCH(orderHistory[order_type],$D$13,0)),MATCH(ROW(orderHistory[customer]),ROW(orderHistory[customer])),""),ROWS($A$15:A27)+$B$3)),INDEX(orderHistory[shipping_method],SMALL(IF(ISNUMBER(MATCH(orderHistory[order_type],$D$13,0)*MATCH(YEAR(orderHistory[invoice_date]),$D$15,0)),MATCH(ROW(orderHistory[customer]),ROW(orderHistory[customer])),""),ROWS($A$15:A27)+$B$3)))),IF($D$13="",IF($D$15="",INDEX(orderHistory[shipping_method],SMALL(IF(ISNUMBER(MATCH(orderHistory[status],$D$11,0)),MATCH(ROW(orderHistory[customer]),ROW(orderHistory[customer])),""),ROWS($A$15:A27)+$B$3)),INDEX(orderHistory[shipping_method],SMALL(IF(ISNUMBER(MATCH(orderHistory[status],$D$11,0)*MATCH(YEAR(orderHistory[invoice_date]),$D$15,0)),MATCH(ROW(orderHistory[customer]),ROW(orderHistory[customer])),""),ROWS($A$15:A27)+$B$3))),IF($D$15="",INDEX(orderHistory[shipping_method],SMALL(IF(ISNUMBER(MATCH(orderHistory[status],$D$11,0)*MATCH(orderHistory[order_type],$D$13,0)),MATCH(ROW(orderHistory[customer]),ROW(orderHistory[customer])),""),ROWS($A$15:A27)+$B$3)),INDEX(orderHistory[shipping_method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shipping_method],SMALL(IF(ISNUMBER(MATCH(orderHistory[customer],$D$9,0)),MATCH(ROW(orderHistory[customer]),ROW(orderHistory[customer])),""),ROWS($A$15:A27)+$B$3)),INDEX(orderHistory[shipping_method],SMALL(IF(ISNUMBER(MATCH(orderHistory[customer],$D$9,0)*MATCH(YEAR(orderHistory[invoice_date]),$D$15,0)),MATCH(ROW(orderHistory[customer]),ROW(orderHistory[customer])),""),ROWS($A$15:A27)+$B$3))),IF($D$15="",INDEX(orderHistory[shipping_method],SMALL(IF(ISNUMBER(MATCH(orderHistory[customer],$D$9,0)*MATCH(orderHistory[order_type],$D$13,0)),MATCH(ROW(orderHistory[customer]),ROW(orderHistory[customer])),""),ROWS($A$15:A27)+$B$3)),INDEX(orderHistory[shipping_method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shipping_method],SMALL(IF(ISNUMBER(MATCH(orderHistory[customer],$D$9,0)*MATCH(orderHistory[status],$D$11,0)),MATCH(ROW(orderHistory[customer]),ROW(orderHistory[customer])),""),ROWS($A$15:A27)+$B$3)),INDEX(orderHistory[shipping_method],SMALL(IF(ISNUMBER(MATCH(orderHistory[customer],$D$9,0)*MATCH(orderHistory[status],$D$11,0)*MATCH(YEAR(orderHistory[shipping_method]),$D$15,0)),MATCH(ROW(orderHistory[customer]),ROW(orderHistory[customer])),""),ROWS($A$15:A27)+$B$3))),IF($D$15="",INDEX(orderHistory[shipping_method],SMALL(IF(ISNUMBER(MATCH(orderHistory[customer],$D$9,0)*MATCH(orderHistory[status],$D$11,0)*MATCH(orderHistory[order_type],$D$13,0)),MATCH(ROW(orderHistory[customer]),ROW(orderHistory[customer])),""),ROWS($A$15:A27)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BY ROAD</v>
      </c>
      <c r="V22" s="388" t="str">
        <f t="array" ref="V22">IFERROR(IF($D$9="",IF($D$11="",IF($D$13="",IF($D$15="",INDEX(orderHistory[status],SMALL(MATCH(ROW(orderHistory[customer]),ROW(orderHistory[customer])),ROWS($A$15:A27)+$B$3)),INDEX(orderHistory[status],SMALL(IF(ISNUMBER(MATCH(YEAR(orderHistory[invoice_date]),$D$15,0)),MATCH(ROW(orderHistory[customer]),ROW(orderHistory[customer])),""),ROWS($A$15:A27)+$B$3))),IF($D$15="",INDEX(orderHistory[status],SMALL(IF(ISNUMBER(MATCH(orderHistory[order_type],$D$13,0)),MATCH(ROW(orderHistory[customer]),ROW(orderHistory[customer])),""),ROWS($A$15:A27)+$B$3)),INDEX(orderHistory[status],SMALL(IF(ISNUMBER(MATCH(orderHistory[order_type],$D$13,0)*MATCH(YEAR(orderHistory[invoice_date]),$D$15,0)),MATCH(ROW(orderHistory[customer]),ROW(orderHistory[customer])),""),ROWS($A$15:A27)+$B$3)))),IF($D$13="",IF($D$15="",INDEX(orderHistory[status],SMALL(IF(ISNUMBER(MATCH(orderHistory[status],$D$11,0)),MATCH(ROW(orderHistory[customer]),ROW(orderHistory[customer])),""),ROWS($A$15:A27)+$B$3)),INDEX(orderHistory[status],SMALL(IF(ISNUMBER(MATCH(orderHistory[status],$D$11,0)*MATCH(YEAR(orderHistory[invoice_date]),$D$15,0)),MATCH(ROW(orderHistory[customer]),ROW(orderHistory[customer])),""),ROWS($A$15:A27)+$B$3))),IF($D$15="",INDEX(orderHistory[status],SMALL(IF(ISNUMBER(MATCH(orderHistory[status],$D$11,0)*MATCH(orderHistory[order_type],$D$13,0)),MATCH(ROW(orderHistory[customer]),ROW(orderHistory[customer])),""),ROWS($A$15:A27)+$B$3)),INDEX(orderHistory[status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status],SMALL(IF(ISNUMBER(MATCH(orderHistory[customer],$D$9,0)),MATCH(ROW(orderHistory[customer]),ROW(orderHistory[customer])),""),ROWS($A$15:A27)+$B$3)),INDEX(orderHistory[status],SMALL(IF(ISNUMBER(MATCH(orderHistory[customer],$D$9,0)*MATCH(YEAR(orderHistory[invoice_date]),$D$15,0)),MATCH(ROW(orderHistory[customer]),ROW(orderHistory[customer])),""),ROWS($A$15:A27)+$B$3))),IF($D$15="",INDEX(orderHistory[status],SMALL(IF(ISNUMBER(MATCH(orderHistory[customer],$D$9,0)*MATCH(orderHistory[order_type],$D$13,0)),MATCH(ROW(orderHistory[customer]),ROW(orderHistory[customer])),""),ROWS($A$15:A27)+$B$3)),INDEX(orderHistory[status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status],SMALL(IF(ISNUMBER(MATCH(orderHistory[customer],$D$9,0)*MATCH(orderHistory[status],$D$11,0)),MATCH(ROW(orderHistory[customer]),ROW(orderHistory[customer])),""),ROWS($A$15:A27)+$B$3)),INDEX(orderHistory[status],SMALL(IF(ISNUMBER(MATCH(orderHistory[customer],$D$9,0)*MATCH(orderHistory[status],$D$11,0)*MATCH(YEAR(orderHistory[status]),$D$15,0)),MATCH(ROW(orderHistory[customer]),ROW(orderHistory[customer])),""),ROWS($A$15:A27)+$B$3))),IF($D$15="",INDEX(orderHistory[status],SMALL(IF(ISNUMBER(MATCH(orderHistory[customer],$D$9,0)*MATCH(orderHistory[status],$D$11,0)*MATCH(orderHistory[order_type],$D$13,0)),MATCH(ROW(orderHistory[customer]),ROW(orderHistory[customer])),""),ROWS($A$15:A27)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SHIPPED</v>
      </c>
      <c r="W22" s="547" t="str">
        <f t="array" ref="W22">IFERROR(IF($D$9="",IF($D$11="",IF($D$13="",IF($D$15="",INDEX(orderHistory[custom_docs],SMALL(MATCH(ROW(orderHistory[customer]),ROW(orderHistory[customer])),ROWS($A$15:A27)+$B$3)),INDEX(orderHistory[custom_docs],SMALL(IF(ISNUMBER(MATCH(YEAR(orderHistory[invoice_date]),$D$15,0)),MATCH(ROW(orderHistory[customer]),ROW(orderHistory[customer])),""),ROWS($A$15:A27)+$B$3))),IF($D$15="",INDEX(orderHistory[custom_docs],SMALL(IF(ISNUMBER(MATCH(orderHistory[order_type],$D$13,0)),MATCH(ROW(orderHistory[customer]),ROW(orderHistory[customer])),""),ROWS($A$15:A27)+$B$3)),INDEX(orderHistory[custom_docs],SMALL(IF(ISNUMBER(MATCH(orderHistory[order_type],$D$13,0)*MATCH(YEAR(orderHistory[invoice_date]),$D$15,0)),MATCH(ROW(orderHistory[customer]),ROW(orderHistory[customer])),""),ROWS($A$15:A27)+$B$3)))),IF($D$13="",IF($D$15="",INDEX(orderHistory[custom_docs],SMALL(IF(ISNUMBER(MATCH(orderHistory[status],$D$11,0)),MATCH(ROW(orderHistory[customer]),ROW(orderHistory[customer])),""),ROWS($A$15:A27)+$B$3)),INDEX(orderHistory[custom_docs],SMALL(IF(ISNUMBER(MATCH(orderHistory[status],$D$11,0)*MATCH(YEAR(orderHistory[invoice_date]),$D$15,0)),MATCH(ROW(orderHistory[customer]),ROW(orderHistory[customer])),""),ROWS($A$15:A27)+$B$3))),IF($D$15="",INDEX(orderHistory[custom_docs],SMALL(IF(ISNUMBER(MATCH(orderHistory[status],$D$11,0)*MATCH(orderHistory[order_type],$D$13,0)),MATCH(ROW(orderHistory[customer]),ROW(orderHistory[customer])),""),ROWS($A$15:A27)+$B$3)),INDEX(orderHistory[custom_docs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custom_docs],SMALL(IF(ISNUMBER(MATCH(orderHistory[customer],$D$9,0)),MATCH(ROW(orderHistory[customer]),ROW(orderHistory[customer])),""),ROWS($A$15:A27)+$B$3)),INDEX(orderHistory[custom_docs],SMALL(IF(ISNUMBER(MATCH(orderHistory[customer],$D$9,0)*MATCH(YEAR(orderHistory[invoice_date]),$D$15,0)),MATCH(ROW(orderHistory[customer]),ROW(orderHistory[customer])),""),ROWS($A$15:A27)+$B$3))),IF($D$15="",INDEX(orderHistory[custom_docs],SMALL(IF(ISNUMBER(MATCH(orderHistory[customer],$D$9,0)*MATCH(orderHistory[order_type],$D$13,0)),MATCH(ROW(orderHistory[customer]),ROW(orderHistory[customer])),""),ROWS($A$15:A27)+$B$3)),INDEX(orderHistory[custom_docs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custom_docs],SMALL(IF(ISNUMBER(MATCH(orderHistory[customer],$D$9,0)*MATCH(orderHistory[status],$D$11,0)),MATCH(ROW(orderHistory[customer]),ROW(orderHistory[customer])),""),ROWS($A$15:A27)+$B$3)),INDEX(orderHistory[custom_docs],SMALL(IF(ISNUMBER(MATCH(orderHistory[customer],$D$9,0)*MATCH(orderHistory[status],$D$11,0)*MATCH(YEAR(orderHistory[status]),$D$15,0)),MATCH(ROW(orderHistory[customer]),ROW(orderHistory[customer])),""),ROWS($A$15:A27)+$B$3))),IF($D$15="",INDEX(orderHistory[custom_docs],SMALL(IF(ISNUMBER(MATCH(orderHistory[customer],$D$9,0)*MATCH(orderHistory[status],$D$11,0)*MATCH(orderHistory[order_type],$D$13,0)),MATCH(ROW(orderHistory[customer]),ROW(orderHistory[customer])),""),ROWS($A$15:A27)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OK</v>
      </c>
      <c r="AQ22" s="308"/>
      <c r="AU22" s="271"/>
      <c r="AW22" s="306"/>
      <c r="AX22" s="318"/>
      <c r="AZ22" s="272"/>
      <c r="BB22" s="319"/>
      <c r="BD22" s="873"/>
      <c r="BE22" s="874"/>
      <c r="BF22" s="874"/>
      <c r="BG22" s="874"/>
      <c r="BH22" s="875"/>
      <c r="BJ22" s="271"/>
      <c r="BK22" s="296"/>
      <c r="BL22" s="297"/>
      <c r="BM22" s="298"/>
      <c r="BN22" s="297"/>
      <c r="BO22" s="298"/>
      <c r="BX22" s="364"/>
      <c r="BZ22" s="628"/>
      <c r="CA22" s="401" t="str">
        <f>IFERROR(IF(BZ22="","",INDEX(bhpc_data[description],MATCH(BZ22,bhpc_data[sku],0))),"")</f>
        <v/>
      </c>
      <c r="CB22" s="403"/>
      <c r="CC22" s="887"/>
      <c r="CD22" s="409"/>
      <c r="CE22" s="890"/>
      <c r="CF22" s="404"/>
      <c r="CG22" s="405" t="str">
        <f>IFERROR(ROUNDUP(CB22/INDEX(bhpc_data[units_per_carton],MATCH(BZ22,bhpc_data[sku],0)),0),"")</f>
        <v/>
      </c>
      <c r="CH22" s="406" t="str">
        <f>IFERROR(ROUNDUP(CD22/INDEX(bhpc_data[units_per_carton],MATCH(BZ22,bhpc_data[sku],0)),0),"")</f>
        <v/>
      </c>
      <c r="CI22" s="406" t="str">
        <f>IFERROR(ROUNDUP(CF22/INDEX(bhpc_data[units_per_carton],MATCH(BZ22,bhpc_data[sku])),0),"")</f>
        <v/>
      </c>
      <c r="CJ22" s="406" t="str">
        <f>IFERROR(((CB22+CD22+CF22)/INDEX(bhpc_data[units_per_carton],MATCH(BZ22,bhpc_data[sku],0)))*INDEX(bhpc_data[net_weight],MATCH(BZ22,bhpc_data[sku],0)),"")</f>
        <v/>
      </c>
      <c r="CK22" s="406" t="str">
        <f>IFERROR(((CB22+CD22+CF22)/INDEX(bhpc_data[units_per_carton],MATCH(BZ22,bhpc_data[sku],0)))*INDEX(bhpc_data[gross_weight],MATCH(BZ22,bhpc_data[sku],0)),"")</f>
        <v/>
      </c>
      <c r="CL22" s="602" t="str">
        <f>IFERROR((CB22+CD22+CF22)/INDEX(bhpc_data[units_per_carton],MATCH(BZ22,bhpc_data[sku],0))*INDEX(bhpc_data[length],MATCH(BZ22,bhpc_data[sku],0))*INDEX(bhpc_data[width],MATCH(BZ22,bhpc_data[sku],0))*INDEX(bhpc_data[height],MATCH(BZ22,bhpc_data[sku],0))/1000000000,"")</f>
        <v/>
      </c>
      <c r="CM22" s="407" t="str">
        <f>IFERROR(INDEX(bhpc_data[category],MATCH(BZ22,bhpc_data[sku],0)),"")</f>
        <v/>
      </c>
      <c r="CN22" s="407" t="str">
        <f>IFERROR(INDEX(bhpc_data[size],MATCH(BZ22,bhpc_data[sku],0)),"")</f>
        <v/>
      </c>
      <c r="CO22" s="408" t="str">
        <f>IFERROR(INDEX(bhpc_data[hs_code],MATCH(BZ22,bhpc_data[sku],0)),"")</f>
        <v/>
      </c>
      <c r="CP22" s="489" t="str">
        <f>IFERROR(INDEX(bhpc_data[sku_geko],MATCH(BZ22,bhpc_data[sku],0)),"")</f>
        <v/>
      </c>
      <c r="CQ22" s="404"/>
      <c r="CR22" s="517" t="str">
        <f>IFERROR(IF(BZ22="","",IF($BX$15="SALE",INDEX(inventory[COSTO UNITARIO],MATCH(BZ22,inventory[SKU],0)),IF($BX$15="SAMPLING",INDEX(inventory[COSTO UNITARIO],MATCH(BZ22,inventory[SKU],0)),""))),"")</f>
        <v/>
      </c>
      <c r="CS22" s="517" t="str">
        <f t="shared" ref="CS22:CS41" si="5">IFERROR(IF(BZ22="","",(CB22+CD22)*CR22),"")</f>
        <v/>
      </c>
      <c r="CT22" s="896" t="str">
        <f t="shared" ref="CT22:CT41" si="6">IF(BZ22="","",CB22*CC22+CD22*CE22)</f>
        <v/>
      </c>
      <c r="CU22" s="469" t="str">
        <f t="shared" si="0"/>
        <v/>
      </c>
      <c r="CW22" s="80"/>
      <c r="CX22" s="84" t="s">
        <v>571</v>
      </c>
      <c r="CY22" s="536">
        <f>SUM($CG$10:$CI$109)</f>
        <v>20</v>
      </c>
      <c r="CZ22" s="432"/>
      <c r="DA22" s="432"/>
      <c r="DB22" s="77"/>
      <c r="DH22" s="215"/>
      <c r="EE22" s="445" t="str" cm="1">
        <f t="array" ref="EE22">IFERROR(IF($EC$9="",IF($EC$11="",IF($EC$13="",INDEX(bhpc_data[sku],SMALL(MATCH(ROW(bhpc_data[sku]),ROW(bhpc_data[sku])),ROWS($A$15:A27)+$B$3)),INDEX(bhpc_data[sku],SMALL(IF(ISNUMBER(MATCH(bhpc_data[size],$EC$13,0)),MATCH(ROW(bhpc_data[sku]),ROW(bhpc_data[sku])),""),ROWS($A$15:A27)+$B$3))),IF($EC$13="",INDEX(bhpc_data[sku],SMALL(IF(ISNUMBER(MATCH(bhpc_data[sex],$EC$11,0)),MATCH(ROW(bhpc_data[sku]),ROW(bhpc_data[sku])),""),ROWS($A$15:A27)+$B$3)),INDEX(bhpc_data[sku],SMALL(IF(ISNUMBER(MATCH(bhpc_data[sex],$EC$11,0)*MATCH(bhpc_data[size],$EC$13,0)),MATCH(ROW(bhpc_data[sku]),ROW(bhpc_data[sku])),""),ROWS($A$15:A27)+$B$3)))),IF($EC$11="",IF($EC$13="",INDEX(bhpc_data[sku],SMALL(IF(ISNUMBER(MATCH(bhpc_data[category],$EC$9,0)),MATCH(ROW(bhpc_data[sku]),ROW(bhpc_data[sku])),""),ROWS($A$15:A27)+$B$3)),INDEX(bhpc_data[sku],SMALL(IF(ISNUMBER(MATCH(bhpc_data[category],$EC$9,0)*MATCH(bhpc_data[size],$EC$13,0)),MATCH(ROW(bhpc_data[sku]),ROW(bhpc_data[sku])),""),ROWS($A$15:A27)+$B$3))),IF($EC$13="",INDEX(bhpc_data[sku],SMALL(IF(ISNUMBER(MATCH(bhpc_data[category],$EC$9,0)*MATCH(bhpc_data[sex],$EC$11,0)),MATCH(ROW(bhpc_data[sku]),ROW(bhpc_data[sku])),""),ROWS($A$15:A27)+$B$3)),INDEX(bhpc_data[sku],SMALL(IF(ISNUMBER(MATCH(bhpc_data[category],$EC$9,0)*MATCH(bhpc_data[sex],$EC$11,0)*MATCH(bhpc_data[size],$EC$13,0)),MATCH(ROW(bhpc_data[sku]),ROW(bhpc_data[sku])),""),ROWS($A$15:A27)+$B$3))))),"")</f>
        <v>P05029L</v>
      </c>
      <c r="EF22" s="446" t="str" cm="1">
        <f t="array" ref="EF22">IFERROR(IF($EC$9="",IF($EC$11="",IF($EC$13="",INDEX(bhpc_data[description],SMALL(MATCH(ROW(bhpc_data[sku]),ROW(bhpc_data[sku])),ROWS($A$15:A27)+$B$3)),INDEX(bhpc_data[description],SMALL(IF(ISNUMBER(MATCH(bhpc_data[size],$EC$13,0)),MATCH(ROW(bhpc_data[sku]),ROW(bhpc_data[sku])),""),ROWS($A$15:A27)+$B$3))),IF($EC$13="",INDEX(bhpc_data[description],SMALL(IF(ISNUMBER(MATCH(bhpc_data[sex],$EC$11,0)),MATCH(ROW(bhpc_data[sku]),ROW(bhpc_data[sku])),""),ROWS($A$15:A27)+$B$3)),INDEX(bhpc_data[description],SMALL(IF(ISNUMBER(MATCH(bhpc_data[sex],$EC$11,0)*MATCH(bhpc_data[size],$EC$13,0)),MATCH(ROW(bhpc_data[sku]),ROW(bhpc_data[sku])),""),ROWS($A$15:A27)+$B$3)))),IF($EC$11="",IF($EC$13="",INDEX(bhpc_data[description],SMALL(IF(ISNUMBER(MATCH(bhpc_data[category],$EC$9,0)),MATCH(ROW(bhpc_data[sku]),ROW(bhpc_data[sku])),""),ROWS($A$15:A27)+$B$3)),INDEX(bhpc_data[description],SMALL(IF(ISNUMBER(MATCH(bhpc_data[category],$EC$9,0)*MATCH(bhpc_data[size],$EC$13,0)),MATCH(ROW(bhpc_data[sku]),ROW(bhpc_data[sku])),""),ROWS($A$15:A27)+$B$3))),IF($EC$13="",INDEX(bhpc_data[description],SMALL(IF(ISNUMBER(MATCH(bhpc_data[category],$EC$9,0)*MATCH(bhpc_data[sex],$EC$11,0)),MATCH(ROW(bhpc_data[sku]),ROW(bhpc_data[sku])),""),ROWS($A$15:A27)+$B$3)),INDEX(bhpc_data[description],SMALL(IF(ISNUMBER(MATCH(bhpc_data[category],$EC$9,0)*MATCH(bhpc_data[sex],$EC$11,0)*MATCH(bhpc_data[size],$EC$13,0)),MATCH(ROW(bhpc_data[sku]),ROW(bhpc_data[sku])),""),ROWS($A$15:A27)+$B$3))))),"")</f>
        <v>BHPC WOMEN 9 EDP 50ML (UNBOXED)</v>
      </c>
      <c r="EG22" s="447">
        <f>IFERROR(IF('BHPC MANAGER'!$EE22="","",INDEX(inventory[ESISTENZA],MATCH('BHPC MANAGER'!$EE22,inventory[SKU],0))),0)</f>
        <v>7682</v>
      </c>
      <c r="EH22" s="448">
        <v>-86</v>
      </c>
      <c r="EI22" s="448">
        <f t="shared" si="1"/>
        <v>7596</v>
      </c>
      <c r="EJ22" s="449">
        <v>0</v>
      </c>
      <c r="EK22" s="450">
        <f t="shared" si="2"/>
        <v>7596</v>
      </c>
      <c r="FF22" s="263"/>
      <c r="FG22" s="263"/>
      <c r="FH22" s="263"/>
      <c r="FI22" s="263"/>
      <c r="FJ22" s="263"/>
      <c r="FK22" s="263"/>
      <c r="FL22" s="263"/>
      <c r="FM22" s="263"/>
      <c r="FN22" s="263"/>
      <c r="FO22" s="263"/>
      <c r="FP22" s="263"/>
      <c r="FQ22" s="263"/>
      <c r="FR22" s="263"/>
      <c r="FS22" s="263"/>
      <c r="FT22" s="263"/>
      <c r="FU22" s="263"/>
      <c r="FV22" s="263"/>
      <c r="FW22" s="263"/>
      <c r="FX22" s="263"/>
      <c r="FY22" s="263"/>
      <c r="FZ22" s="263"/>
      <c r="GA22" s="263"/>
      <c r="GB22" s="263"/>
      <c r="GC22" s="263"/>
      <c r="GD22" s="263"/>
      <c r="GE22" s="263"/>
      <c r="GF22" s="263"/>
      <c r="GG22" s="263"/>
      <c r="GH22" s="263"/>
      <c r="GI22" s="263"/>
      <c r="GJ22" s="263"/>
      <c r="GK22" s="263"/>
      <c r="GL22" s="263"/>
      <c r="GM22" s="263"/>
      <c r="GN22" s="263"/>
      <c r="GO22" s="263"/>
      <c r="GP22" s="263"/>
      <c r="GQ22" s="263"/>
      <c r="GR22" s="263"/>
      <c r="GS22" s="263"/>
      <c r="GT22" s="263"/>
      <c r="GU22" s="263"/>
      <c r="GV22" s="263"/>
      <c r="GW22" s="263"/>
      <c r="GX22" s="263"/>
      <c r="GY22" s="263"/>
      <c r="GZ22" s="263"/>
      <c r="HA22" s="263"/>
      <c r="HB22" s="263"/>
      <c r="HC22" s="263"/>
      <c r="HD22" s="263"/>
      <c r="HE22" s="263"/>
      <c r="HF22" s="263"/>
      <c r="HG22" s="263"/>
      <c r="HH22" s="263"/>
      <c r="HI22" s="263"/>
      <c r="HJ22" s="263"/>
      <c r="HK22" s="263"/>
      <c r="HL22" s="263"/>
      <c r="HM22" s="263"/>
      <c r="HN22" s="263"/>
      <c r="HO22" s="263"/>
      <c r="HP22" s="263"/>
      <c r="HQ22" s="263"/>
      <c r="HR22" s="263"/>
      <c r="HS22" s="263"/>
      <c r="HT22" s="263"/>
    </row>
    <row r="23" spans="1:228" ht="15" customHeight="1" thickBot="1" x14ac:dyDescent="0.4">
      <c r="F23" s="86"/>
      <c r="G23" s="94" t="s">
        <v>570</v>
      </c>
      <c r="H23" s="76"/>
      <c r="I23" s="76"/>
      <c r="J23" s="77"/>
      <c r="L23" s="381" t="str">
        <f t="array" ref="L23">IFERROR(IF($D$9="",IF($D$11="",IF($D$13="",IF($D$15="",INDEX(orderHistory[customer],SMALL(MATCH(ROW(orderHistory[customer]),ROW(orderHistory[customer])),ROWS($A$15:A28)+$B$3)),INDEX(orderHistory[customer],SMALL(IF(ISNUMBER(MATCH(YEAR(orderHistory[invoice_date]),$D$15,0)),MATCH(ROW(orderHistory[customer]),ROW(orderHistory[customer])),""),ROWS($A$15:A28)+$B$3))),IF($D$15="",INDEX(orderHistory[customer],SMALL(IF(ISNUMBER(MATCH(orderHistory[order_type],$D$13,0)),MATCH(ROW(orderHistory[customer]),ROW(orderHistory[customer])),""),ROWS($A$15:A28)+$B$3)),INDEX(orderHistory[customer],SMALL(IF(ISNUMBER(MATCH(orderHistory[order_type],$D$13,0)*MATCH(YEAR(orderHistory[invoice_date]),$D$15,0)),MATCH(ROW(orderHistory[customer]),ROW(orderHistory[customer])),""),ROWS($A$15:A28)+$B$3)))),IF($D$13="",IF($D$15="",INDEX(orderHistory[customer],SMALL(IF(ISNUMBER(MATCH(orderHistory[status],$D$11,0)),MATCH(ROW(orderHistory[customer]),ROW(orderHistory[customer])),""),ROWS($A$15:A28)+$B$3)),INDEX(orderHistory[customer],SMALL(IF(ISNUMBER(MATCH(orderHistory[status],$D$11,0)*MATCH(YEAR(orderHistory[invoice_date]),$D$15,0)),MATCH(ROW(orderHistory[customer]),ROW(orderHistory[customer])),""),ROWS($A$15:A28)+$B$3))),IF($D$15="",INDEX(orderHistory[customer],SMALL(IF(ISNUMBER(MATCH(orderHistory[status],$D$11,0)*MATCH(orderHistory[order_type],$D$13,0)),MATCH(ROW(orderHistory[customer]),ROW(orderHistory[customer])),""),ROWS($A$15:A28)+$B$3)),INDEX(orderHistory[customer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customer],SMALL(IF(ISNUMBER(MATCH(orderHistory[customer],$D$9,0)),MATCH(ROW(orderHistory[customer]),ROW(orderHistory[customer])),""),ROWS($A$15:A28)+$B$3)),INDEX(orderHistory[customer],SMALL(IF(ISNUMBER(MATCH(orderHistory[customer],$D$9,0)*MATCH(YEAR(orderHistory[invoice_date]),$D$15,0)),MATCH(ROW(orderHistory[customer]),ROW(orderHistory[customer])),""),ROWS($A$15:A28)+$B$3))),IF($D$15="",INDEX(orderHistory[customer],SMALL(IF(ISNUMBER(MATCH(orderHistory[customer],$D$9,0)*MATCH(orderHistory[order_type],$D$13,0)),MATCH(ROW(orderHistory[customer]),ROW(orderHistory[customer])),""),ROWS($A$15:A28)+$B$3)),INDEX(orderHistory[customer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customer],SMALL(IF(ISNUMBER(MATCH(orderHistory[customer],$D$9,0)*MATCH(orderHistory[status],$D$11,0)),MATCH(ROW(orderHistory[customer]),ROW(orderHistory[customer])),""),ROWS($A$15:A28)+$B$3)),INDEX(orderHistory[customer],SMALL(IF(ISNUMBER(MATCH(orderHistory[customer],$D$9,0)*MATCH(orderHistory[status],$D$11,0)*MATCH(YEAR(orderHistory[invoice_date]),$D$15,0)),MATCH(ROW(orderHistory[customer]),ROW(orderHistory[customer])),""),ROWS($A$15:A28)+$B$3))),IF($D$15="",INDEX(orderHistory[customer],SMALL(IF(ISNUMBER(MATCH(orderHistory[customer],$D$9,0)*MATCH(orderHistory[status],$D$11,0)*MATCH(orderHistory[order_type],$D$13,0)),MATCH(ROW(orderHistory[customer]),ROW(orderHistory[customer])),""),ROWS($A$15:A28)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A&amp;A DISTRIBUTION</v>
      </c>
      <c r="M23" s="382">
        <f t="array" ref="M23">IFERROR(IF($D$9="",IF($D$11="",IF($D$13="",IF($D$15="",INDEX(orderHistory[order_no],SMALL(MATCH(ROW(orderHistory[customer]),ROW(orderHistory[customer])),ROWS($A$15:A28)+$B$3)),INDEX(orderHistory[order_no],SMALL(IF(ISNUMBER(MATCH(YEAR(orderHistory[invoice_date]),$D$15,0)),MATCH(ROW(orderHistory[customer]),ROW(orderHistory[customer])),""),ROWS($A$15:A28)+$B$3))),IF($D$15="",INDEX(orderHistory[order_no],SMALL(IF(ISNUMBER(MATCH(orderHistory[order_type],$D$13,0)),MATCH(ROW(orderHistory[customer]),ROW(orderHistory[customer])),""),ROWS($A$15:A28)+$B$3)),INDEX(orderHistory[order_no],SMALL(IF(ISNUMBER(MATCH(orderHistory[order_type],$D$13,0)*MATCH(YEAR(orderHistory[invoice_date]),$D$15,0)),MATCH(ROW(orderHistory[customer]),ROW(orderHistory[customer])),""),ROWS($A$15:A28)+$B$3)))),IF($D$13="",IF($D$15="",INDEX(orderHistory[order_no],SMALL(IF(ISNUMBER(MATCH(orderHistory[status],$D$11,0)),MATCH(ROW(orderHistory[customer]),ROW(orderHistory[customer])),""),ROWS($A$15:A28)+$B$3)),INDEX(orderHistory[order_no],SMALL(IF(ISNUMBER(MATCH(orderHistory[status],$D$11,0)*MATCH(YEAR(orderHistory[invoice_date]),$D$15,0)),MATCH(ROW(orderHistory[customer]),ROW(orderHistory[customer])),""),ROWS($A$15:A28)+$B$3))),IF($D$15="",INDEX(orderHistory[order_no],SMALL(IF(ISNUMBER(MATCH(orderHistory[status],$D$11,0)*MATCH(orderHistory[order_type],$D$13,0)),MATCH(ROW(orderHistory[customer]),ROW(orderHistory[customer])),""),ROWS($A$15:A28)+$B$3)),INDEX(orderHistory[order_no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order_no],SMALL(IF(ISNUMBER(MATCH(orderHistory[customer],$D$9,0)),MATCH(ROW(orderHistory[customer]),ROW(orderHistory[customer])),""),ROWS($A$15:A28)+$B$3)),INDEX(orderHistory[order_no],SMALL(IF(ISNUMBER(MATCH(orderHistory[customer],$D$9,0)*MATCH(YEAR(orderHistory[invoice_date]),$D$15,0)),MATCH(ROW(orderHistory[customer]),ROW(orderHistory[customer])),""),ROWS($A$15:A28)+$B$3))),IF($D$15="",INDEX(orderHistory[order_no],SMALL(IF(ISNUMBER(MATCH(orderHistory[customer],$D$9,0)*MATCH(orderHistory[order_type],$D$13,0)),MATCH(ROW(orderHistory[customer]),ROW(orderHistory[customer])),""),ROWS($A$15:A28)+$B$3)),INDEX(orderHistory[order_no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order_no],SMALL(IF(ISNUMBER(MATCH(orderHistory[customer],$D$9,0)*MATCH(orderHistory[status],$D$11,0)),MATCH(ROW(orderHistory[customer]),ROW(orderHistory[customer])),""),ROWS($A$15:A28)+$B$3)),INDEX(orderHistory[order_no],SMALL(IF(ISNUMBER(MATCH(orderHistory[customer],$D$9,0)*MATCH(orderHistory[status],$D$11,0)*MATCH(YEAR(orderHistory[invoice_date]),$D$15,0)),MATCH(ROW(orderHistory[customer]),ROW(orderHistory[customer])),""),ROWS($A$15:A28)+$B$3))),IF($D$15="",INDEX(orderHistory[order_no],SMALL(IF(ISNUMBER(MATCH(orderHistory[customer],$D$9,0)*MATCH(orderHistory[status],$D$11,0)*MATCH(orderHistory[order_type],$D$13,0)),MATCH(ROW(orderHistory[customer]),ROW(orderHistory[customer])),""),ROWS($A$15:A28)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56</v>
      </c>
      <c r="N23" s="383" t="str">
        <f t="array" ref="N23">IFERROR(IF($D$9="",IF($D$11="",IF($D$13="",IF($D$15="",INDEX(orderHistory[order_type],SMALL(MATCH(ROW(orderHistory[customer]),ROW(orderHistory[customer])),ROWS($A$15:A28)+$B$3)),INDEX(orderHistory[order_type],SMALL(IF(ISNUMBER(MATCH(YEAR(orderHistory[invoice_date]),$D$15,0)),MATCH(ROW(orderHistory[customer]),ROW(orderHistory[customer])),""),ROWS($A$15:A28)+$B$3))),IF($D$15="",INDEX(orderHistory[order_type],SMALL(IF(ISNUMBER(MATCH(orderHistory[order_type],$D$13,0)),MATCH(ROW(orderHistory[customer]),ROW(orderHistory[customer])),""),ROWS($A$15:A28)+$B$3)),INDEX(orderHistory[order_type],SMALL(IF(ISNUMBER(MATCH(orderHistory[order_type],$D$13,0)*MATCH(YEAR(orderHistory[invoice_date]),$D$15,0)),MATCH(ROW(orderHistory[customer]),ROW(orderHistory[customer])),""),ROWS($A$15:A28)+$B$3)))),IF($D$13="",IF($D$15="",INDEX(orderHistory[order_type],SMALL(IF(ISNUMBER(MATCH(orderHistory[status],$D$11,0)),MATCH(ROW(orderHistory[customer]),ROW(orderHistory[customer])),""),ROWS($A$15:A28)+$B$3)),INDEX(orderHistory[order_type],SMALL(IF(ISNUMBER(MATCH(orderHistory[status],$D$11,0)*MATCH(YEAR(orderHistory[invoice_date]),$D$15,0)),MATCH(ROW(orderHistory[customer]),ROW(orderHistory[customer])),""),ROWS($A$15:A28)+$B$3))),IF($D$15="",INDEX(orderHistory[order_type],SMALL(IF(ISNUMBER(MATCH(orderHistory[status],$D$11,0)*MATCH(orderHistory[order_type],$D$13,0)),MATCH(ROW(orderHistory[customer]),ROW(orderHistory[customer])),""),ROWS($A$15:A28)+$B$3)),INDEX(orderHistory[order_type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order_type],SMALL(IF(ISNUMBER(MATCH(orderHistory[customer],$D$9,0)),MATCH(ROW(orderHistory[customer]),ROW(orderHistory[customer])),""),ROWS($A$15:A28)+$B$3)),INDEX(orderHistory[order_type],SMALL(IF(ISNUMBER(MATCH(orderHistory[customer],$D$9,0)*MATCH(YEAR(orderHistory[invoice_date]),$D$15,0)),MATCH(ROW(orderHistory[customer]),ROW(orderHistory[customer])),""),ROWS($A$15:A28)+$B$3))),IF($D$15="",INDEX(orderHistory[order_type],SMALL(IF(ISNUMBER(MATCH(orderHistory[customer],$D$9,0)*MATCH(orderHistory[order_type],$D$13,0)),MATCH(ROW(orderHistory[customer]),ROW(orderHistory[customer])),""),ROWS($A$15:A28)+$B$3)),INDEX(orderHistory[order_type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order_type],SMALL(IF(ISNUMBER(MATCH(orderHistory[customer],$D$9,0)*MATCH(orderHistory[status],$D$11,0)),MATCH(ROW(orderHistory[customer]),ROW(orderHistory[customer])),""),ROWS($A$15:A28)+$B$3)),INDEX(orderHistory[order_type],SMALL(IF(ISNUMBER(MATCH(orderHistory[customer],$D$9,0)*MATCH(orderHistory[status],$D$11,0)*MATCH(YEAR(orderHistory[invoice_date]),$D$15,0)),MATCH(ROW(orderHistory[customer]),ROW(orderHistory[customer])),""),ROWS($A$15:A28)+$B$3))),IF($D$15="",INDEX(orderHistory[order_type],SMALL(IF(ISNUMBER(MATCH(orderHistory[customer],$D$9,0)*MATCH(orderHistory[status],$D$11,0)*MATCH(orderHistory[order_type],$D$13,0)),MATCH(ROW(orderHistory[customer]),ROW(orderHistory[customer])),""),ROWS($A$15:A28)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SALE</v>
      </c>
      <c r="O23" s="384" t="str">
        <f t="array" ref="O23">IFERROR(IF($D$9="",IF($D$11="",IF($D$13="",IF($D$15="",INDEX(orderHistory[order_date],SMALL(MATCH(ROW(orderHistory[customer]),ROW(orderHistory[customer])),ROWS($A$15:A28)+$B$3)),INDEX(orderHistory[order_date],SMALL(IF(ISNUMBER(MATCH(YEAR(orderHistory[invoice_date]),$D$15,0)),MATCH(ROW(orderHistory[customer]),ROW(orderHistory[customer])),""),ROWS($A$15:A28)+$B$3))),IF($D$15="",INDEX(orderHistory[order_date],SMALL(IF(ISNUMBER(MATCH(orderHistory[order_type],$D$13,0)),MATCH(ROW(orderHistory[customer]),ROW(orderHistory[customer])),""),ROWS($A$15:A28)+$B$3)),INDEX(orderHistory[order_date],SMALL(IF(ISNUMBER(MATCH(orderHistory[order_type],$D$13,0)*MATCH(YEAR(orderHistory[invoice_date]),$D$15,0)),MATCH(ROW(orderHistory[customer]),ROW(orderHistory[customer])),""),ROWS($A$15:A28)+$B$3)))),IF($D$13="",IF($D$15="",INDEX(orderHistory[order_date],SMALL(IF(ISNUMBER(MATCH(orderHistory[status],$D$11,0)),MATCH(ROW(orderHistory[customer]),ROW(orderHistory[customer])),""),ROWS($A$15:A28)+$B$3)),INDEX(orderHistory[order_date],SMALL(IF(ISNUMBER(MATCH(orderHistory[status],$D$11,0)*MATCH(YEAR(orderHistory[invoice_date]),$D$15,0)),MATCH(ROW(orderHistory[customer]),ROW(orderHistory[customer])),""),ROWS($A$15:A28)+$B$3))),IF($D$15="",INDEX(orderHistory[order_date],SMALL(IF(ISNUMBER(MATCH(orderHistory[status],$D$11,0)*MATCH(orderHistory[order_type],$D$13,0)),MATCH(ROW(orderHistory[customer]),ROW(orderHistory[customer])),""),ROWS($A$15:A28)+$B$3)),INDEX(orderHistory[order_date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order_date],SMALL(IF(ISNUMBER(MATCH(orderHistory[customer],$D$9,0)),MATCH(ROW(orderHistory[customer]),ROW(orderHistory[customer])),""),ROWS($A$15:A28)+$B$3)),INDEX(orderHistory[order_date],SMALL(IF(ISNUMBER(MATCH(orderHistory[customer],$D$9,0)*MATCH(YEAR(orderHistory[invoice_date]),$D$15,0)),MATCH(ROW(orderHistory[customer]),ROW(orderHistory[customer])),""),ROWS($A$15:A28)+$B$3))),IF($D$15="",INDEX(orderHistory[order_date],SMALL(IF(ISNUMBER(MATCH(orderHistory[customer],$D$9,0)*MATCH(orderHistory[order_type],$D$13,0)),MATCH(ROW(orderHistory[customer]),ROW(orderHistory[customer])),""),ROWS($A$15:A28)+$B$3)),INDEX(orderHistory[order_date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order_date],SMALL(IF(ISNUMBER(MATCH(orderHistory[customer],$D$9,0)*MATCH(orderHistory[status],$D$11,0)),MATCH(ROW(orderHistory[customer]),ROW(orderHistory[customer])),""),ROWS($A$15:A28)+$B$3)),INDEX(orderHistory[order_date],SMALL(IF(ISNUMBER(MATCH(orderHistory[customer],$D$9,0)*MATCH(orderHistory[status],$D$11,0)*MATCH(YEAR(orderHistory[invoice_date]),$D$15,0)),MATCH(ROW(orderHistory[customer]),ROW(orderHistory[customer])),""),ROWS($A$15:A28)+$B$3))),IF($D$15="",INDEX(orderHistory[order_date],SMALL(IF(ISNUMBER(MATCH(orderHistory[customer],$D$9,0)*MATCH(orderHistory[status],$D$11,0)*MATCH(orderHistory[order_type],$D$13,0)),MATCH(ROW(orderHistory[customer]),ROW(orderHistory[customer])),""),ROWS($A$15:A28)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01/07/2024</v>
      </c>
      <c r="P23" s="385" t="str">
        <f t="array" ref="P23">IFERROR(IF($D$9="",IF($D$11="",IF($D$13="",IF($D$15="",INDEX(orderHistory[invoice_no],SMALL(MATCH(ROW(orderHistory[customer]),ROW(orderHistory[customer])),ROWS($A$15:A28)+$B$3)),INDEX(orderHistory[invoice_no],SMALL(IF(ISNUMBER(MATCH(YEAR(orderHistory[invoice_date]),$D$15,0)),MATCH(ROW(orderHistory[customer]),ROW(orderHistory[customer])),""),ROWS($A$15:A28)+$B$3))),IF($D$15="",INDEX(orderHistory[invoice_no],SMALL(IF(ISNUMBER(MATCH(orderHistory[order_type],$D$13,0)),MATCH(ROW(orderHistory[customer]),ROW(orderHistory[customer])),""),ROWS($A$15:A28)+$B$3)),INDEX(orderHistory[invoice_no],SMALL(IF(ISNUMBER(MATCH(orderHistory[order_type],$D$13,0)*MATCH(YEAR(orderHistory[invoice_date]),$D$15,0)),MATCH(ROW(orderHistory[customer]),ROW(orderHistory[customer])),""),ROWS($A$15:A28)+$B$3)))),IF($D$13="",IF($D$15="",INDEX(orderHistory[invoice_no],SMALL(IF(ISNUMBER(MATCH(orderHistory[status],$D$11,0)),MATCH(ROW(orderHistory[customer]),ROW(orderHistory[customer])),""),ROWS($A$15:A28)+$B$3)),INDEX(orderHistory[invoice_no],SMALL(IF(ISNUMBER(MATCH(orderHistory[status],$D$11,0)*MATCH(YEAR(orderHistory[invoice_date]),$D$15,0)),MATCH(ROW(orderHistory[customer]),ROW(orderHistory[customer])),""),ROWS($A$15:A28)+$B$3))),IF($D$15="",INDEX(orderHistory[invoice_no],SMALL(IF(ISNUMBER(MATCH(orderHistory[status],$D$11,0)*MATCH(orderHistory[order_type],$D$13,0)),MATCH(ROW(orderHistory[customer]),ROW(orderHistory[customer])),""),ROWS($A$15:A28)+$B$3)),INDEX(orderHistory[invoice_no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invoice_no],SMALL(IF(ISNUMBER(MATCH(orderHistory[customer],$D$9,0)),MATCH(ROW(orderHistory[customer]),ROW(orderHistory[customer])),""),ROWS($A$15:A28)+$B$3)),INDEX(orderHistory[invoice_no],SMALL(IF(ISNUMBER(MATCH(orderHistory[customer],$D$9,0)*MATCH(YEAR(orderHistory[invoice_date]),$D$15,0)),MATCH(ROW(orderHistory[customer]),ROW(orderHistory[customer])),""),ROWS($A$15:A28)+$B$3))),IF($D$15="",INDEX(orderHistory[invoice_no],SMALL(IF(ISNUMBER(MATCH(orderHistory[customer],$D$9,0)*MATCH(orderHistory[order_type],$D$13,0)),MATCH(ROW(orderHistory[customer]),ROW(orderHistory[customer])),""),ROWS($A$15:A28)+$B$3)),INDEX(orderHistory[invoice_no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invoice_no],SMALL(IF(ISNUMBER(MATCH(orderHistory[customer],$D$9,0)*MATCH(orderHistory[status],$D$11,0)),MATCH(ROW(orderHistory[customer]),ROW(orderHistory[customer])),""),ROWS($A$15:A28)+$B$3)),INDEX(orderHistory[invoice_no],SMALL(IF(ISNUMBER(MATCH(orderHistory[customer],$D$9,0)*MATCH(orderHistory[status],$D$11,0)*MATCH(YEAR(orderHistory[invoice_date]),$D$15,0)),MATCH(ROW(orderHistory[customer]),ROW(orderHistory[customer])),""),ROWS($A$15:A28)+$B$3))),IF($D$15="",INDEX(orderHistory[invoice_no],SMALL(IF(ISNUMBER(MATCH(orderHistory[customer],$D$9,0)*MATCH(orderHistory[status],$D$11,0)*MATCH(orderHistory[order_type],$D$13,0)),MATCH(ROW(orderHistory[customer]),ROW(orderHistory[customer])),""),ROWS($A$15:A28)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259</v>
      </c>
      <c r="Q23" s="386">
        <f t="array" ref="Q23">IFERROR(IF($D$9="",IF($D$11="",IF($D$13="",IF($D$15="",INDEX(orderHistory[invoice_date],SMALL(MATCH(ROW(orderHistory[customer]),ROW(orderHistory[customer])),ROWS($A$15:A28)+$B$3)),INDEX(orderHistory[invoice_date],SMALL(IF(ISNUMBER(MATCH(YEAR(orderHistory[invoice_date]),$D$15,0)),MATCH(ROW(orderHistory[customer]),ROW(orderHistory[customer])),""),ROWS($A$15:A28)+$B$3))),IF($D$15="",INDEX(orderHistory[invoice_date],SMALL(IF(ISNUMBER(MATCH(orderHistory[order_type],$D$13,0)),MATCH(ROW(orderHistory[customer]),ROW(orderHistory[customer])),""),ROWS($A$15:A28)+$B$3)),INDEX(orderHistory[invoice_date],SMALL(IF(ISNUMBER(MATCH(orderHistory[order_type],$D$13,0)*MATCH(YEAR(orderHistory[invoice_date]),$D$15,0)),MATCH(ROW(orderHistory[customer]),ROW(orderHistory[customer])),""),ROWS($A$15:A28)+$B$3)))),IF($D$13="",IF($D$15="",INDEX(orderHistory[invoice_date],SMALL(IF(ISNUMBER(MATCH(orderHistory[status],$D$11,0)),MATCH(ROW(orderHistory[customer]),ROW(orderHistory[customer])),""),ROWS($A$15:A28)+$B$3)),INDEX(orderHistory[invoice_date],SMALL(IF(ISNUMBER(MATCH(orderHistory[status],$D$11,0)*MATCH(YEAR(orderHistory[invoice_date]),$D$15,0)),MATCH(ROW(orderHistory[customer]),ROW(orderHistory[customer])),""),ROWS($A$15:A28)+$B$3))),IF($D$15="",INDEX(orderHistory[invoice_date],SMALL(IF(ISNUMBER(MATCH(orderHistory[status],$D$11,0)*MATCH(orderHistory[order_type],$D$13,0)),MATCH(ROW(orderHistory[customer]),ROW(orderHistory[customer])),""),ROWS($A$15:A28)+$B$3)),INDEX(orderHistory[invoice_date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invoice_date],SMALL(IF(ISNUMBER(MATCH(orderHistory[customer],$D$9,0)),MATCH(ROW(orderHistory[customer]),ROW(orderHistory[customer])),""),ROWS($A$15:A28)+$B$3)),INDEX(orderHistory[invoice_date],SMALL(IF(ISNUMBER(MATCH(orderHistory[customer],$D$9,0)*MATCH(YEAR(orderHistory[invoice_date]),$D$15,0)),MATCH(ROW(orderHistory[customer]),ROW(orderHistory[customer])),""),ROWS($A$15:A28)+$B$3))),IF($D$15="",INDEX(orderHistory[invoice_date],SMALL(IF(ISNUMBER(MATCH(orderHistory[customer],$D$9,0)*MATCH(orderHistory[order_type],$D$13,0)),MATCH(ROW(orderHistory[customer]),ROW(orderHistory[customer])),""),ROWS($A$15:A28)+$B$3)),INDEX(orderHistory[invoice_date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invoice_date],SMALL(IF(ISNUMBER(MATCH(orderHistory[customer],$D$9,0)*MATCH(orderHistory[status],$D$11,0)),MATCH(ROW(orderHistory[customer]),ROW(orderHistory[customer])),""),ROWS($A$15:A28)+$B$3)),INDEX(orderHistory[invoice_date],SMALL(IF(ISNUMBER(MATCH(orderHistory[customer],$D$9,0)*MATCH(orderHistory[status],$D$11,0)*MATCH(YEAR(orderHistory[invoice_date]),$D$15,0)),MATCH(ROW(orderHistory[customer]),ROW(orderHistory[customer])),""),ROWS($A$15:A28)+$B$3))),IF($D$15="",INDEX(orderHistory[invoice_date],SMALL(IF(ISNUMBER(MATCH(orderHistory[customer],$D$9,0)*MATCH(orderHistory[status],$D$11,0)*MATCH(orderHistory[order_type],$D$13,0)),MATCH(ROW(orderHistory[customer]),ROW(orderHistory[customer])),""),ROWS($A$15:A28)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45499</v>
      </c>
      <c r="R23" s="387">
        <f t="array" ref="R23">IFERROR(IF($D$9="",IF($D$11="",IF($D$13="",IF($D$15="",INDEX(orderHistory[inv_amount],SMALL(MATCH(ROW(orderHistory[customer]),ROW(orderHistory[customer])),ROWS($A$15:A28)+$B$3)),INDEX(orderHistory[inv_amount],SMALL(IF(ISNUMBER(MATCH(YEAR(orderHistory[invoice_date]),$D$15,0)),MATCH(ROW(orderHistory[customer]),ROW(orderHistory[customer])),""),ROWS($A$15:A28)+$B$3))),IF($D$15="",INDEX(orderHistory[inv_amount],SMALL(IF(ISNUMBER(MATCH(orderHistory[order_type],$D$13,0)),MATCH(ROW(orderHistory[customer]),ROW(orderHistory[customer])),""),ROWS($A$15:A28)+$B$3)),INDEX(orderHistory[inv_amount],SMALL(IF(ISNUMBER(MATCH(orderHistory[order_type],$D$13,0)*MATCH(YEAR(orderHistory[invoice_date]),$D$15,0)),MATCH(ROW(orderHistory[customer]),ROW(orderHistory[customer])),""),ROWS($A$15:A28)+$B$3)))),IF($D$13="",IF($D$15="",INDEX(orderHistory[inv_amount],SMALL(IF(ISNUMBER(MATCH(orderHistory[status],$D$11,0)),MATCH(ROW(orderHistory[customer]),ROW(orderHistory[customer])),""),ROWS($A$15:A28)+$B$3)),INDEX(orderHistory[inv_amount],SMALL(IF(ISNUMBER(MATCH(orderHistory[status],$D$11,0)*MATCH(YEAR(orderHistory[invoice_date]),$D$15,0)),MATCH(ROW(orderHistory[customer]),ROW(orderHistory[customer])),""),ROWS($A$15:A28)+$B$3))),IF($D$15="",INDEX(orderHistory[inv_amount],SMALL(IF(ISNUMBER(MATCH(orderHistory[status],$D$11,0)*MATCH(orderHistory[order_type],$D$13,0)),MATCH(ROW(orderHistory[customer]),ROW(orderHistory[customer])),""),ROWS($A$15:A28)+$B$3)),INDEX(orderHistory[inv_amount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inv_amount],SMALL(IF(ISNUMBER(MATCH(orderHistory[customer],$D$9,0)),MATCH(ROW(orderHistory[customer]),ROW(orderHistory[customer])),""),ROWS($A$15:A28)+$B$3)),INDEX(orderHistory[inv_amount],SMALL(IF(ISNUMBER(MATCH(orderHistory[customer],$D$9,0)*MATCH(YEAR(orderHistory[invoice_date]),$D$15,0)),MATCH(ROW(orderHistory[customer]),ROW(orderHistory[customer])),""),ROWS($A$15:A28)+$B$3))),IF($D$15="",INDEX(orderHistory[inv_amount],SMALL(IF(ISNUMBER(MATCH(orderHistory[customer],$D$9,0)*MATCH(orderHistory[order_type],$D$13,0)),MATCH(ROW(orderHistory[customer]),ROW(orderHistory[customer])),""),ROWS($A$15:A28)+$B$3)),INDEX(orderHistory[inv_amount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inv_amount],SMALL(IF(ISNUMBER(MATCH(orderHistory[customer],$D$9,0)*MATCH(orderHistory[status],$D$11,0)),MATCH(ROW(orderHistory[customer]),ROW(orderHistory[customer])),""),ROWS($A$15:A28)+$B$3)),INDEX(orderHistory[inv_amount],SMALL(IF(ISNUMBER(MATCH(orderHistory[customer],$D$9,0)*MATCH(orderHistory[status],$D$11,0)*MATCH(YEAR(orderHistory[inv_amount]),$D$15,0)),MATCH(ROW(orderHistory[customer]),ROW(orderHistory[customer])),""),ROWS($A$15:A28)+$B$3))),IF($D$15="",INDEX(orderHistory[inv_amount],SMALL(IF(ISNUMBER(MATCH(orderHistory[customer],$D$9,0)*MATCH(orderHistory[status],$D$11,0)*MATCH(orderHistory[order_type],$D$13,0)),MATCH(ROW(orderHistory[customer]),ROW(orderHistory[customer])),""),ROWS($A$15:A28)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12108</v>
      </c>
      <c r="S23" s="465" t="str">
        <f t="array" ref="S23">IFERROR(IF($D$9="",IF($D$11="",IF($D$13="",IF($D$15="",INDEX(orderHistory[lock_goods],SMALL(MATCH(ROW(orderHistory[customer]),ROW(orderHistory[customer])),ROWS($A$15:A28)+$B$3)),INDEX(orderHistory[lock_goods],SMALL(IF(ISNUMBER(MATCH(YEAR(orderHistory[invoice_date]),$D$15,0)),MATCH(ROW(orderHistory[customer]),ROW(orderHistory[customer])),""),ROWS($A$15:A28)+$B$3))),IF($D$15="",INDEX(orderHistory[lock_goods],SMALL(IF(ISNUMBER(MATCH(orderHistory[order_type],$D$13,0)),MATCH(ROW(orderHistory[customer]),ROW(orderHistory[customer])),""),ROWS($A$15:A28)+$B$3)),INDEX(orderHistory[lock_goods],SMALL(IF(ISNUMBER(MATCH(orderHistory[order_type],$D$13,0)*MATCH(YEAR(orderHistory[invoice_date]),$D$15,0)),MATCH(ROW(orderHistory[customer]),ROW(orderHistory[customer])),""),ROWS($A$15:A28)+$B$3)))),IF($D$13="",IF($D$15="",INDEX(orderHistory[lock_goods],SMALL(IF(ISNUMBER(MATCH(orderHistory[status],$D$11,0)),MATCH(ROW(orderHistory[customer]),ROW(orderHistory[customer])),""),ROWS($A$15:A28)+$B$3)),INDEX(orderHistory[lock_goods],SMALL(IF(ISNUMBER(MATCH(orderHistory[status],$D$11,0)*MATCH(YEAR(orderHistory[invoice_date]),$D$15,0)),MATCH(ROW(orderHistory[customer]),ROW(orderHistory[customer])),""),ROWS($A$15:A28)+$B$3))),IF($D$15="",INDEX(orderHistory[lock_goods],SMALL(IF(ISNUMBER(MATCH(orderHistory[status],$D$11,0)*MATCH(orderHistory[order_type],$D$13,0)),MATCH(ROW(orderHistory[customer]),ROW(orderHistory[customer])),""),ROWS($A$15:A28)+$B$3)),INDEX(orderHistory[lock_goods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lock_goods],SMALL(IF(ISNUMBER(MATCH(orderHistory[customer],$D$9,0)),MATCH(ROW(orderHistory[customer]),ROW(orderHistory[customer])),""),ROWS($A$15:A28)+$B$3)),INDEX(orderHistory[lock_goods],SMALL(IF(ISNUMBER(MATCH(orderHistory[customer],$D$9,0)*MATCH(YEAR(orderHistory[invoice_date]),$D$15,0)),MATCH(ROW(orderHistory[customer]),ROW(orderHistory[customer])),""),ROWS($A$15:A28)+$B$3))),IF($D$15="",INDEX(orderHistory[lock_goods],SMALL(IF(ISNUMBER(MATCH(orderHistory[customer],$D$9,0)*MATCH(orderHistory[order_type],$D$13,0)),MATCH(ROW(orderHistory[customer]),ROW(orderHistory[customer])),""),ROWS($A$15:A28)+$B$3)),INDEX(orderHistory[lock_goods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lock_goods],SMALL(IF(ISNUMBER(MATCH(orderHistory[customer],$D$9,0)*MATCH(orderHistory[status],$D$11,0)),MATCH(ROW(orderHistory[customer]),ROW(orderHistory[customer])),""),ROWS($A$15:A28)+$B$3)),INDEX(orderHistory[lock_goods],SMALL(IF(ISNUMBER(MATCH(orderHistory[customer],$D$9,0)*MATCH(orderHistory[status],$D$11,0)*MATCH(YEAR(orderHistory[payed]),$D$15,0)),MATCH(ROW(orderHistory[customer]),ROW(orderHistory[customer])),""),ROWS($A$15:A28)+$B$3))),IF($D$15="",INDEX(orderHistory[lock_goods],SMALL(IF(ISNUMBER(MATCH(orderHistory[customer],$D$9,0)*MATCH(orderHistory[status],$D$11,0)*MATCH(orderHistory[order_type],$D$13,0)),MATCH(ROW(orderHistory[customer]),ROW(orderHistory[customer])),""),ROWS($A$15:A28)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GOODS SENT</v>
      </c>
      <c r="T23" s="388" t="b">
        <f t="array" ref="T23">IFERROR(IF($D$9="",IF($D$11="",IF($D$13="",IF($D$15="",INDEX(orderHistory[payed],SMALL(MATCH(ROW(orderHistory[customer]),ROW(orderHistory[customer])),ROWS($A$15:A28)+$B$3)),INDEX(orderHistory[payed],SMALL(IF(ISNUMBER(MATCH(YEAR(orderHistory[invoice_date]),$D$15,0)),MATCH(ROW(orderHistory[customer]),ROW(orderHistory[customer])),""),ROWS($A$15:A28)+$B$3))),IF($D$15="",INDEX(orderHistory[payed],SMALL(IF(ISNUMBER(MATCH(orderHistory[order_type],$D$13,0)),MATCH(ROW(orderHistory[customer]),ROW(orderHistory[customer])),""),ROWS($A$15:A28)+$B$3)),INDEX(orderHistory[payed],SMALL(IF(ISNUMBER(MATCH(orderHistory[order_type],$D$13,0)*MATCH(YEAR(orderHistory[invoice_date]),$D$15,0)),MATCH(ROW(orderHistory[customer]),ROW(orderHistory[customer])),""),ROWS($A$15:A28)+$B$3)))),IF($D$13="",IF($D$15="",INDEX(orderHistory[payed],SMALL(IF(ISNUMBER(MATCH(orderHistory[status],$D$11,0)),MATCH(ROW(orderHistory[customer]),ROW(orderHistory[customer])),""),ROWS($A$15:A28)+$B$3)),INDEX(orderHistory[payed],SMALL(IF(ISNUMBER(MATCH(orderHistory[status],$D$11,0)*MATCH(YEAR(orderHistory[invoice_date]),$D$15,0)),MATCH(ROW(orderHistory[customer]),ROW(orderHistory[customer])),""),ROWS($A$15:A28)+$B$3))),IF($D$15="",INDEX(orderHistory[payed],SMALL(IF(ISNUMBER(MATCH(orderHistory[status],$D$11,0)*MATCH(orderHistory[order_type],$D$13,0)),MATCH(ROW(orderHistory[customer]),ROW(orderHistory[customer])),""),ROWS($A$15:A28)+$B$3)),INDEX(orderHistory[payed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payed],SMALL(IF(ISNUMBER(MATCH(orderHistory[customer],$D$9,0)),MATCH(ROW(orderHistory[customer]),ROW(orderHistory[customer])),""),ROWS($A$15:A28)+$B$3)),INDEX(orderHistory[payed],SMALL(IF(ISNUMBER(MATCH(orderHistory[customer],$D$9,0)*MATCH(YEAR(orderHistory[invoice_date]),$D$15,0)),MATCH(ROW(orderHistory[customer]),ROW(orderHistory[customer])),""),ROWS($A$15:A28)+$B$3))),IF($D$15="",INDEX(orderHistory[payed],SMALL(IF(ISNUMBER(MATCH(orderHistory[customer],$D$9,0)*MATCH(orderHistory[order_type],$D$13,0)),MATCH(ROW(orderHistory[customer]),ROW(orderHistory[customer])),""),ROWS($A$15:A28)+$B$3)),INDEX(orderHistory[payed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payed],SMALL(IF(ISNUMBER(MATCH(orderHistory[customer],$D$9,0)*MATCH(orderHistory[status],$D$11,0)),MATCH(ROW(orderHistory[customer]),ROW(orderHistory[customer])),""),ROWS($A$15:A28)+$B$3)),INDEX(orderHistory[payed],SMALL(IF(ISNUMBER(MATCH(orderHistory[customer],$D$9,0)*MATCH(orderHistory[status],$D$11,0)*MATCH(YEAR(orderHistory[payed]),$D$15,0)),MATCH(ROW(orderHistory[customer]),ROW(orderHistory[customer])),""),ROWS($A$15:A28)+$B$3))),IF($D$15="",INDEX(orderHistory[payed],SMALL(IF(ISNUMBER(MATCH(orderHistory[customer],$D$9,0)*MATCH(orderHistory[status],$D$11,0)*MATCH(orderHistory[order_type],$D$13,0)),MATCH(ROW(orderHistory[customer]),ROW(orderHistory[customer])),""),ROWS($A$15:A28)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1</v>
      </c>
      <c r="U23" s="383" t="str">
        <f t="array" ref="U23">IFERROR(IF($D$9="",IF($D$11="",IF($D$13="",IF($D$15="",INDEX(orderHistory[shipping_method],SMALL(MATCH(ROW(orderHistory[customer]),ROW(orderHistory[customer])),ROWS($A$15:A28)+$B$3)),INDEX(orderHistory[shipping_method],SMALL(IF(ISNUMBER(MATCH(YEAR(orderHistory[invoice_date]),$D$15,0)),MATCH(ROW(orderHistory[customer]),ROW(orderHistory[customer])),""),ROWS($A$15:A28)+$B$3))),IF($D$15="",INDEX(orderHistory[shipping_method],SMALL(IF(ISNUMBER(MATCH(orderHistory[order_type],$D$13,0)),MATCH(ROW(orderHistory[customer]),ROW(orderHistory[customer])),""),ROWS($A$15:A28)+$B$3)),INDEX(orderHistory[shipping_method],SMALL(IF(ISNUMBER(MATCH(orderHistory[order_type],$D$13,0)*MATCH(YEAR(orderHistory[invoice_date]),$D$15,0)),MATCH(ROW(orderHistory[customer]),ROW(orderHistory[customer])),""),ROWS($A$15:A28)+$B$3)))),IF($D$13="",IF($D$15="",INDEX(orderHistory[shipping_method],SMALL(IF(ISNUMBER(MATCH(orderHistory[status],$D$11,0)),MATCH(ROW(orderHistory[customer]),ROW(orderHistory[customer])),""),ROWS($A$15:A28)+$B$3)),INDEX(orderHistory[shipping_method],SMALL(IF(ISNUMBER(MATCH(orderHistory[status],$D$11,0)*MATCH(YEAR(orderHistory[invoice_date]),$D$15,0)),MATCH(ROW(orderHistory[customer]),ROW(orderHistory[customer])),""),ROWS($A$15:A28)+$B$3))),IF($D$15="",INDEX(orderHistory[shipping_method],SMALL(IF(ISNUMBER(MATCH(orderHistory[status],$D$11,0)*MATCH(orderHistory[order_type],$D$13,0)),MATCH(ROW(orderHistory[customer]),ROW(orderHistory[customer])),""),ROWS($A$15:A28)+$B$3)),INDEX(orderHistory[shipping_method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shipping_method],SMALL(IF(ISNUMBER(MATCH(orderHistory[customer],$D$9,0)),MATCH(ROW(orderHistory[customer]),ROW(orderHistory[customer])),""),ROWS($A$15:A28)+$B$3)),INDEX(orderHistory[shipping_method],SMALL(IF(ISNUMBER(MATCH(orderHistory[customer],$D$9,0)*MATCH(YEAR(orderHistory[invoice_date]),$D$15,0)),MATCH(ROW(orderHistory[customer]),ROW(orderHistory[customer])),""),ROWS($A$15:A28)+$B$3))),IF($D$15="",INDEX(orderHistory[shipping_method],SMALL(IF(ISNUMBER(MATCH(orderHistory[customer],$D$9,0)*MATCH(orderHistory[order_type],$D$13,0)),MATCH(ROW(orderHistory[customer]),ROW(orderHistory[customer])),""),ROWS($A$15:A28)+$B$3)),INDEX(orderHistory[shipping_method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shipping_method],SMALL(IF(ISNUMBER(MATCH(orderHistory[customer],$D$9,0)*MATCH(orderHistory[status],$D$11,0)),MATCH(ROW(orderHistory[customer]),ROW(orderHistory[customer])),""),ROWS($A$15:A28)+$B$3)),INDEX(orderHistory[shipping_method],SMALL(IF(ISNUMBER(MATCH(orderHistory[customer],$D$9,0)*MATCH(orderHistory[status],$D$11,0)*MATCH(YEAR(orderHistory[shipping_method]),$D$15,0)),MATCH(ROW(orderHistory[customer]),ROW(orderHistory[customer])),""),ROWS($A$15:A28)+$B$3))),IF($D$15="",INDEX(orderHistory[shipping_method],SMALL(IF(ISNUMBER(MATCH(orderHistory[customer],$D$9,0)*MATCH(orderHistory[status],$D$11,0)*MATCH(orderHistory[order_type],$D$13,0)),MATCH(ROW(orderHistory[customer]),ROW(orderHistory[customer])),""),ROWS($A$15:A28)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BY ROAD</v>
      </c>
      <c r="V23" s="388" t="str">
        <f t="array" ref="V23">IFERROR(IF($D$9="",IF($D$11="",IF($D$13="",IF($D$15="",INDEX(orderHistory[status],SMALL(MATCH(ROW(orderHistory[customer]),ROW(orderHistory[customer])),ROWS($A$15:A28)+$B$3)),INDEX(orderHistory[status],SMALL(IF(ISNUMBER(MATCH(YEAR(orderHistory[invoice_date]),$D$15,0)),MATCH(ROW(orderHistory[customer]),ROW(orderHistory[customer])),""),ROWS($A$15:A28)+$B$3))),IF($D$15="",INDEX(orderHistory[status],SMALL(IF(ISNUMBER(MATCH(orderHistory[order_type],$D$13,0)),MATCH(ROW(orderHistory[customer]),ROW(orderHistory[customer])),""),ROWS($A$15:A28)+$B$3)),INDEX(orderHistory[status],SMALL(IF(ISNUMBER(MATCH(orderHistory[order_type],$D$13,0)*MATCH(YEAR(orderHistory[invoice_date]),$D$15,0)),MATCH(ROW(orderHistory[customer]),ROW(orderHistory[customer])),""),ROWS($A$15:A28)+$B$3)))),IF($D$13="",IF($D$15="",INDEX(orderHistory[status],SMALL(IF(ISNUMBER(MATCH(orderHistory[status],$D$11,0)),MATCH(ROW(orderHistory[customer]),ROW(orderHistory[customer])),""),ROWS($A$15:A28)+$B$3)),INDEX(orderHistory[status],SMALL(IF(ISNUMBER(MATCH(orderHistory[status],$D$11,0)*MATCH(YEAR(orderHistory[invoice_date]),$D$15,0)),MATCH(ROW(orderHistory[customer]),ROW(orderHistory[customer])),""),ROWS($A$15:A28)+$B$3))),IF($D$15="",INDEX(orderHistory[status],SMALL(IF(ISNUMBER(MATCH(orderHistory[status],$D$11,0)*MATCH(orderHistory[order_type],$D$13,0)),MATCH(ROW(orderHistory[customer]),ROW(orderHistory[customer])),""),ROWS($A$15:A28)+$B$3)),INDEX(orderHistory[status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status],SMALL(IF(ISNUMBER(MATCH(orderHistory[customer],$D$9,0)),MATCH(ROW(orderHistory[customer]),ROW(orderHistory[customer])),""),ROWS($A$15:A28)+$B$3)),INDEX(orderHistory[status],SMALL(IF(ISNUMBER(MATCH(orderHistory[customer],$D$9,0)*MATCH(YEAR(orderHistory[invoice_date]),$D$15,0)),MATCH(ROW(orderHistory[customer]),ROW(orderHistory[customer])),""),ROWS($A$15:A28)+$B$3))),IF($D$15="",INDEX(orderHistory[status],SMALL(IF(ISNUMBER(MATCH(orderHistory[customer],$D$9,0)*MATCH(orderHistory[order_type],$D$13,0)),MATCH(ROW(orderHistory[customer]),ROW(orderHistory[customer])),""),ROWS($A$15:A28)+$B$3)),INDEX(orderHistory[status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status],SMALL(IF(ISNUMBER(MATCH(orderHistory[customer],$D$9,0)*MATCH(orderHistory[status],$D$11,0)),MATCH(ROW(orderHistory[customer]),ROW(orderHistory[customer])),""),ROWS($A$15:A28)+$B$3)),INDEX(orderHistory[status],SMALL(IF(ISNUMBER(MATCH(orderHistory[customer],$D$9,0)*MATCH(orderHistory[status],$D$11,0)*MATCH(YEAR(orderHistory[status]),$D$15,0)),MATCH(ROW(orderHistory[customer]),ROW(orderHistory[customer])),""),ROWS($A$15:A28)+$B$3))),IF($D$15="",INDEX(orderHistory[status],SMALL(IF(ISNUMBER(MATCH(orderHistory[customer],$D$9,0)*MATCH(orderHistory[status],$D$11,0)*MATCH(orderHistory[order_type],$D$13,0)),MATCH(ROW(orderHistory[customer]),ROW(orderHistory[customer])),""),ROWS($A$15:A28)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SHIPPED</v>
      </c>
      <c r="W23" s="547" t="str">
        <f t="array" ref="W23">IFERROR(IF($D$9="",IF($D$11="",IF($D$13="",IF($D$15="",INDEX(orderHistory[custom_docs],SMALL(MATCH(ROW(orderHistory[customer]),ROW(orderHistory[customer])),ROWS($A$15:A28)+$B$3)),INDEX(orderHistory[custom_docs],SMALL(IF(ISNUMBER(MATCH(YEAR(orderHistory[invoice_date]),$D$15,0)),MATCH(ROW(orderHistory[customer]),ROW(orderHistory[customer])),""),ROWS($A$15:A28)+$B$3))),IF($D$15="",INDEX(orderHistory[custom_docs],SMALL(IF(ISNUMBER(MATCH(orderHistory[order_type],$D$13,0)),MATCH(ROW(orderHistory[customer]),ROW(orderHistory[customer])),""),ROWS($A$15:A28)+$B$3)),INDEX(orderHistory[custom_docs],SMALL(IF(ISNUMBER(MATCH(orderHistory[order_type],$D$13,0)*MATCH(YEAR(orderHistory[invoice_date]),$D$15,0)),MATCH(ROW(orderHistory[customer]),ROW(orderHistory[customer])),""),ROWS($A$15:A28)+$B$3)))),IF($D$13="",IF($D$15="",INDEX(orderHistory[custom_docs],SMALL(IF(ISNUMBER(MATCH(orderHistory[status],$D$11,0)),MATCH(ROW(orderHistory[customer]),ROW(orderHistory[customer])),""),ROWS($A$15:A28)+$B$3)),INDEX(orderHistory[custom_docs],SMALL(IF(ISNUMBER(MATCH(orderHistory[status],$D$11,0)*MATCH(YEAR(orderHistory[invoice_date]),$D$15,0)),MATCH(ROW(orderHistory[customer]),ROW(orderHistory[customer])),""),ROWS($A$15:A28)+$B$3))),IF($D$15="",INDEX(orderHistory[custom_docs],SMALL(IF(ISNUMBER(MATCH(orderHistory[status],$D$11,0)*MATCH(orderHistory[order_type],$D$13,0)),MATCH(ROW(orderHistory[customer]),ROW(orderHistory[customer])),""),ROWS($A$15:A28)+$B$3)),INDEX(orderHistory[custom_docs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custom_docs],SMALL(IF(ISNUMBER(MATCH(orderHistory[customer],$D$9,0)),MATCH(ROW(orderHistory[customer]),ROW(orderHistory[customer])),""),ROWS($A$15:A28)+$B$3)),INDEX(orderHistory[custom_docs],SMALL(IF(ISNUMBER(MATCH(orderHistory[customer],$D$9,0)*MATCH(YEAR(orderHistory[invoice_date]),$D$15,0)),MATCH(ROW(orderHistory[customer]),ROW(orderHistory[customer])),""),ROWS($A$15:A28)+$B$3))),IF($D$15="",INDEX(orderHistory[custom_docs],SMALL(IF(ISNUMBER(MATCH(orderHistory[customer],$D$9,0)*MATCH(orderHistory[order_type],$D$13,0)),MATCH(ROW(orderHistory[customer]),ROW(orderHistory[customer])),""),ROWS($A$15:A28)+$B$3)),INDEX(orderHistory[custom_docs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custom_docs],SMALL(IF(ISNUMBER(MATCH(orderHistory[customer],$D$9,0)*MATCH(orderHistory[status],$D$11,0)),MATCH(ROW(orderHistory[customer]),ROW(orderHistory[customer])),""),ROWS($A$15:A28)+$B$3)),INDEX(orderHistory[custom_docs],SMALL(IF(ISNUMBER(MATCH(orderHistory[customer],$D$9,0)*MATCH(orderHistory[status],$D$11,0)*MATCH(YEAR(orderHistory[status]),$D$15,0)),MATCH(ROW(orderHistory[customer]),ROW(orderHistory[customer])),""),ROWS($A$15:A28)+$B$3))),IF($D$15="",INDEX(orderHistory[custom_docs],SMALL(IF(ISNUMBER(MATCH(orderHistory[customer],$D$9,0)*MATCH(orderHistory[status],$D$11,0)*MATCH(orderHistory[order_type],$D$13,0)),MATCH(ROW(orderHistory[customer]),ROW(orderHistory[customer])),""),ROWS($A$15:A28)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OK</v>
      </c>
      <c r="AQ23" s="335"/>
      <c r="AR23" s="336"/>
      <c r="AS23" s="336"/>
      <c r="AT23" s="336"/>
      <c r="AU23" s="336"/>
      <c r="AW23" s="306"/>
      <c r="AX23" s="273"/>
      <c r="BD23" s="876"/>
      <c r="BE23" s="877"/>
      <c r="BF23" s="877"/>
      <c r="BG23" s="877"/>
      <c r="BH23" s="878"/>
      <c r="BJ23" s="271"/>
      <c r="BK23" s="296"/>
      <c r="BL23" s="297"/>
      <c r="BM23" s="298"/>
      <c r="BN23" s="297"/>
      <c r="BO23" s="298"/>
      <c r="BX23" s="364"/>
      <c r="BZ23" s="628"/>
      <c r="CA23" s="401" t="str">
        <f>IFERROR(IF(BZ23="","",INDEX(bhpc_data[description],MATCH(BZ23,bhpc_data[sku],0))),"")</f>
        <v/>
      </c>
      <c r="CB23" s="403"/>
      <c r="CC23" s="887"/>
      <c r="CD23" s="409"/>
      <c r="CE23" s="890"/>
      <c r="CF23" s="404"/>
      <c r="CG23" s="405" t="str">
        <f>IFERROR(ROUNDUP(CB23/INDEX(bhpc_data[units_per_carton],MATCH(BZ23,bhpc_data[sku],0)),0),"")</f>
        <v/>
      </c>
      <c r="CH23" s="406" t="str">
        <f>IFERROR(ROUNDUP(CD23/INDEX(bhpc_data[units_per_carton],MATCH(BZ23,bhpc_data[sku],0)),0),"")</f>
        <v/>
      </c>
      <c r="CI23" s="406" t="str">
        <f>IFERROR(ROUNDUP(CF23/INDEX(bhpc_data[units_per_carton],MATCH(BZ23,bhpc_data[sku])),0),"")</f>
        <v/>
      </c>
      <c r="CJ23" s="406" t="str">
        <f>IFERROR(((CB23+CD23+CF23)/INDEX(bhpc_data[units_per_carton],MATCH(BZ23,bhpc_data[sku],0)))*INDEX(bhpc_data[net_weight],MATCH(BZ23,bhpc_data[sku],0)),"")</f>
        <v/>
      </c>
      <c r="CK23" s="406" t="str">
        <f>IFERROR(((CB23+CD23+CF23)/INDEX(bhpc_data[units_per_carton],MATCH(BZ23,bhpc_data[sku],0)))*INDEX(bhpc_data[gross_weight],MATCH(BZ23,bhpc_data[sku],0)),"")</f>
        <v/>
      </c>
      <c r="CL23" s="602" t="str">
        <f>IFERROR((CB23+CD23+CF23)/INDEX(bhpc_data[units_per_carton],MATCH(BZ23,bhpc_data[sku],0))*INDEX(bhpc_data[length],MATCH(BZ23,bhpc_data[sku],0))*INDEX(bhpc_data[width],MATCH(BZ23,bhpc_data[sku],0))*INDEX(bhpc_data[height],MATCH(BZ23,bhpc_data[sku],0))/1000000000,"")</f>
        <v/>
      </c>
      <c r="CM23" s="407" t="str">
        <f>IFERROR(INDEX(bhpc_data[category],MATCH(BZ23,bhpc_data[sku],0)),"")</f>
        <v/>
      </c>
      <c r="CN23" s="407" t="str">
        <f>IFERROR(INDEX(bhpc_data[size],MATCH(BZ23,bhpc_data[sku],0)),"")</f>
        <v/>
      </c>
      <c r="CO23" s="408" t="str">
        <f>IFERROR(INDEX(bhpc_data[hs_code],MATCH(BZ23,bhpc_data[sku],0)),"")</f>
        <v/>
      </c>
      <c r="CP23" s="489" t="str">
        <f>IFERROR(INDEX(bhpc_data[sku_geko],MATCH(BZ23,bhpc_data[sku],0)),"")</f>
        <v/>
      </c>
      <c r="CQ23" s="404"/>
      <c r="CR23" s="517" t="str">
        <f>IFERROR(IF(BZ23="","",IF($BX$15="SALE",INDEX(inventory[COSTO UNITARIO],MATCH(BZ23,inventory[SKU],0)),IF($BX$15="SAMPLING",INDEX(inventory[COSTO UNITARIO],MATCH(BZ23,inventory[SKU],0)),""))),"")</f>
        <v/>
      </c>
      <c r="CS23" s="517" t="str">
        <f t="shared" si="5"/>
        <v/>
      </c>
      <c r="CT23" s="896" t="str">
        <f t="shared" si="6"/>
        <v/>
      </c>
      <c r="CU23" s="469" t="str">
        <f t="shared" si="0"/>
        <v/>
      </c>
      <c r="CW23" s="80"/>
      <c r="CX23" s="76"/>
      <c r="CY23" s="76"/>
      <c r="CZ23" s="432"/>
      <c r="DA23" s="432"/>
      <c r="DB23" s="77"/>
      <c r="DH23" s="215"/>
      <c r="EE23" s="439" t="str" cm="1">
        <f t="array" ref="EE23">IFERROR(IF($EC$9="",IF($EC$11="",IF($EC$13="",INDEX(bhpc_data[sku],SMALL(MATCH(ROW(bhpc_data[sku]),ROW(bhpc_data[sku])),ROWS($A$15:A28)+$B$3)),INDEX(bhpc_data[sku],SMALL(IF(ISNUMBER(MATCH(bhpc_data[size],$EC$13,0)),MATCH(ROW(bhpc_data[sku]),ROW(bhpc_data[sku])),""),ROWS($A$15:A28)+$B$3))),IF($EC$13="",INDEX(bhpc_data[sku],SMALL(IF(ISNUMBER(MATCH(bhpc_data[sex],$EC$11,0)),MATCH(ROW(bhpc_data[sku]),ROW(bhpc_data[sku])),""),ROWS($A$15:A28)+$B$3)),INDEX(bhpc_data[sku],SMALL(IF(ISNUMBER(MATCH(bhpc_data[sex],$EC$11,0)*MATCH(bhpc_data[size],$EC$13,0)),MATCH(ROW(bhpc_data[sku]),ROW(bhpc_data[sku])),""),ROWS($A$15:A28)+$B$3)))),IF($EC$11="",IF($EC$13="",INDEX(bhpc_data[sku],SMALL(IF(ISNUMBER(MATCH(bhpc_data[category],$EC$9,0)),MATCH(ROW(bhpc_data[sku]),ROW(bhpc_data[sku])),""),ROWS($A$15:A28)+$B$3)),INDEX(bhpc_data[sku],SMALL(IF(ISNUMBER(MATCH(bhpc_data[category],$EC$9,0)*MATCH(bhpc_data[size],$EC$13,0)),MATCH(ROW(bhpc_data[sku]),ROW(bhpc_data[sku])),""),ROWS($A$15:A28)+$B$3))),IF($EC$13="",INDEX(bhpc_data[sku],SMALL(IF(ISNUMBER(MATCH(bhpc_data[category],$EC$9,0)*MATCH(bhpc_data[sex],$EC$11,0)),MATCH(ROW(bhpc_data[sku]),ROW(bhpc_data[sku])),""),ROWS($A$15:A28)+$B$3)),INDEX(bhpc_data[sku],SMALL(IF(ISNUMBER(MATCH(bhpc_data[category],$EC$9,0)*MATCH(bhpc_data[sex],$EC$11,0)*MATCH(bhpc_data[size],$EC$13,0)),MATCH(ROW(bhpc_data[sku]),ROW(bhpc_data[sku])),""),ROWS($A$15:A28)+$B$3))))),"")</f>
        <v>P05030</v>
      </c>
      <c r="EF23" s="440" t="str" cm="1">
        <f t="array" ref="EF23">IFERROR(IF($EC$9="",IF($EC$11="",IF($EC$13="",INDEX(bhpc_data[description],SMALL(MATCH(ROW(bhpc_data[sku]),ROW(bhpc_data[sku])),ROWS($A$15:A28)+$B$3)),INDEX(bhpc_data[description],SMALL(IF(ISNUMBER(MATCH(bhpc_data[size],$EC$13,0)),MATCH(ROW(bhpc_data[sku]),ROW(bhpc_data[sku])),""),ROWS($A$15:A28)+$B$3))),IF($EC$13="",INDEX(bhpc_data[description],SMALL(IF(ISNUMBER(MATCH(bhpc_data[sex],$EC$11,0)),MATCH(ROW(bhpc_data[sku]),ROW(bhpc_data[sku])),""),ROWS($A$15:A28)+$B$3)),INDEX(bhpc_data[description],SMALL(IF(ISNUMBER(MATCH(bhpc_data[sex],$EC$11,0)*MATCH(bhpc_data[size],$EC$13,0)),MATCH(ROW(bhpc_data[sku]),ROW(bhpc_data[sku])),""),ROWS($A$15:A28)+$B$3)))),IF($EC$11="",IF($EC$13="",INDEX(bhpc_data[description],SMALL(IF(ISNUMBER(MATCH(bhpc_data[category],$EC$9,0)),MATCH(ROW(bhpc_data[sku]),ROW(bhpc_data[sku])),""),ROWS($A$15:A28)+$B$3)),INDEX(bhpc_data[description],SMALL(IF(ISNUMBER(MATCH(bhpc_data[category],$EC$9,0)*MATCH(bhpc_data[size],$EC$13,0)),MATCH(ROW(bhpc_data[sku]),ROW(bhpc_data[sku])),""),ROWS($A$15:A28)+$B$3))),IF($EC$13="",INDEX(bhpc_data[description],SMALL(IF(ISNUMBER(MATCH(bhpc_data[category],$EC$9,0)*MATCH(bhpc_data[sex],$EC$11,0)),MATCH(ROW(bhpc_data[sku]),ROW(bhpc_data[sku])),""),ROWS($A$15:A28)+$B$3)),INDEX(bhpc_data[description],SMALL(IF(ISNUMBER(MATCH(bhpc_data[category],$EC$9,0)*MATCH(bhpc_data[sex],$EC$11,0)*MATCH(bhpc_data[size],$EC$13,0)),MATCH(ROW(bhpc_data[sku]),ROW(bhpc_data[sku])),""),ROWS($A$15:A28)+$B$3))))),"")</f>
        <v>BHPC WOMEN 8 EDP 50ML</v>
      </c>
      <c r="EG23" s="441">
        <f>IFERROR(IF('BHPC MANAGER'!$EE23="","",INDEX(inventory[ESISTENZA],MATCH('BHPC MANAGER'!$EE23,inventory[SKU],0))),0)</f>
        <v>0</v>
      </c>
      <c r="EH23" s="442">
        <v>0</v>
      </c>
      <c r="EI23" s="442">
        <f t="shared" si="1"/>
        <v>0</v>
      </c>
      <c r="EJ23" s="443">
        <v>0</v>
      </c>
      <c r="EK23" s="444">
        <f t="shared" si="2"/>
        <v>0</v>
      </c>
      <c r="FF23" s="263"/>
      <c r="FG23" s="263"/>
      <c r="FH23" s="263"/>
      <c r="FI23" s="263"/>
      <c r="FJ23" s="263"/>
      <c r="FK23" s="263"/>
      <c r="FL23" s="263"/>
      <c r="FM23" s="263"/>
      <c r="FN23" s="263"/>
      <c r="FO23" s="263"/>
      <c r="FP23" s="263"/>
      <c r="FQ23" s="263"/>
      <c r="FR23" s="263"/>
      <c r="FS23" s="263"/>
      <c r="FT23" s="263"/>
      <c r="FU23" s="263"/>
      <c r="FV23" s="263"/>
      <c r="FW23" s="263"/>
      <c r="FX23" s="263"/>
      <c r="FY23" s="263"/>
      <c r="FZ23" s="263"/>
      <c r="GA23" s="263"/>
      <c r="GB23" s="263"/>
      <c r="GC23" s="263"/>
      <c r="GD23" s="263"/>
      <c r="GE23" s="263"/>
      <c r="GF23" s="263"/>
      <c r="GG23" s="263"/>
      <c r="GH23" s="263"/>
      <c r="GI23" s="263"/>
      <c r="GJ23" s="263"/>
      <c r="GK23" s="263"/>
      <c r="GL23" s="263"/>
      <c r="GM23" s="263"/>
      <c r="GN23" s="263"/>
      <c r="GO23" s="263"/>
      <c r="GP23" s="263"/>
      <c r="GQ23" s="263"/>
      <c r="GR23" s="263"/>
      <c r="GS23" s="263"/>
      <c r="GT23" s="263"/>
      <c r="GU23" s="263"/>
      <c r="GV23" s="263"/>
      <c r="GW23" s="263"/>
      <c r="GX23" s="263"/>
      <c r="GY23" s="263"/>
      <c r="GZ23" s="263"/>
      <c r="HA23" s="263"/>
      <c r="HB23" s="263"/>
      <c r="HC23" s="263"/>
      <c r="HD23" s="263"/>
      <c r="HE23" s="263"/>
      <c r="HF23" s="263"/>
      <c r="HG23" s="263"/>
      <c r="HH23" s="263"/>
      <c r="HI23" s="263"/>
      <c r="HJ23" s="263"/>
      <c r="HK23" s="263"/>
      <c r="HL23" s="263"/>
      <c r="HM23" s="263"/>
      <c r="HN23" s="263"/>
      <c r="HO23" s="263"/>
      <c r="HP23" s="263"/>
      <c r="HQ23" s="263"/>
      <c r="HR23" s="263"/>
      <c r="HS23" s="263"/>
      <c r="HT23" s="263"/>
    </row>
    <row r="24" spans="1:228" ht="15" customHeight="1" thickBot="1" x14ac:dyDescent="0.4">
      <c r="D24" s="525"/>
      <c r="F24" s="86"/>
      <c r="G24" s="851" t="str">
        <f>IFERROR(INDEX(clientData[hq_address1],MATCH($B$6,clientData[cod_cliente],0)),"")</f>
        <v>3RD FLOOR WEST, LANCHESTER</v>
      </c>
      <c r="H24" s="852"/>
      <c r="I24" s="853"/>
      <c r="J24" s="77"/>
      <c r="L24" s="381" t="str">
        <f t="array" ref="L24">IFERROR(IF($D$9="",IF($D$11="",IF($D$13="",IF($D$15="",INDEX(orderHistory[customer],SMALL(MATCH(ROW(orderHistory[customer]),ROW(orderHistory[customer])),ROWS($A$15:A29)+$B$3)),INDEX(orderHistory[customer],SMALL(IF(ISNUMBER(MATCH(YEAR(orderHistory[invoice_date]),$D$15,0)),MATCH(ROW(orderHistory[customer]),ROW(orderHistory[customer])),""),ROWS($A$15:A29)+$B$3))),IF($D$15="",INDEX(orderHistory[customer],SMALL(IF(ISNUMBER(MATCH(orderHistory[order_type],$D$13,0)),MATCH(ROW(orderHistory[customer]),ROW(orderHistory[customer])),""),ROWS($A$15:A29)+$B$3)),INDEX(orderHistory[customer],SMALL(IF(ISNUMBER(MATCH(orderHistory[order_type],$D$13,0)*MATCH(YEAR(orderHistory[invoice_date]),$D$15,0)),MATCH(ROW(orderHistory[customer]),ROW(orderHistory[customer])),""),ROWS($A$15:A29)+$B$3)))),IF($D$13="",IF($D$15="",INDEX(orderHistory[customer],SMALL(IF(ISNUMBER(MATCH(orderHistory[status],$D$11,0)),MATCH(ROW(orderHistory[customer]),ROW(orderHistory[customer])),""),ROWS($A$15:A29)+$B$3)),INDEX(orderHistory[customer],SMALL(IF(ISNUMBER(MATCH(orderHistory[status],$D$11,0)*MATCH(YEAR(orderHistory[invoice_date]),$D$15,0)),MATCH(ROW(orderHistory[customer]),ROW(orderHistory[customer])),""),ROWS($A$15:A29)+$B$3))),IF($D$15="",INDEX(orderHistory[customer],SMALL(IF(ISNUMBER(MATCH(orderHistory[status],$D$11,0)*MATCH(orderHistory[order_type],$D$13,0)),MATCH(ROW(orderHistory[customer]),ROW(orderHistory[customer])),""),ROWS($A$15:A29)+$B$3)),INDEX(orderHistory[customer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customer],SMALL(IF(ISNUMBER(MATCH(orderHistory[customer],$D$9,0)),MATCH(ROW(orderHistory[customer]),ROW(orderHistory[customer])),""),ROWS($A$15:A29)+$B$3)),INDEX(orderHistory[customer],SMALL(IF(ISNUMBER(MATCH(orderHistory[customer],$D$9,0)*MATCH(YEAR(orderHistory[invoice_date]),$D$15,0)),MATCH(ROW(orderHistory[customer]),ROW(orderHistory[customer])),""),ROWS($A$15:A29)+$B$3))),IF($D$15="",INDEX(orderHistory[customer],SMALL(IF(ISNUMBER(MATCH(orderHistory[customer],$D$9,0)*MATCH(orderHistory[order_type],$D$13,0)),MATCH(ROW(orderHistory[customer]),ROW(orderHistory[customer])),""),ROWS($A$15:A29)+$B$3)),INDEX(orderHistory[customer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customer],SMALL(IF(ISNUMBER(MATCH(orderHistory[customer],$D$9,0)*MATCH(orderHistory[status],$D$11,0)),MATCH(ROW(orderHistory[customer]),ROW(orderHistory[customer])),""),ROWS($A$15:A29)+$B$3)),INDEX(orderHistory[customer],SMALL(IF(ISNUMBER(MATCH(orderHistory[customer],$D$9,0)*MATCH(orderHistory[status],$D$11,0)*MATCH(YEAR(orderHistory[invoice_date]),$D$15,0)),MATCH(ROW(orderHistory[customer]),ROW(orderHistory[customer])),""),ROWS($A$15:A29)+$B$3))),IF($D$15="",INDEX(orderHistory[customer],SMALL(IF(ISNUMBER(MATCH(orderHistory[customer],$D$9,0)*MATCH(orderHistory[status],$D$11,0)*MATCH(orderHistory[order_type],$D$13,0)),MATCH(ROW(orderHistory[customer]),ROW(orderHistory[customer])),""),ROWS($A$15:A29)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ILM</v>
      </c>
      <c r="M24" s="382">
        <f t="array" ref="M24">IFERROR(IF($D$9="",IF($D$11="",IF($D$13="",IF($D$15="",INDEX(orderHistory[order_no],SMALL(MATCH(ROW(orderHistory[customer]),ROW(orderHistory[customer])),ROWS($A$15:A29)+$B$3)),INDEX(orderHistory[order_no],SMALL(IF(ISNUMBER(MATCH(YEAR(orderHistory[invoice_date]),$D$15,0)),MATCH(ROW(orderHistory[customer]),ROW(orderHistory[customer])),""),ROWS($A$15:A29)+$B$3))),IF($D$15="",INDEX(orderHistory[order_no],SMALL(IF(ISNUMBER(MATCH(orderHistory[order_type],$D$13,0)),MATCH(ROW(orderHistory[customer]),ROW(orderHistory[customer])),""),ROWS($A$15:A29)+$B$3)),INDEX(orderHistory[order_no],SMALL(IF(ISNUMBER(MATCH(orderHistory[order_type],$D$13,0)*MATCH(YEAR(orderHistory[invoice_date]),$D$15,0)),MATCH(ROW(orderHistory[customer]),ROW(orderHistory[customer])),""),ROWS($A$15:A29)+$B$3)))),IF($D$13="",IF($D$15="",INDEX(orderHistory[order_no],SMALL(IF(ISNUMBER(MATCH(orderHistory[status],$D$11,0)),MATCH(ROW(orderHistory[customer]),ROW(orderHistory[customer])),""),ROWS($A$15:A29)+$B$3)),INDEX(orderHistory[order_no],SMALL(IF(ISNUMBER(MATCH(orderHistory[status],$D$11,0)*MATCH(YEAR(orderHistory[invoice_date]),$D$15,0)),MATCH(ROW(orderHistory[customer]),ROW(orderHistory[customer])),""),ROWS($A$15:A29)+$B$3))),IF($D$15="",INDEX(orderHistory[order_no],SMALL(IF(ISNUMBER(MATCH(orderHistory[status],$D$11,0)*MATCH(orderHistory[order_type],$D$13,0)),MATCH(ROW(orderHistory[customer]),ROW(orderHistory[customer])),""),ROWS($A$15:A29)+$B$3)),INDEX(orderHistory[order_no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order_no],SMALL(IF(ISNUMBER(MATCH(orderHistory[customer],$D$9,0)),MATCH(ROW(orderHistory[customer]),ROW(orderHistory[customer])),""),ROWS($A$15:A29)+$B$3)),INDEX(orderHistory[order_no],SMALL(IF(ISNUMBER(MATCH(orderHistory[customer],$D$9,0)*MATCH(YEAR(orderHistory[invoice_date]),$D$15,0)),MATCH(ROW(orderHistory[customer]),ROW(orderHistory[customer])),""),ROWS($A$15:A29)+$B$3))),IF($D$15="",INDEX(orderHistory[order_no],SMALL(IF(ISNUMBER(MATCH(orderHistory[customer],$D$9,0)*MATCH(orderHistory[order_type],$D$13,0)),MATCH(ROW(orderHistory[customer]),ROW(orderHistory[customer])),""),ROWS($A$15:A29)+$B$3)),INDEX(orderHistory[order_no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order_no],SMALL(IF(ISNUMBER(MATCH(orderHistory[customer],$D$9,0)*MATCH(orderHistory[status],$D$11,0)),MATCH(ROW(orderHistory[customer]),ROW(orderHistory[customer])),""),ROWS($A$15:A29)+$B$3)),INDEX(orderHistory[order_no],SMALL(IF(ISNUMBER(MATCH(orderHistory[customer],$D$9,0)*MATCH(orderHistory[status],$D$11,0)*MATCH(YEAR(orderHistory[invoice_date]),$D$15,0)),MATCH(ROW(orderHistory[customer]),ROW(orderHistory[customer])),""),ROWS($A$15:A29)+$B$3))),IF($D$15="",INDEX(orderHistory[order_no],SMALL(IF(ISNUMBER(MATCH(orderHistory[customer],$D$9,0)*MATCH(orderHistory[status],$D$11,0)*MATCH(orderHistory[order_type],$D$13,0)),MATCH(ROW(orderHistory[customer]),ROW(orderHistory[customer])),""),ROWS($A$15:A29)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62</v>
      </c>
      <c r="N24" s="383" t="str">
        <f t="array" ref="N24">IFERROR(IF($D$9="",IF($D$11="",IF($D$13="",IF($D$15="",INDEX(orderHistory[order_type],SMALL(MATCH(ROW(orderHistory[customer]),ROW(orderHistory[customer])),ROWS($A$15:A29)+$B$3)),INDEX(orderHistory[order_type],SMALL(IF(ISNUMBER(MATCH(YEAR(orderHistory[invoice_date]),$D$15,0)),MATCH(ROW(orderHistory[customer]),ROW(orderHistory[customer])),""),ROWS($A$15:A29)+$B$3))),IF($D$15="",INDEX(orderHistory[order_type],SMALL(IF(ISNUMBER(MATCH(orderHistory[order_type],$D$13,0)),MATCH(ROW(orderHistory[customer]),ROW(orderHistory[customer])),""),ROWS($A$15:A29)+$B$3)),INDEX(orderHistory[order_type],SMALL(IF(ISNUMBER(MATCH(orderHistory[order_type],$D$13,0)*MATCH(YEAR(orderHistory[invoice_date]),$D$15,0)),MATCH(ROW(orderHistory[customer]),ROW(orderHistory[customer])),""),ROWS($A$15:A29)+$B$3)))),IF($D$13="",IF($D$15="",INDEX(orderHistory[order_type],SMALL(IF(ISNUMBER(MATCH(orderHistory[status],$D$11,0)),MATCH(ROW(orderHistory[customer]),ROW(orderHistory[customer])),""),ROWS($A$15:A29)+$B$3)),INDEX(orderHistory[order_type],SMALL(IF(ISNUMBER(MATCH(orderHistory[status],$D$11,0)*MATCH(YEAR(orderHistory[invoice_date]),$D$15,0)),MATCH(ROW(orderHistory[customer]),ROW(orderHistory[customer])),""),ROWS($A$15:A29)+$B$3))),IF($D$15="",INDEX(orderHistory[order_type],SMALL(IF(ISNUMBER(MATCH(orderHistory[status],$D$11,0)*MATCH(orderHistory[order_type],$D$13,0)),MATCH(ROW(orderHistory[customer]),ROW(orderHistory[customer])),""),ROWS($A$15:A29)+$B$3)),INDEX(orderHistory[order_type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order_type],SMALL(IF(ISNUMBER(MATCH(orderHistory[customer],$D$9,0)),MATCH(ROW(orderHistory[customer]),ROW(orderHistory[customer])),""),ROWS($A$15:A29)+$B$3)),INDEX(orderHistory[order_type],SMALL(IF(ISNUMBER(MATCH(orderHistory[customer],$D$9,0)*MATCH(YEAR(orderHistory[invoice_date]),$D$15,0)),MATCH(ROW(orderHistory[customer]),ROW(orderHistory[customer])),""),ROWS($A$15:A29)+$B$3))),IF($D$15="",INDEX(orderHistory[order_type],SMALL(IF(ISNUMBER(MATCH(orderHistory[customer],$D$9,0)*MATCH(orderHistory[order_type],$D$13,0)),MATCH(ROW(orderHistory[customer]),ROW(orderHistory[customer])),""),ROWS($A$15:A29)+$B$3)),INDEX(orderHistory[order_type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order_type],SMALL(IF(ISNUMBER(MATCH(orderHistory[customer],$D$9,0)*MATCH(orderHistory[status],$D$11,0)),MATCH(ROW(orderHistory[customer]),ROW(orderHistory[customer])),""),ROWS($A$15:A29)+$B$3)),INDEX(orderHistory[order_type],SMALL(IF(ISNUMBER(MATCH(orderHistory[customer],$D$9,0)*MATCH(orderHistory[status],$D$11,0)*MATCH(YEAR(orderHistory[invoice_date]),$D$15,0)),MATCH(ROW(orderHistory[customer]),ROW(orderHistory[customer])),""),ROWS($A$15:A29)+$B$3))),IF($D$15="",INDEX(orderHistory[order_type],SMALL(IF(ISNUMBER(MATCH(orderHistory[customer],$D$9,0)*MATCH(orderHistory[status],$D$11,0)*MATCH(orderHistory[order_type],$D$13,0)),MATCH(ROW(orderHistory[customer]),ROW(orderHistory[customer])),""),ROWS($A$15:A29)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SALE</v>
      </c>
      <c r="O24" s="384" t="str">
        <f t="array" ref="O24">IFERROR(IF($D$9="",IF($D$11="",IF($D$13="",IF($D$15="",INDEX(orderHistory[order_date],SMALL(MATCH(ROW(orderHistory[customer]),ROW(orderHistory[customer])),ROWS($A$15:A29)+$B$3)),INDEX(orderHistory[order_date],SMALL(IF(ISNUMBER(MATCH(YEAR(orderHistory[invoice_date]),$D$15,0)),MATCH(ROW(orderHistory[customer]),ROW(orderHistory[customer])),""),ROWS($A$15:A29)+$B$3))),IF($D$15="",INDEX(orderHistory[order_date],SMALL(IF(ISNUMBER(MATCH(orderHistory[order_type],$D$13,0)),MATCH(ROW(orderHistory[customer]),ROW(orderHistory[customer])),""),ROWS($A$15:A29)+$B$3)),INDEX(orderHistory[order_date],SMALL(IF(ISNUMBER(MATCH(orderHistory[order_type],$D$13,0)*MATCH(YEAR(orderHistory[invoice_date]),$D$15,0)),MATCH(ROW(orderHistory[customer]),ROW(orderHistory[customer])),""),ROWS($A$15:A29)+$B$3)))),IF($D$13="",IF($D$15="",INDEX(orderHistory[order_date],SMALL(IF(ISNUMBER(MATCH(orderHistory[status],$D$11,0)),MATCH(ROW(orderHistory[customer]),ROW(orderHistory[customer])),""),ROWS($A$15:A29)+$B$3)),INDEX(orderHistory[order_date],SMALL(IF(ISNUMBER(MATCH(orderHistory[status],$D$11,0)*MATCH(YEAR(orderHistory[invoice_date]),$D$15,0)),MATCH(ROW(orderHistory[customer]),ROW(orderHistory[customer])),""),ROWS($A$15:A29)+$B$3))),IF($D$15="",INDEX(orderHistory[order_date],SMALL(IF(ISNUMBER(MATCH(orderHistory[status],$D$11,0)*MATCH(orderHistory[order_type],$D$13,0)),MATCH(ROW(orderHistory[customer]),ROW(orderHistory[customer])),""),ROWS($A$15:A29)+$B$3)),INDEX(orderHistory[order_date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order_date],SMALL(IF(ISNUMBER(MATCH(orderHistory[customer],$D$9,0)),MATCH(ROW(orderHistory[customer]),ROW(orderHistory[customer])),""),ROWS($A$15:A29)+$B$3)),INDEX(orderHistory[order_date],SMALL(IF(ISNUMBER(MATCH(orderHistory[customer],$D$9,0)*MATCH(YEAR(orderHistory[invoice_date]),$D$15,0)),MATCH(ROW(orderHistory[customer]),ROW(orderHistory[customer])),""),ROWS($A$15:A29)+$B$3))),IF($D$15="",INDEX(orderHistory[order_date],SMALL(IF(ISNUMBER(MATCH(orderHistory[customer],$D$9,0)*MATCH(orderHistory[order_type],$D$13,0)),MATCH(ROW(orderHistory[customer]),ROW(orderHistory[customer])),""),ROWS($A$15:A29)+$B$3)),INDEX(orderHistory[order_date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order_date],SMALL(IF(ISNUMBER(MATCH(orderHistory[customer],$D$9,0)*MATCH(orderHistory[status],$D$11,0)),MATCH(ROW(orderHistory[customer]),ROW(orderHistory[customer])),""),ROWS($A$15:A29)+$B$3)),INDEX(orderHistory[order_date],SMALL(IF(ISNUMBER(MATCH(orderHistory[customer],$D$9,0)*MATCH(orderHistory[status],$D$11,0)*MATCH(YEAR(orderHistory[invoice_date]),$D$15,0)),MATCH(ROW(orderHistory[customer]),ROW(orderHistory[customer])),""),ROWS($A$15:A29)+$B$3))),IF($D$15="",INDEX(orderHistory[order_date],SMALL(IF(ISNUMBER(MATCH(orderHistory[customer],$D$9,0)*MATCH(orderHistory[status],$D$11,0)*MATCH(orderHistory[order_type],$D$13,0)),MATCH(ROW(orderHistory[customer]),ROW(orderHistory[customer])),""),ROWS($A$15:A29)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01/07/2024</v>
      </c>
      <c r="P24" s="385" t="str">
        <f t="array" ref="P24">IFERROR(IF($D$9="",IF($D$11="",IF($D$13="",IF($D$15="",INDEX(orderHistory[invoice_no],SMALL(MATCH(ROW(orderHistory[customer]),ROW(orderHistory[customer])),ROWS($A$15:A29)+$B$3)),INDEX(orderHistory[invoice_no],SMALL(IF(ISNUMBER(MATCH(YEAR(orderHistory[invoice_date]),$D$15,0)),MATCH(ROW(orderHistory[customer]),ROW(orderHistory[customer])),""),ROWS($A$15:A29)+$B$3))),IF($D$15="",INDEX(orderHistory[invoice_no],SMALL(IF(ISNUMBER(MATCH(orderHistory[order_type],$D$13,0)),MATCH(ROW(orderHistory[customer]),ROW(orderHistory[customer])),""),ROWS($A$15:A29)+$B$3)),INDEX(orderHistory[invoice_no],SMALL(IF(ISNUMBER(MATCH(orderHistory[order_type],$D$13,0)*MATCH(YEAR(orderHistory[invoice_date]),$D$15,0)),MATCH(ROW(orderHistory[customer]),ROW(orderHistory[customer])),""),ROWS($A$15:A29)+$B$3)))),IF($D$13="",IF($D$15="",INDEX(orderHistory[invoice_no],SMALL(IF(ISNUMBER(MATCH(orderHistory[status],$D$11,0)),MATCH(ROW(orderHistory[customer]),ROW(orderHistory[customer])),""),ROWS($A$15:A29)+$B$3)),INDEX(orderHistory[invoice_no],SMALL(IF(ISNUMBER(MATCH(orderHistory[status],$D$11,0)*MATCH(YEAR(orderHistory[invoice_date]),$D$15,0)),MATCH(ROW(orderHistory[customer]),ROW(orderHistory[customer])),""),ROWS($A$15:A29)+$B$3))),IF($D$15="",INDEX(orderHistory[invoice_no],SMALL(IF(ISNUMBER(MATCH(orderHistory[status],$D$11,0)*MATCH(orderHistory[order_type],$D$13,0)),MATCH(ROW(orderHistory[customer]),ROW(orderHistory[customer])),""),ROWS($A$15:A29)+$B$3)),INDEX(orderHistory[invoice_no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invoice_no],SMALL(IF(ISNUMBER(MATCH(orderHistory[customer],$D$9,0)),MATCH(ROW(orderHistory[customer]),ROW(orderHistory[customer])),""),ROWS($A$15:A29)+$B$3)),INDEX(orderHistory[invoice_no],SMALL(IF(ISNUMBER(MATCH(orderHistory[customer],$D$9,0)*MATCH(YEAR(orderHistory[invoice_date]),$D$15,0)),MATCH(ROW(orderHistory[customer]),ROW(orderHistory[customer])),""),ROWS($A$15:A29)+$B$3))),IF($D$15="",INDEX(orderHistory[invoice_no],SMALL(IF(ISNUMBER(MATCH(orderHistory[customer],$D$9,0)*MATCH(orderHistory[order_type],$D$13,0)),MATCH(ROW(orderHistory[customer]),ROW(orderHistory[customer])),""),ROWS($A$15:A29)+$B$3)),INDEX(orderHistory[invoice_no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invoice_no],SMALL(IF(ISNUMBER(MATCH(orderHistory[customer],$D$9,0)*MATCH(orderHistory[status],$D$11,0)),MATCH(ROW(orderHistory[customer]),ROW(orderHistory[customer])),""),ROWS($A$15:A29)+$B$3)),INDEX(orderHistory[invoice_no],SMALL(IF(ISNUMBER(MATCH(orderHistory[customer],$D$9,0)*MATCH(orderHistory[status],$D$11,0)*MATCH(YEAR(orderHistory[invoice_date]),$D$15,0)),MATCH(ROW(orderHistory[customer]),ROW(orderHistory[customer])),""),ROWS($A$15:A29)+$B$3))),IF($D$15="",INDEX(orderHistory[invoice_no],SMALL(IF(ISNUMBER(MATCH(orderHistory[customer],$D$9,0)*MATCH(orderHistory[status],$D$11,0)*MATCH(orderHistory[order_type],$D$13,0)),MATCH(ROW(orderHistory[customer]),ROW(orderHistory[customer])),""),ROWS($A$15:A29)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258</v>
      </c>
      <c r="Q24" s="386">
        <f t="array" ref="Q24">IFERROR(IF($D$9="",IF($D$11="",IF($D$13="",IF($D$15="",INDEX(orderHistory[invoice_date],SMALL(MATCH(ROW(orderHistory[customer]),ROW(orderHistory[customer])),ROWS($A$15:A29)+$B$3)),INDEX(orderHistory[invoice_date],SMALL(IF(ISNUMBER(MATCH(YEAR(orderHistory[invoice_date]),$D$15,0)),MATCH(ROW(orderHistory[customer]),ROW(orderHistory[customer])),""),ROWS($A$15:A29)+$B$3))),IF($D$15="",INDEX(orderHistory[invoice_date],SMALL(IF(ISNUMBER(MATCH(orderHistory[order_type],$D$13,0)),MATCH(ROW(orderHistory[customer]),ROW(orderHistory[customer])),""),ROWS($A$15:A29)+$B$3)),INDEX(orderHistory[invoice_date],SMALL(IF(ISNUMBER(MATCH(orderHistory[order_type],$D$13,0)*MATCH(YEAR(orderHistory[invoice_date]),$D$15,0)),MATCH(ROW(orderHistory[customer]),ROW(orderHistory[customer])),""),ROWS($A$15:A29)+$B$3)))),IF($D$13="",IF($D$15="",INDEX(orderHistory[invoice_date],SMALL(IF(ISNUMBER(MATCH(orderHistory[status],$D$11,0)),MATCH(ROW(orderHistory[customer]),ROW(orderHistory[customer])),""),ROWS($A$15:A29)+$B$3)),INDEX(orderHistory[invoice_date],SMALL(IF(ISNUMBER(MATCH(orderHistory[status],$D$11,0)*MATCH(YEAR(orderHistory[invoice_date]),$D$15,0)),MATCH(ROW(orderHistory[customer]),ROW(orderHistory[customer])),""),ROWS($A$15:A29)+$B$3))),IF($D$15="",INDEX(orderHistory[invoice_date],SMALL(IF(ISNUMBER(MATCH(orderHistory[status],$D$11,0)*MATCH(orderHistory[order_type],$D$13,0)),MATCH(ROW(orderHistory[customer]),ROW(orderHistory[customer])),""),ROWS($A$15:A29)+$B$3)),INDEX(orderHistory[invoice_date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invoice_date],SMALL(IF(ISNUMBER(MATCH(orderHistory[customer],$D$9,0)),MATCH(ROW(orderHistory[customer]),ROW(orderHistory[customer])),""),ROWS($A$15:A29)+$B$3)),INDEX(orderHistory[invoice_date],SMALL(IF(ISNUMBER(MATCH(orderHistory[customer],$D$9,0)*MATCH(YEAR(orderHistory[invoice_date]),$D$15,0)),MATCH(ROW(orderHistory[customer]),ROW(orderHistory[customer])),""),ROWS($A$15:A29)+$B$3))),IF($D$15="",INDEX(orderHistory[invoice_date],SMALL(IF(ISNUMBER(MATCH(orderHistory[customer],$D$9,0)*MATCH(orderHistory[order_type],$D$13,0)),MATCH(ROW(orderHistory[customer]),ROW(orderHistory[customer])),""),ROWS($A$15:A29)+$B$3)),INDEX(orderHistory[invoice_date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invoice_date],SMALL(IF(ISNUMBER(MATCH(orderHistory[customer],$D$9,0)*MATCH(orderHistory[status],$D$11,0)),MATCH(ROW(orderHistory[customer]),ROW(orderHistory[customer])),""),ROWS($A$15:A29)+$B$3)),INDEX(orderHistory[invoice_date],SMALL(IF(ISNUMBER(MATCH(orderHistory[customer],$D$9,0)*MATCH(orderHistory[status],$D$11,0)*MATCH(YEAR(orderHistory[invoice_date]),$D$15,0)),MATCH(ROW(orderHistory[customer]),ROW(orderHistory[customer])),""),ROWS($A$15:A29)+$B$3))),IF($D$15="",INDEX(orderHistory[invoice_date],SMALL(IF(ISNUMBER(MATCH(orderHistory[customer],$D$9,0)*MATCH(orderHistory[status],$D$11,0)*MATCH(orderHistory[order_type],$D$13,0)),MATCH(ROW(orderHistory[customer]),ROW(orderHistory[customer])),""),ROWS($A$15:A29)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45499</v>
      </c>
      <c r="R24" s="387">
        <f t="array" ref="R24">IFERROR(IF($D$9="",IF($D$11="",IF($D$13="",IF($D$15="",INDEX(orderHistory[inv_amount],SMALL(MATCH(ROW(orderHistory[customer]),ROW(orderHistory[customer])),ROWS($A$15:A29)+$B$3)),INDEX(orderHistory[inv_amount],SMALL(IF(ISNUMBER(MATCH(YEAR(orderHistory[invoice_date]),$D$15,0)),MATCH(ROW(orderHistory[customer]),ROW(orderHistory[customer])),""),ROWS($A$15:A29)+$B$3))),IF($D$15="",INDEX(orderHistory[inv_amount],SMALL(IF(ISNUMBER(MATCH(orderHistory[order_type],$D$13,0)),MATCH(ROW(orderHistory[customer]),ROW(orderHistory[customer])),""),ROWS($A$15:A29)+$B$3)),INDEX(orderHistory[inv_amount],SMALL(IF(ISNUMBER(MATCH(orderHistory[order_type],$D$13,0)*MATCH(YEAR(orderHistory[invoice_date]),$D$15,0)),MATCH(ROW(orderHistory[customer]),ROW(orderHistory[customer])),""),ROWS($A$15:A29)+$B$3)))),IF($D$13="",IF($D$15="",INDEX(orderHistory[inv_amount],SMALL(IF(ISNUMBER(MATCH(orderHistory[status],$D$11,0)),MATCH(ROW(orderHistory[customer]),ROW(orderHistory[customer])),""),ROWS($A$15:A29)+$B$3)),INDEX(orderHistory[inv_amount],SMALL(IF(ISNUMBER(MATCH(orderHistory[status],$D$11,0)*MATCH(YEAR(orderHistory[invoice_date]),$D$15,0)),MATCH(ROW(orderHistory[customer]),ROW(orderHistory[customer])),""),ROWS($A$15:A29)+$B$3))),IF($D$15="",INDEX(orderHistory[inv_amount],SMALL(IF(ISNUMBER(MATCH(orderHistory[status],$D$11,0)*MATCH(orderHistory[order_type],$D$13,0)),MATCH(ROW(orderHistory[customer]),ROW(orderHistory[customer])),""),ROWS($A$15:A29)+$B$3)),INDEX(orderHistory[inv_amount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inv_amount],SMALL(IF(ISNUMBER(MATCH(orderHistory[customer],$D$9,0)),MATCH(ROW(orderHistory[customer]),ROW(orderHistory[customer])),""),ROWS($A$15:A29)+$B$3)),INDEX(orderHistory[inv_amount],SMALL(IF(ISNUMBER(MATCH(orderHistory[customer],$D$9,0)*MATCH(YEAR(orderHistory[invoice_date]),$D$15,0)),MATCH(ROW(orderHistory[customer]),ROW(orderHistory[customer])),""),ROWS($A$15:A29)+$B$3))),IF($D$15="",INDEX(orderHistory[inv_amount],SMALL(IF(ISNUMBER(MATCH(orderHistory[customer],$D$9,0)*MATCH(orderHistory[order_type],$D$13,0)),MATCH(ROW(orderHistory[customer]),ROW(orderHistory[customer])),""),ROWS($A$15:A29)+$B$3)),INDEX(orderHistory[inv_amount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inv_amount],SMALL(IF(ISNUMBER(MATCH(orderHistory[customer],$D$9,0)*MATCH(orderHistory[status],$D$11,0)),MATCH(ROW(orderHistory[customer]),ROW(orderHistory[customer])),""),ROWS($A$15:A29)+$B$3)),INDEX(orderHistory[inv_amount],SMALL(IF(ISNUMBER(MATCH(orderHistory[customer],$D$9,0)*MATCH(orderHistory[status],$D$11,0)*MATCH(YEAR(orderHistory[inv_amount]),$D$15,0)),MATCH(ROW(orderHistory[customer]),ROW(orderHistory[customer])),""),ROWS($A$15:A29)+$B$3))),IF($D$15="",INDEX(orderHistory[inv_amount],SMALL(IF(ISNUMBER(MATCH(orderHistory[customer],$D$9,0)*MATCH(orderHistory[status],$D$11,0)*MATCH(orderHistory[order_type],$D$13,0)),MATCH(ROW(orderHistory[customer]),ROW(orderHistory[customer])),""),ROWS($A$15:A29)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69628.28729281768</v>
      </c>
      <c r="S24" s="465" t="str">
        <f t="array" ref="S24">IFERROR(IF($D$9="",IF($D$11="",IF($D$13="",IF($D$15="",INDEX(orderHistory[lock_goods],SMALL(MATCH(ROW(orderHistory[customer]),ROW(orderHistory[customer])),ROWS($A$15:A29)+$B$3)),INDEX(orderHistory[lock_goods],SMALL(IF(ISNUMBER(MATCH(YEAR(orderHistory[invoice_date]),$D$15,0)),MATCH(ROW(orderHistory[customer]),ROW(orderHistory[customer])),""),ROWS($A$15:A29)+$B$3))),IF($D$15="",INDEX(orderHistory[lock_goods],SMALL(IF(ISNUMBER(MATCH(orderHistory[order_type],$D$13,0)),MATCH(ROW(orderHistory[customer]),ROW(orderHistory[customer])),""),ROWS($A$15:A29)+$B$3)),INDEX(orderHistory[lock_goods],SMALL(IF(ISNUMBER(MATCH(orderHistory[order_type],$D$13,0)*MATCH(YEAR(orderHistory[invoice_date]),$D$15,0)),MATCH(ROW(orderHistory[customer]),ROW(orderHistory[customer])),""),ROWS($A$15:A29)+$B$3)))),IF($D$13="",IF($D$15="",INDEX(orderHistory[lock_goods],SMALL(IF(ISNUMBER(MATCH(orderHistory[status],$D$11,0)),MATCH(ROW(orderHistory[customer]),ROW(orderHistory[customer])),""),ROWS($A$15:A29)+$B$3)),INDEX(orderHistory[lock_goods],SMALL(IF(ISNUMBER(MATCH(orderHistory[status],$D$11,0)*MATCH(YEAR(orderHistory[invoice_date]),$D$15,0)),MATCH(ROW(orderHistory[customer]),ROW(orderHistory[customer])),""),ROWS($A$15:A29)+$B$3))),IF($D$15="",INDEX(orderHistory[lock_goods],SMALL(IF(ISNUMBER(MATCH(orderHistory[status],$D$11,0)*MATCH(orderHistory[order_type],$D$13,0)),MATCH(ROW(orderHistory[customer]),ROW(orderHistory[customer])),""),ROWS($A$15:A29)+$B$3)),INDEX(orderHistory[lock_goods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lock_goods],SMALL(IF(ISNUMBER(MATCH(orderHistory[customer],$D$9,0)),MATCH(ROW(orderHistory[customer]),ROW(orderHistory[customer])),""),ROWS($A$15:A29)+$B$3)),INDEX(orderHistory[lock_goods],SMALL(IF(ISNUMBER(MATCH(orderHistory[customer],$D$9,0)*MATCH(YEAR(orderHistory[invoice_date]),$D$15,0)),MATCH(ROW(orderHistory[customer]),ROW(orderHistory[customer])),""),ROWS($A$15:A29)+$B$3))),IF($D$15="",INDEX(orderHistory[lock_goods],SMALL(IF(ISNUMBER(MATCH(orderHistory[customer],$D$9,0)*MATCH(orderHistory[order_type],$D$13,0)),MATCH(ROW(orderHistory[customer]),ROW(orderHistory[customer])),""),ROWS($A$15:A29)+$B$3)),INDEX(orderHistory[lock_goods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lock_goods],SMALL(IF(ISNUMBER(MATCH(orderHistory[customer],$D$9,0)*MATCH(orderHistory[status],$D$11,0)),MATCH(ROW(orderHistory[customer]),ROW(orderHistory[customer])),""),ROWS($A$15:A29)+$B$3)),INDEX(orderHistory[lock_goods],SMALL(IF(ISNUMBER(MATCH(orderHistory[customer],$D$9,0)*MATCH(orderHistory[status],$D$11,0)*MATCH(YEAR(orderHistory[payed]),$D$15,0)),MATCH(ROW(orderHistory[customer]),ROW(orderHistory[customer])),""),ROWS($A$15:A29)+$B$3))),IF($D$15="",INDEX(orderHistory[lock_goods],SMALL(IF(ISNUMBER(MATCH(orderHistory[customer],$D$9,0)*MATCH(orderHistory[status],$D$11,0)*MATCH(orderHistory[order_type],$D$13,0)),MATCH(ROW(orderHistory[customer]),ROW(orderHistory[customer])),""),ROWS($A$15:A29)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GOODS SENT</v>
      </c>
      <c r="T24" s="388" t="b">
        <f t="array" ref="T24">IFERROR(IF($D$9="",IF($D$11="",IF($D$13="",IF($D$15="",INDEX(orderHistory[payed],SMALL(MATCH(ROW(orderHistory[customer]),ROW(orderHistory[customer])),ROWS($A$15:A29)+$B$3)),INDEX(orderHistory[payed],SMALL(IF(ISNUMBER(MATCH(YEAR(orderHistory[invoice_date]),$D$15,0)),MATCH(ROW(orderHistory[customer]),ROW(orderHistory[customer])),""),ROWS($A$15:A29)+$B$3))),IF($D$15="",INDEX(orderHistory[payed],SMALL(IF(ISNUMBER(MATCH(orderHistory[order_type],$D$13,0)),MATCH(ROW(orderHistory[customer]),ROW(orderHistory[customer])),""),ROWS($A$15:A29)+$B$3)),INDEX(orderHistory[payed],SMALL(IF(ISNUMBER(MATCH(orderHistory[order_type],$D$13,0)*MATCH(YEAR(orderHistory[invoice_date]),$D$15,0)),MATCH(ROW(orderHistory[customer]),ROW(orderHistory[customer])),""),ROWS($A$15:A29)+$B$3)))),IF($D$13="",IF($D$15="",INDEX(orderHistory[payed],SMALL(IF(ISNUMBER(MATCH(orderHistory[status],$D$11,0)),MATCH(ROW(orderHistory[customer]),ROW(orderHistory[customer])),""),ROWS($A$15:A29)+$B$3)),INDEX(orderHistory[payed],SMALL(IF(ISNUMBER(MATCH(orderHistory[status],$D$11,0)*MATCH(YEAR(orderHistory[invoice_date]),$D$15,0)),MATCH(ROW(orderHistory[customer]),ROW(orderHistory[customer])),""),ROWS($A$15:A29)+$B$3))),IF($D$15="",INDEX(orderHistory[payed],SMALL(IF(ISNUMBER(MATCH(orderHistory[status],$D$11,0)*MATCH(orderHistory[order_type],$D$13,0)),MATCH(ROW(orderHistory[customer]),ROW(orderHistory[customer])),""),ROWS($A$15:A29)+$B$3)),INDEX(orderHistory[payed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payed],SMALL(IF(ISNUMBER(MATCH(orderHistory[customer],$D$9,0)),MATCH(ROW(orderHistory[customer]),ROW(orderHistory[customer])),""),ROWS($A$15:A29)+$B$3)),INDEX(orderHistory[payed],SMALL(IF(ISNUMBER(MATCH(orderHistory[customer],$D$9,0)*MATCH(YEAR(orderHistory[invoice_date]),$D$15,0)),MATCH(ROW(orderHistory[customer]),ROW(orderHistory[customer])),""),ROWS($A$15:A29)+$B$3))),IF($D$15="",INDEX(orderHistory[payed],SMALL(IF(ISNUMBER(MATCH(orderHistory[customer],$D$9,0)*MATCH(orderHistory[order_type],$D$13,0)),MATCH(ROW(orderHistory[customer]),ROW(orderHistory[customer])),""),ROWS($A$15:A29)+$B$3)),INDEX(orderHistory[payed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payed],SMALL(IF(ISNUMBER(MATCH(orderHistory[customer],$D$9,0)*MATCH(orderHistory[status],$D$11,0)),MATCH(ROW(orderHistory[customer]),ROW(orderHistory[customer])),""),ROWS($A$15:A29)+$B$3)),INDEX(orderHistory[payed],SMALL(IF(ISNUMBER(MATCH(orderHistory[customer],$D$9,0)*MATCH(orderHistory[status],$D$11,0)*MATCH(YEAR(orderHistory[payed]),$D$15,0)),MATCH(ROW(orderHistory[customer]),ROW(orderHistory[customer])),""),ROWS($A$15:A29)+$B$3))),IF($D$15="",INDEX(orderHistory[payed],SMALL(IF(ISNUMBER(MATCH(orderHistory[customer],$D$9,0)*MATCH(orderHistory[status],$D$11,0)*MATCH(orderHistory[order_type],$D$13,0)),MATCH(ROW(orderHistory[customer]),ROW(orderHistory[customer])),""),ROWS($A$15:A29)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1</v>
      </c>
      <c r="U24" s="383" t="str">
        <f t="array" ref="U24">IFERROR(IF($D$9="",IF($D$11="",IF($D$13="",IF($D$15="",INDEX(orderHistory[shipping_method],SMALL(MATCH(ROW(orderHistory[customer]),ROW(orderHistory[customer])),ROWS($A$15:A29)+$B$3)),INDEX(orderHistory[shipping_method],SMALL(IF(ISNUMBER(MATCH(YEAR(orderHistory[invoice_date]),$D$15,0)),MATCH(ROW(orderHistory[customer]),ROW(orderHistory[customer])),""),ROWS($A$15:A29)+$B$3))),IF($D$15="",INDEX(orderHistory[shipping_method],SMALL(IF(ISNUMBER(MATCH(orderHistory[order_type],$D$13,0)),MATCH(ROW(orderHistory[customer]),ROW(orderHistory[customer])),""),ROWS($A$15:A29)+$B$3)),INDEX(orderHistory[shipping_method],SMALL(IF(ISNUMBER(MATCH(orderHistory[order_type],$D$13,0)*MATCH(YEAR(orderHistory[invoice_date]),$D$15,0)),MATCH(ROW(orderHistory[customer]),ROW(orderHistory[customer])),""),ROWS($A$15:A29)+$B$3)))),IF($D$13="",IF($D$15="",INDEX(orderHistory[shipping_method],SMALL(IF(ISNUMBER(MATCH(orderHistory[status],$D$11,0)),MATCH(ROW(orderHistory[customer]),ROW(orderHistory[customer])),""),ROWS($A$15:A29)+$B$3)),INDEX(orderHistory[shipping_method],SMALL(IF(ISNUMBER(MATCH(orderHistory[status],$D$11,0)*MATCH(YEAR(orderHistory[invoice_date]),$D$15,0)),MATCH(ROW(orderHistory[customer]),ROW(orderHistory[customer])),""),ROWS($A$15:A29)+$B$3))),IF($D$15="",INDEX(orderHistory[shipping_method],SMALL(IF(ISNUMBER(MATCH(orderHistory[status],$D$11,0)*MATCH(orderHistory[order_type],$D$13,0)),MATCH(ROW(orderHistory[customer]),ROW(orderHistory[customer])),""),ROWS($A$15:A29)+$B$3)),INDEX(orderHistory[shipping_method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shipping_method],SMALL(IF(ISNUMBER(MATCH(orderHistory[customer],$D$9,0)),MATCH(ROW(orderHistory[customer]),ROW(orderHistory[customer])),""),ROWS($A$15:A29)+$B$3)),INDEX(orderHistory[shipping_method],SMALL(IF(ISNUMBER(MATCH(orderHistory[customer],$D$9,0)*MATCH(YEAR(orderHistory[invoice_date]),$D$15,0)),MATCH(ROW(orderHistory[customer]),ROW(orderHistory[customer])),""),ROWS($A$15:A29)+$B$3))),IF($D$15="",INDEX(orderHistory[shipping_method],SMALL(IF(ISNUMBER(MATCH(orderHistory[customer],$D$9,0)*MATCH(orderHistory[order_type],$D$13,0)),MATCH(ROW(orderHistory[customer]),ROW(orderHistory[customer])),""),ROWS($A$15:A29)+$B$3)),INDEX(orderHistory[shipping_method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shipping_method],SMALL(IF(ISNUMBER(MATCH(orderHistory[customer],$D$9,0)*MATCH(orderHistory[status],$D$11,0)),MATCH(ROW(orderHistory[customer]),ROW(orderHistory[customer])),""),ROWS($A$15:A29)+$B$3)),INDEX(orderHistory[shipping_method],SMALL(IF(ISNUMBER(MATCH(orderHistory[customer],$D$9,0)*MATCH(orderHistory[status],$D$11,0)*MATCH(YEAR(orderHistory[shipping_method]),$D$15,0)),MATCH(ROW(orderHistory[customer]),ROW(orderHistory[customer])),""),ROWS($A$15:A29)+$B$3))),IF($D$15="",INDEX(orderHistory[shipping_method],SMALL(IF(ISNUMBER(MATCH(orderHistory[customer],$D$9,0)*MATCH(orderHistory[status],$D$11,0)*MATCH(orderHistory[order_type],$D$13,0)),MATCH(ROW(orderHistory[customer]),ROW(orderHistory[customer])),""),ROWS($A$15:A29)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BY SEA</v>
      </c>
      <c r="V24" s="388" t="str">
        <f t="array" ref="V24">IFERROR(IF($D$9="",IF($D$11="",IF($D$13="",IF($D$15="",INDEX(orderHistory[status],SMALL(MATCH(ROW(orderHistory[customer]),ROW(orderHistory[customer])),ROWS($A$15:A29)+$B$3)),INDEX(orderHistory[status],SMALL(IF(ISNUMBER(MATCH(YEAR(orderHistory[invoice_date]),$D$15,0)),MATCH(ROW(orderHistory[customer]),ROW(orderHistory[customer])),""),ROWS($A$15:A29)+$B$3))),IF($D$15="",INDEX(orderHistory[status],SMALL(IF(ISNUMBER(MATCH(orderHistory[order_type],$D$13,0)),MATCH(ROW(orderHistory[customer]),ROW(orderHistory[customer])),""),ROWS($A$15:A29)+$B$3)),INDEX(orderHistory[status],SMALL(IF(ISNUMBER(MATCH(orderHistory[order_type],$D$13,0)*MATCH(YEAR(orderHistory[invoice_date]),$D$15,0)),MATCH(ROW(orderHistory[customer]),ROW(orderHistory[customer])),""),ROWS($A$15:A29)+$B$3)))),IF($D$13="",IF($D$15="",INDEX(orderHistory[status],SMALL(IF(ISNUMBER(MATCH(orderHistory[status],$D$11,0)),MATCH(ROW(orderHistory[customer]),ROW(orderHistory[customer])),""),ROWS($A$15:A29)+$B$3)),INDEX(orderHistory[status],SMALL(IF(ISNUMBER(MATCH(orderHistory[status],$D$11,0)*MATCH(YEAR(orderHistory[invoice_date]),$D$15,0)),MATCH(ROW(orderHistory[customer]),ROW(orderHistory[customer])),""),ROWS($A$15:A29)+$B$3))),IF($D$15="",INDEX(orderHistory[status],SMALL(IF(ISNUMBER(MATCH(orderHistory[status],$D$11,0)*MATCH(orderHistory[order_type],$D$13,0)),MATCH(ROW(orderHistory[customer]),ROW(orderHistory[customer])),""),ROWS($A$15:A29)+$B$3)),INDEX(orderHistory[status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status],SMALL(IF(ISNUMBER(MATCH(orderHistory[customer],$D$9,0)),MATCH(ROW(orderHistory[customer]),ROW(orderHistory[customer])),""),ROWS($A$15:A29)+$B$3)),INDEX(orderHistory[status],SMALL(IF(ISNUMBER(MATCH(orderHistory[customer],$D$9,0)*MATCH(YEAR(orderHistory[invoice_date]),$D$15,0)),MATCH(ROW(orderHistory[customer]),ROW(orderHistory[customer])),""),ROWS($A$15:A29)+$B$3))),IF($D$15="",INDEX(orderHistory[status],SMALL(IF(ISNUMBER(MATCH(orderHistory[customer],$D$9,0)*MATCH(orderHistory[order_type],$D$13,0)),MATCH(ROW(orderHistory[customer]),ROW(orderHistory[customer])),""),ROWS($A$15:A29)+$B$3)),INDEX(orderHistory[status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status],SMALL(IF(ISNUMBER(MATCH(orderHistory[customer],$D$9,0)*MATCH(orderHistory[status],$D$11,0)),MATCH(ROW(orderHistory[customer]),ROW(orderHistory[customer])),""),ROWS($A$15:A29)+$B$3)),INDEX(orderHistory[status],SMALL(IF(ISNUMBER(MATCH(orderHistory[customer],$D$9,0)*MATCH(orderHistory[status],$D$11,0)*MATCH(YEAR(orderHistory[status]),$D$15,0)),MATCH(ROW(orderHistory[customer]),ROW(orderHistory[customer])),""),ROWS($A$15:A29)+$B$3))),IF($D$15="",INDEX(orderHistory[status],SMALL(IF(ISNUMBER(MATCH(orderHistory[customer],$D$9,0)*MATCH(orderHistory[status],$D$11,0)*MATCH(orderHistory[order_type],$D$13,0)),MATCH(ROW(orderHistory[customer]),ROW(orderHistory[customer])),""),ROWS($A$15:A29)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SHIPPED</v>
      </c>
      <c r="W24" s="547" t="str">
        <f t="array" ref="W24">IFERROR(IF($D$9="",IF($D$11="",IF($D$13="",IF($D$15="",INDEX(orderHistory[custom_docs],SMALL(MATCH(ROW(orderHistory[customer]),ROW(orderHistory[customer])),ROWS($A$15:A29)+$B$3)),INDEX(orderHistory[custom_docs],SMALL(IF(ISNUMBER(MATCH(YEAR(orderHistory[invoice_date]),$D$15,0)),MATCH(ROW(orderHistory[customer]),ROW(orderHistory[customer])),""),ROWS($A$15:A29)+$B$3))),IF($D$15="",INDEX(orderHistory[custom_docs],SMALL(IF(ISNUMBER(MATCH(orderHistory[order_type],$D$13,0)),MATCH(ROW(orderHistory[customer]),ROW(orderHistory[customer])),""),ROWS($A$15:A29)+$B$3)),INDEX(orderHistory[custom_docs],SMALL(IF(ISNUMBER(MATCH(orderHistory[order_type],$D$13,0)*MATCH(YEAR(orderHistory[invoice_date]),$D$15,0)),MATCH(ROW(orderHistory[customer]),ROW(orderHistory[customer])),""),ROWS($A$15:A29)+$B$3)))),IF($D$13="",IF($D$15="",INDEX(orderHistory[custom_docs],SMALL(IF(ISNUMBER(MATCH(orderHistory[status],$D$11,0)),MATCH(ROW(orderHistory[customer]),ROW(orderHistory[customer])),""),ROWS($A$15:A29)+$B$3)),INDEX(orderHistory[custom_docs],SMALL(IF(ISNUMBER(MATCH(orderHistory[status],$D$11,0)*MATCH(YEAR(orderHistory[invoice_date]),$D$15,0)),MATCH(ROW(orderHistory[customer]),ROW(orderHistory[customer])),""),ROWS($A$15:A29)+$B$3))),IF($D$15="",INDEX(orderHistory[custom_docs],SMALL(IF(ISNUMBER(MATCH(orderHistory[status],$D$11,0)*MATCH(orderHistory[order_type],$D$13,0)),MATCH(ROW(orderHistory[customer]),ROW(orderHistory[customer])),""),ROWS($A$15:A29)+$B$3)),INDEX(orderHistory[custom_docs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custom_docs],SMALL(IF(ISNUMBER(MATCH(orderHistory[customer],$D$9,0)),MATCH(ROW(orderHistory[customer]),ROW(orderHistory[customer])),""),ROWS($A$15:A29)+$B$3)),INDEX(orderHistory[custom_docs],SMALL(IF(ISNUMBER(MATCH(orderHistory[customer],$D$9,0)*MATCH(YEAR(orderHistory[invoice_date]),$D$15,0)),MATCH(ROW(orderHistory[customer]),ROW(orderHistory[customer])),""),ROWS($A$15:A29)+$B$3))),IF($D$15="",INDEX(orderHistory[custom_docs],SMALL(IF(ISNUMBER(MATCH(orderHistory[customer],$D$9,0)*MATCH(orderHistory[order_type],$D$13,0)),MATCH(ROW(orderHistory[customer]),ROW(orderHistory[customer])),""),ROWS($A$15:A29)+$B$3)),INDEX(orderHistory[custom_docs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custom_docs],SMALL(IF(ISNUMBER(MATCH(orderHistory[customer],$D$9,0)*MATCH(orderHistory[status],$D$11,0)),MATCH(ROW(orderHistory[customer]),ROW(orderHistory[customer])),""),ROWS($A$15:A29)+$B$3)),INDEX(orderHistory[custom_docs],SMALL(IF(ISNUMBER(MATCH(orderHistory[customer],$D$9,0)*MATCH(orderHistory[status],$D$11,0)*MATCH(YEAR(orderHistory[status]),$D$15,0)),MATCH(ROW(orderHistory[customer]),ROW(orderHistory[customer])),""),ROWS($A$15:A29)+$B$3))),IF($D$15="",INDEX(orderHistory[custom_docs],SMALL(IF(ISNUMBER(MATCH(orderHistory[customer],$D$9,0)*MATCH(orderHistory[status],$D$11,0)*MATCH(orderHistory[order_type],$D$13,0)),MATCH(ROW(orderHistory[customer]),ROW(orderHistory[customer])),""),ROWS($A$15:A29)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OK</v>
      </c>
      <c r="AQ24" s="337"/>
      <c r="AT24" s="312"/>
      <c r="AU24" s="338"/>
      <c r="AV24" s="312"/>
      <c r="AW24" s="328"/>
      <c r="AX24" s="339"/>
      <c r="AY24" s="276"/>
      <c r="AZ24" s="276"/>
      <c r="BA24" s="276"/>
      <c r="BB24" s="276"/>
      <c r="BC24" s="276"/>
      <c r="BD24" s="276"/>
      <c r="BE24" s="276"/>
      <c r="BF24" s="276"/>
      <c r="BG24" s="329"/>
      <c r="BH24" s="276"/>
      <c r="BI24" s="276"/>
      <c r="BJ24" s="277"/>
      <c r="BK24" s="296"/>
      <c r="BL24" s="297"/>
      <c r="BM24" s="298"/>
      <c r="BN24" s="297"/>
      <c r="BO24" s="298"/>
      <c r="BX24" s="364"/>
      <c r="BZ24" s="487"/>
      <c r="CA24" s="401" t="str">
        <f>IFERROR(IF(BZ24="","",INDEX(bhpc_data[description],MATCH(BZ24,bhpc_data[sku],0))),"")</f>
        <v/>
      </c>
      <c r="CB24" s="402"/>
      <c r="CC24" s="887"/>
      <c r="CD24" s="409"/>
      <c r="CE24" s="890"/>
      <c r="CF24" s="404"/>
      <c r="CG24" s="405" t="str">
        <f>IFERROR(ROUNDUP(CB24/INDEX(bhpc_data[units_per_carton],MATCH(BZ24,bhpc_data[sku],0)),0),"")</f>
        <v/>
      </c>
      <c r="CH24" s="406" t="str">
        <f>IFERROR(ROUNDUP(CD24/INDEX(bhpc_data[units_per_carton],MATCH(BZ24,bhpc_data[sku],0)),0),"")</f>
        <v/>
      </c>
      <c r="CI24" s="406" t="str">
        <f>IFERROR(ROUNDUP(CF24/INDEX(bhpc_data[units_per_carton],MATCH(BZ24,bhpc_data[sku])),0),"")</f>
        <v/>
      </c>
      <c r="CJ24" s="406" t="str">
        <f>IFERROR(((CB24+CD24+CF24)/INDEX(bhpc_data[units_per_carton],MATCH(BZ24,bhpc_data[sku],0)))*INDEX(bhpc_data[net_weight],MATCH(BZ24,bhpc_data[sku],0)),"")</f>
        <v/>
      </c>
      <c r="CK24" s="406" t="str">
        <f>IFERROR(((CB24+CD24+CF24)/INDEX(bhpc_data[units_per_carton],MATCH(BZ24,bhpc_data[sku],0)))*INDEX(bhpc_data[gross_weight],MATCH(BZ24,bhpc_data[sku],0)),"")</f>
        <v/>
      </c>
      <c r="CL24" s="602" t="str">
        <f>IFERROR((CB24+CD24+CF24)/INDEX(bhpc_data[units_per_carton],MATCH(BZ24,bhpc_data[sku],0))*INDEX(bhpc_data[length],MATCH(BZ24,bhpc_data[sku],0))*INDEX(bhpc_data[width],MATCH(BZ24,bhpc_data[sku],0))*INDEX(bhpc_data[height],MATCH(BZ24,bhpc_data[sku],0))/1000000000,"")</f>
        <v/>
      </c>
      <c r="CM24" s="407" t="str">
        <f>IFERROR(INDEX(bhpc_data[category],MATCH(BZ24,bhpc_data[sku],0)),"")</f>
        <v/>
      </c>
      <c r="CN24" s="407" t="str">
        <f>IFERROR(INDEX(bhpc_data[size],MATCH(BZ24,bhpc_data[sku],0)),"")</f>
        <v/>
      </c>
      <c r="CO24" s="408" t="str">
        <f>IFERROR(INDEX(bhpc_data[hs_code],MATCH(BZ24,bhpc_data[sku],0)),"")</f>
        <v/>
      </c>
      <c r="CP24" s="489" t="str">
        <f>IFERROR(INDEX(bhpc_data[sku_geko],MATCH(BZ24,bhpc_data[sku],0)),"")</f>
        <v/>
      </c>
      <c r="CQ24" s="404"/>
      <c r="CR24" s="517" t="str">
        <f>IFERROR(IF(BZ24="","",IF($BX$15="SALE",INDEX(inventory[COSTO UNITARIO],MATCH(BZ24,inventory[SKU],0)),IF($BX$15="SAMPLING",INDEX(inventory[COSTO UNITARIO],MATCH(BZ24,inventory[SKU],0)),""))),"")</f>
        <v/>
      </c>
      <c r="CS24" s="517" t="str">
        <f t="shared" si="5"/>
        <v/>
      </c>
      <c r="CT24" s="896" t="str">
        <f t="shared" si="6"/>
        <v/>
      </c>
      <c r="CU24" s="469" t="str">
        <f t="shared" si="0"/>
        <v/>
      </c>
      <c r="CW24" s="80"/>
      <c r="CX24" s="112" t="s">
        <v>572</v>
      </c>
      <c r="CY24" s="239">
        <f>SUM(CJ10:CJ109)</f>
        <v>186.72000000000003</v>
      </c>
      <c r="CZ24" s="84" t="s">
        <v>16</v>
      </c>
      <c r="DA24" s="212">
        <f>SUM($CL$10:$CL$110)</f>
        <v>0.34875499999999998</v>
      </c>
      <c r="DB24" s="77"/>
      <c r="DH24" s="215"/>
      <c r="EE24" s="445" t="str" cm="1">
        <f t="array" ref="EE24">IFERROR(IF($EC$9="",IF($EC$11="",IF($EC$13="",INDEX(bhpc_data[sku],SMALL(MATCH(ROW(bhpc_data[sku]),ROW(bhpc_data[sku])),ROWS($A$15:A29)+$B$3)),INDEX(bhpc_data[sku],SMALL(IF(ISNUMBER(MATCH(bhpc_data[size],$EC$13,0)),MATCH(ROW(bhpc_data[sku]),ROW(bhpc_data[sku])),""),ROWS($A$15:A29)+$B$3))),IF($EC$13="",INDEX(bhpc_data[sku],SMALL(IF(ISNUMBER(MATCH(bhpc_data[sex],$EC$11,0)),MATCH(ROW(bhpc_data[sku]),ROW(bhpc_data[sku])),""),ROWS($A$15:A29)+$B$3)),INDEX(bhpc_data[sku],SMALL(IF(ISNUMBER(MATCH(bhpc_data[sex],$EC$11,0)*MATCH(bhpc_data[size],$EC$13,0)),MATCH(ROW(bhpc_data[sku]),ROW(bhpc_data[sku])),""),ROWS($A$15:A29)+$B$3)))),IF($EC$11="",IF($EC$13="",INDEX(bhpc_data[sku],SMALL(IF(ISNUMBER(MATCH(bhpc_data[category],$EC$9,0)),MATCH(ROW(bhpc_data[sku]),ROW(bhpc_data[sku])),""),ROWS($A$15:A29)+$B$3)),INDEX(bhpc_data[sku],SMALL(IF(ISNUMBER(MATCH(bhpc_data[category],$EC$9,0)*MATCH(bhpc_data[size],$EC$13,0)),MATCH(ROW(bhpc_data[sku]),ROW(bhpc_data[sku])),""),ROWS($A$15:A29)+$B$3))),IF($EC$13="",INDEX(bhpc_data[sku],SMALL(IF(ISNUMBER(MATCH(bhpc_data[category],$EC$9,0)*MATCH(bhpc_data[sex],$EC$11,0)),MATCH(ROW(bhpc_data[sku]),ROW(bhpc_data[sku])),""),ROWS($A$15:A29)+$B$3)),INDEX(bhpc_data[sku],SMALL(IF(ISNUMBER(MATCH(bhpc_data[category],$EC$9,0)*MATCH(bhpc_data[sex],$EC$11,0)*MATCH(bhpc_data[size],$EC$13,0)),MATCH(ROW(bhpc_data[sku]),ROW(bhpc_data[sku])),""),ROWS($A$15:A29)+$B$3))))),"")</f>
        <v>P05030L</v>
      </c>
      <c r="EF24" s="446" t="str" cm="1">
        <f t="array" ref="EF24">IFERROR(IF($EC$9="",IF($EC$11="",IF($EC$13="",INDEX(bhpc_data[description],SMALL(MATCH(ROW(bhpc_data[sku]),ROW(bhpc_data[sku])),ROWS($A$15:A29)+$B$3)),INDEX(bhpc_data[description],SMALL(IF(ISNUMBER(MATCH(bhpc_data[size],$EC$13,0)),MATCH(ROW(bhpc_data[sku]),ROW(bhpc_data[sku])),""),ROWS($A$15:A29)+$B$3))),IF($EC$13="",INDEX(bhpc_data[description],SMALL(IF(ISNUMBER(MATCH(bhpc_data[sex],$EC$11,0)),MATCH(ROW(bhpc_data[sku]),ROW(bhpc_data[sku])),""),ROWS($A$15:A29)+$B$3)),INDEX(bhpc_data[description],SMALL(IF(ISNUMBER(MATCH(bhpc_data[sex],$EC$11,0)*MATCH(bhpc_data[size],$EC$13,0)),MATCH(ROW(bhpc_data[sku]),ROW(bhpc_data[sku])),""),ROWS($A$15:A29)+$B$3)))),IF($EC$11="",IF($EC$13="",INDEX(bhpc_data[description],SMALL(IF(ISNUMBER(MATCH(bhpc_data[category],$EC$9,0)),MATCH(ROW(bhpc_data[sku]),ROW(bhpc_data[sku])),""),ROWS($A$15:A29)+$B$3)),INDEX(bhpc_data[description],SMALL(IF(ISNUMBER(MATCH(bhpc_data[category],$EC$9,0)*MATCH(bhpc_data[size],$EC$13,0)),MATCH(ROW(bhpc_data[sku]),ROW(bhpc_data[sku])),""),ROWS($A$15:A29)+$B$3))),IF($EC$13="",INDEX(bhpc_data[description],SMALL(IF(ISNUMBER(MATCH(bhpc_data[category],$EC$9,0)*MATCH(bhpc_data[sex],$EC$11,0)),MATCH(ROW(bhpc_data[sku]),ROW(bhpc_data[sku])),""),ROWS($A$15:A29)+$B$3)),INDEX(bhpc_data[description],SMALL(IF(ISNUMBER(MATCH(bhpc_data[category],$EC$9,0)*MATCH(bhpc_data[sex],$EC$11,0)*MATCH(bhpc_data[size],$EC$13,0)),MATCH(ROW(bhpc_data[sku]),ROW(bhpc_data[sku])),""),ROWS($A$15:A29)+$B$3))))),"")</f>
        <v>BHPC WOMEN 8 EDP 50ML (UNBOXED)</v>
      </c>
      <c r="EG24" s="447">
        <f>IFERROR(IF('BHPC MANAGER'!$EE24="","",INDEX(inventory[ESISTENZA],MATCH('BHPC MANAGER'!$EE24,inventory[SKU],0))),0)</f>
        <v>7768</v>
      </c>
      <c r="EH24" s="448">
        <v>-62</v>
      </c>
      <c r="EI24" s="448">
        <f t="shared" si="1"/>
        <v>7706</v>
      </c>
      <c r="EJ24" s="449">
        <v>0</v>
      </c>
      <c r="EK24" s="450">
        <f t="shared" si="2"/>
        <v>7706</v>
      </c>
      <c r="FF24" s="263"/>
      <c r="FG24" s="263"/>
      <c r="FH24" s="263"/>
      <c r="FI24" s="263"/>
      <c r="FJ24" s="263"/>
      <c r="FK24" s="263"/>
      <c r="FL24" s="263"/>
      <c r="FM24" s="263"/>
      <c r="FN24" s="263"/>
      <c r="FO24" s="263"/>
      <c r="FP24" s="263"/>
      <c r="FQ24" s="263"/>
      <c r="FR24" s="263"/>
      <c r="FS24" s="263"/>
      <c r="FT24" s="263"/>
      <c r="FU24" s="263"/>
      <c r="FV24" s="263"/>
      <c r="FW24" s="263"/>
      <c r="FX24" s="263"/>
      <c r="FY24" s="263"/>
      <c r="FZ24" s="263"/>
      <c r="GA24" s="263"/>
      <c r="GB24" s="263"/>
      <c r="GC24" s="263"/>
      <c r="GD24" s="263"/>
      <c r="GE24" s="263"/>
      <c r="GF24" s="263"/>
      <c r="GG24" s="263"/>
      <c r="GH24" s="263"/>
      <c r="GI24" s="263"/>
      <c r="GJ24" s="263"/>
      <c r="GK24" s="263"/>
      <c r="GL24" s="263"/>
      <c r="GM24" s="263"/>
      <c r="GN24" s="263"/>
      <c r="GO24" s="263"/>
      <c r="GP24" s="263"/>
      <c r="GQ24" s="263"/>
      <c r="GR24" s="263"/>
      <c r="GS24" s="263"/>
      <c r="GT24" s="263"/>
      <c r="GU24" s="263"/>
      <c r="GV24" s="263"/>
      <c r="GW24" s="263"/>
      <c r="GX24" s="263"/>
      <c r="GY24" s="263"/>
      <c r="GZ24" s="263"/>
      <c r="HA24" s="263"/>
      <c r="HB24" s="263"/>
      <c r="HC24" s="263"/>
      <c r="HD24" s="263"/>
      <c r="HE24" s="263"/>
      <c r="HF24" s="263"/>
      <c r="HG24" s="263"/>
      <c r="HH24" s="263"/>
      <c r="HI24" s="263"/>
      <c r="HJ24" s="263"/>
      <c r="HK24" s="263"/>
      <c r="HL24" s="263"/>
      <c r="HM24" s="263"/>
      <c r="HN24" s="263"/>
      <c r="HO24" s="263"/>
      <c r="HP24" s="263"/>
      <c r="HQ24" s="263"/>
      <c r="HR24" s="263"/>
      <c r="HS24" s="263"/>
      <c r="HT24" s="263"/>
    </row>
    <row r="25" spans="1:228" ht="15" customHeight="1" thickBot="1" x14ac:dyDescent="0.4">
      <c r="D25" s="525"/>
      <c r="F25" s="86"/>
      <c r="G25" s="815" t="str">
        <f>IFERROR(INDEX(clientData[hq_address2],MATCH($B$6,clientData[cod_cliente],0)),"")</f>
        <v>TRAFALGAR PLACE, BRIGHTON,</v>
      </c>
      <c r="H25" s="816"/>
      <c r="I25" s="817"/>
      <c r="J25" s="77"/>
      <c r="L25" s="381" t="str">
        <f t="array" ref="L25">IFERROR(IF($D$9="",IF($D$11="",IF($D$13="",IF($D$15="",INDEX(orderHistory[customer],SMALL(MATCH(ROW(orderHistory[customer]),ROW(orderHistory[customer])),ROWS($A$15:A30)+$B$3)),INDEX(orderHistory[customer],SMALL(IF(ISNUMBER(MATCH(YEAR(orderHistory[invoice_date]),$D$15,0)),MATCH(ROW(orderHistory[customer]),ROW(orderHistory[customer])),""),ROWS($A$15:A30)+$B$3))),IF($D$15="",INDEX(orderHistory[customer],SMALL(IF(ISNUMBER(MATCH(orderHistory[order_type],$D$13,0)),MATCH(ROW(orderHistory[customer]),ROW(orderHistory[customer])),""),ROWS($A$15:A30)+$B$3)),INDEX(orderHistory[customer],SMALL(IF(ISNUMBER(MATCH(orderHistory[order_type],$D$13,0)*MATCH(YEAR(orderHistory[invoice_date]),$D$15,0)),MATCH(ROW(orderHistory[customer]),ROW(orderHistory[customer])),""),ROWS($A$15:A30)+$B$3)))),IF($D$13="",IF($D$15="",INDEX(orderHistory[customer],SMALL(IF(ISNUMBER(MATCH(orderHistory[status],$D$11,0)),MATCH(ROW(orderHistory[customer]),ROW(orderHistory[customer])),""),ROWS($A$15:A30)+$B$3)),INDEX(orderHistory[customer],SMALL(IF(ISNUMBER(MATCH(orderHistory[status],$D$11,0)*MATCH(YEAR(orderHistory[invoice_date]),$D$15,0)),MATCH(ROW(orderHistory[customer]),ROW(orderHistory[customer])),""),ROWS($A$15:A30)+$B$3))),IF($D$15="",INDEX(orderHistory[customer],SMALL(IF(ISNUMBER(MATCH(orderHistory[status],$D$11,0)*MATCH(orderHistory[order_type],$D$13,0)),MATCH(ROW(orderHistory[customer]),ROW(orderHistory[customer])),""),ROWS($A$15:A30)+$B$3)),INDEX(orderHistory[customer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customer],SMALL(IF(ISNUMBER(MATCH(orderHistory[customer],$D$9,0)),MATCH(ROW(orderHistory[customer]),ROW(orderHistory[customer])),""),ROWS($A$15:A30)+$B$3)),INDEX(orderHistory[customer],SMALL(IF(ISNUMBER(MATCH(orderHistory[customer],$D$9,0)*MATCH(YEAR(orderHistory[invoice_date]),$D$15,0)),MATCH(ROW(orderHistory[customer]),ROW(orderHistory[customer])),""),ROWS($A$15:A30)+$B$3))),IF($D$15="",INDEX(orderHistory[customer],SMALL(IF(ISNUMBER(MATCH(orderHistory[customer],$D$9,0)*MATCH(orderHistory[order_type],$D$13,0)),MATCH(ROW(orderHistory[customer]),ROW(orderHistory[customer])),""),ROWS($A$15:A30)+$B$3)),INDEX(orderHistory[customer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customer],SMALL(IF(ISNUMBER(MATCH(orderHistory[customer],$D$9,0)*MATCH(orderHistory[status],$D$11,0)),MATCH(ROW(orderHistory[customer]),ROW(orderHistory[customer])),""),ROWS($A$15:A30)+$B$3)),INDEX(orderHistory[customer],SMALL(IF(ISNUMBER(MATCH(orderHistory[customer],$D$9,0)*MATCH(orderHistory[status],$D$11,0)*MATCH(YEAR(orderHistory[invoice_date]),$D$15,0)),MATCH(ROW(orderHistory[customer]),ROW(orderHistory[customer])),""),ROWS($A$15:A30)+$B$3))),IF($D$15="",INDEX(orderHistory[customer],SMALL(IF(ISNUMBER(MATCH(orderHistory[customer],$D$9,0)*MATCH(orderHistory[status],$D$11,0)*MATCH(orderHistory[order_type],$D$13,0)),MATCH(ROW(orderHistory[customer]),ROW(orderHistory[customer])),""),ROWS($A$15:A30)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APPAREL FZCO</v>
      </c>
      <c r="M25" s="382">
        <f t="array" ref="M25">IFERROR(IF($D$9="",IF($D$11="",IF($D$13="",IF($D$15="",INDEX(orderHistory[order_no],SMALL(MATCH(ROW(orderHistory[customer]),ROW(orderHistory[customer])),ROWS($A$15:A30)+$B$3)),INDEX(orderHistory[order_no],SMALL(IF(ISNUMBER(MATCH(YEAR(orderHistory[invoice_date]),$D$15,0)),MATCH(ROW(orderHistory[customer]),ROW(orderHistory[customer])),""),ROWS($A$15:A30)+$B$3))),IF($D$15="",INDEX(orderHistory[order_no],SMALL(IF(ISNUMBER(MATCH(orderHistory[order_type],$D$13,0)),MATCH(ROW(orderHistory[customer]),ROW(orderHistory[customer])),""),ROWS($A$15:A30)+$B$3)),INDEX(orderHistory[order_no],SMALL(IF(ISNUMBER(MATCH(orderHistory[order_type],$D$13,0)*MATCH(YEAR(orderHistory[invoice_date]),$D$15,0)),MATCH(ROW(orderHistory[customer]),ROW(orderHistory[customer])),""),ROWS($A$15:A30)+$B$3)))),IF($D$13="",IF($D$15="",INDEX(orderHistory[order_no],SMALL(IF(ISNUMBER(MATCH(orderHistory[status],$D$11,0)),MATCH(ROW(orderHistory[customer]),ROW(orderHistory[customer])),""),ROWS($A$15:A30)+$B$3)),INDEX(orderHistory[order_no],SMALL(IF(ISNUMBER(MATCH(orderHistory[status],$D$11,0)*MATCH(YEAR(orderHistory[invoice_date]),$D$15,0)),MATCH(ROW(orderHistory[customer]),ROW(orderHistory[customer])),""),ROWS($A$15:A30)+$B$3))),IF($D$15="",INDEX(orderHistory[order_no],SMALL(IF(ISNUMBER(MATCH(orderHistory[status],$D$11,0)*MATCH(orderHistory[order_type],$D$13,0)),MATCH(ROW(orderHistory[customer]),ROW(orderHistory[customer])),""),ROWS($A$15:A30)+$B$3)),INDEX(orderHistory[order_no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order_no],SMALL(IF(ISNUMBER(MATCH(orderHistory[customer],$D$9,0)),MATCH(ROW(orderHistory[customer]),ROW(orderHistory[customer])),""),ROWS($A$15:A30)+$B$3)),INDEX(orderHistory[order_no],SMALL(IF(ISNUMBER(MATCH(orderHistory[customer],$D$9,0)*MATCH(YEAR(orderHistory[invoice_date]),$D$15,0)),MATCH(ROW(orderHistory[customer]),ROW(orderHistory[customer])),""),ROWS($A$15:A30)+$B$3))),IF($D$15="",INDEX(orderHistory[order_no],SMALL(IF(ISNUMBER(MATCH(orderHistory[customer],$D$9,0)*MATCH(orderHistory[order_type],$D$13,0)),MATCH(ROW(orderHistory[customer]),ROW(orderHistory[customer])),""),ROWS($A$15:A30)+$B$3)),INDEX(orderHistory[order_no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order_no],SMALL(IF(ISNUMBER(MATCH(orderHistory[customer],$D$9,0)*MATCH(orderHistory[status],$D$11,0)),MATCH(ROW(orderHistory[customer]),ROW(orderHistory[customer])),""),ROWS($A$15:A30)+$B$3)),INDEX(orderHistory[order_no],SMALL(IF(ISNUMBER(MATCH(orderHistory[customer],$D$9,0)*MATCH(orderHistory[status],$D$11,0)*MATCH(YEAR(orderHistory[invoice_date]),$D$15,0)),MATCH(ROW(orderHistory[customer]),ROW(orderHistory[customer])),""),ROWS($A$15:A30)+$B$3))),IF($D$15="",INDEX(orderHistory[order_no],SMALL(IF(ISNUMBER(MATCH(orderHistory[customer],$D$9,0)*MATCH(orderHistory[status],$D$11,0)*MATCH(orderHistory[order_type],$D$13,0)),MATCH(ROW(orderHistory[customer]),ROW(orderHistory[customer])),""),ROWS($A$15:A30)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23</v>
      </c>
      <c r="N25" s="383" t="str">
        <f t="array" ref="N25">IFERROR(IF($D$9="",IF($D$11="",IF($D$13="",IF($D$15="",INDEX(orderHistory[order_type],SMALL(MATCH(ROW(orderHistory[customer]),ROW(orderHistory[customer])),ROWS($A$15:A30)+$B$3)),INDEX(orderHistory[order_type],SMALL(IF(ISNUMBER(MATCH(YEAR(orderHistory[invoice_date]),$D$15,0)),MATCH(ROW(orderHistory[customer]),ROW(orderHistory[customer])),""),ROWS($A$15:A30)+$B$3))),IF($D$15="",INDEX(orderHistory[order_type],SMALL(IF(ISNUMBER(MATCH(orderHistory[order_type],$D$13,0)),MATCH(ROW(orderHistory[customer]),ROW(orderHistory[customer])),""),ROWS($A$15:A30)+$B$3)),INDEX(orderHistory[order_type],SMALL(IF(ISNUMBER(MATCH(orderHistory[order_type],$D$13,0)*MATCH(YEAR(orderHistory[invoice_date]),$D$15,0)),MATCH(ROW(orderHistory[customer]),ROW(orderHistory[customer])),""),ROWS($A$15:A30)+$B$3)))),IF($D$13="",IF($D$15="",INDEX(orderHistory[order_type],SMALL(IF(ISNUMBER(MATCH(orderHistory[status],$D$11,0)),MATCH(ROW(orderHistory[customer]),ROW(orderHistory[customer])),""),ROWS($A$15:A30)+$B$3)),INDEX(orderHistory[order_type],SMALL(IF(ISNUMBER(MATCH(orderHistory[status],$D$11,0)*MATCH(YEAR(orderHistory[invoice_date]),$D$15,0)),MATCH(ROW(orderHistory[customer]),ROW(orderHistory[customer])),""),ROWS($A$15:A30)+$B$3))),IF($D$15="",INDEX(orderHistory[order_type],SMALL(IF(ISNUMBER(MATCH(orderHistory[status],$D$11,0)*MATCH(orderHistory[order_type],$D$13,0)),MATCH(ROW(orderHistory[customer]),ROW(orderHistory[customer])),""),ROWS($A$15:A30)+$B$3)),INDEX(orderHistory[order_type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order_type],SMALL(IF(ISNUMBER(MATCH(orderHistory[customer],$D$9,0)),MATCH(ROW(orderHistory[customer]),ROW(orderHistory[customer])),""),ROWS($A$15:A30)+$B$3)),INDEX(orderHistory[order_type],SMALL(IF(ISNUMBER(MATCH(orderHistory[customer],$D$9,0)*MATCH(YEAR(orderHistory[invoice_date]),$D$15,0)),MATCH(ROW(orderHistory[customer]),ROW(orderHistory[customer])),""),ROWS($A$15:A30)+$B$3))),IF($D$15="",INDEX(orderHistory[order_type],SMALL(IF(ISNUMBER(MATCH(orderHistory[customer],$D$9,0)*MATCH(orderHistory[order_type],$D$13,0)),MATCH(ROW(orderHistory[customer]),ROW(orderHistory[customer])),""),ROWS($A$15:A30)+$B$3)),INDEX(orderHistory[order_type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order_type],SMALL(IF(ISNUMBER(MATCH(orderHistory[customer],$D$9,0)*MATCH(orderHistory[status],$D$11,0)),MATCH(ROW(orderHistory[customer]),ROW(orderHistory[customer])),""),ROWS($A$15:A30)+$B$3)),INDEX(orderHistory[order_type],SMALL(IF(ISNUMBER(MATCH(orderHistory[customer],$D$9,0)*MATCH(orderHistory[status],$D$11,0)*MATCH(YEAR(orderHistory[invoice_date]),$D$15,0)),MATCH(ROW(orderHistory[customer]),ROW(orderHistory[customer])),""),ROWS($A$15:A30)+$B$3))),IF($D$15="",INDEX(orderHistory[order_type],SMALL(IF(ISNUMBER(MATCH(orderHistory[customer],$D$9,0)*MATCH(orderHistory[status],$D$11,0)*MATCH(orderHistory[order_type],$D$13,0)),MATCH(ROW(orderHistory[customer]),ROW(orderHistory[customer])),""),ROWS($A$15:A30)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SALE</v>
      </c>
      <c r="O25" s="384">
        <f t="array" ref="O25">IFERROR(IF($D$9="",IF($D$11="",IF($D$13="",IF($D$15="",INDEX(orderHistory[order_date],SMALL(MATCH(ROW(orderHistory[customer]),ROW(orderHistory[customer])),ROWS($A$15:A30)+$B$3)),INDEX(orderHistory[order_date],SMALL(IF(ISNUMBER(MATCH(YEAR(orderHistory[invoice_date]),$D$15,0)),MATCH(ROW(orderHistory[customer]),ROW(orderHistory[customer])),""),ROWS($A$15:A30)+$B$3))),IF($D$15="",INDEX(orderHistory[order_date],SMALL(IF(ISNUMBER(MATCH(orderHistory[order_type],$D$13,0)),MATCH(ROW(orderHistory[customer]),ROW(orderHistory[customer])),""),ROWS($A$15:A30)+$B$3)),INDEX(orderHistory[order_date],SMALL(IF(ISNUMBER(MATCH(orderHistory[order_type],$D$13,0)*MATCH(YEAR(orderHistory[invoice_date]),$D$15,0)),MATCH(ROW(orderHistory[customer]),ROW(orderHistory[customer])),""),ROWS($A$15:A30)+$B$3)))),IF($D$13="",IF($D$15="",INDEX(orderHistory[order_date],SMALL(IF(ISNUMBER(MATCH(orderHistory[status],$D$11,0)),MATCH(ROW(orderHistory[customer]),ROW(orderHistory[customer])),""),ROWS($A$15:A30)+$B$3)),INDEX(orderHistory[order_date],SMALL(IF(ISNUMBER(MATCH(orderHistory[status],$D$11,0)*MATCH(YEAR(orderHistory[invoice_date]),$D$15,0)),MATCH(ROW(orderHistory[customer]),ROW(orderHistory[customer])),""),ROWS($A$15:A30)+$B$3))),IF($D$15="",INDEX(orderHistory[order_date],SMALL(IF(ISNUMBER(MATCH(orderHistory[status],$D$11,0)*MATCH(orderHistory[order_type],$D$13,0)),MATCH(ROW(orderHistory[customer]),ROW(orderHistory[customer])),""),ROWS($A$15:A30)+$B$3)),INDEX(orderHistory[order_date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order_date],SMALL(IF(ISNUMBER(MATCH(orderHistory[customer],$D$9,0)),MATCH(ROW(orderHistory[customer]),ROW(orderHistory[customer])),""),ROWS($A$15:A30)+$B$3)),INDEX(orderHistory[order_date],SMALL(IF(ISNUMBER(MATCH(orderHistory[customer],$D$9,0)*MATCH(YEAR(orderHistory[invoice_date]),$D$15,0)),MATCH(ROW(orderHistory[customer]),ROW(orderHistory[customer])),""),ROWS($A$15:A30)+$B$3))),IF($D$15="",INDEX(orderHistory[order_date],SMALL(IF(ISNUMBER(MATCH(orderHistory[customer],$D$9,0)*MATCH(orderHistory[order_type],$D$13,0)),MATCH(ROW(orderHistory[customer]),ROW(orderHistory[customer])),""),ROWS($A$15:A30)+$B$3)),INDEX(orderHistory[order_date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order_date],SMALL(IF(ISNUMBER(MATCH(orderHistory[customer],$D$9,0)*MATCH(orderHistory[status],$D$11,0)),MATCH(ROW(orderHistory[customer]),ROW(orderHistory[customer])),""),ROWS($A$15:A30)+$B$3)),INDEX(orderHistory[order_date],SMALL(IF(ISNUMBER(MATCH(orderHistory[customer],$D$9,0)*MATCH(orderHistory[status],$D$11,0)*MATCH(YEAR(orderHistory[invoice_date]),$D$15,0)),MATCH(ROW(orderHistory[customer]),ROW(orderHistory[customer])),""),ROWS($A$15:A30)+$B$3))),IF($D$15="",INDEX(orderHistory[order_date],SMALL(IF(ISNUMBER(MATCH(orderHistory[customer],$D$9,0)*MATCH(orderHistory[status],$D$11,0)*MATCH(orderHistory[order_type],$D$13,0)),MATCH(ROW(orderHistory[customer]),ROW(orderHistory[customer])),""),ROWS($A$15:A30)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45371</v>
      </c>
      <c r="P25" s="385" t="str">
        <f t="array" ref="P25">IFERROR(IF($D$9="",IF($D$11="",IF($D$13="",IF($D$15="",INDEX(orderHistory[invoice_no],SMALL(MATCH(ROW(orderHistory[customer]),ROW(orderHistory[customer])),ROWS($A$15:A30)+$B$3)),INDEX(orderHistory[invoice_no],SMALL(IF(ISNUMBER(MATCH(YEAR(orderHistory[invoice_date]),$D$15,0)),MATCH(ROW(orderHistory[customer]),ROW(orderHistory[customer])),""),ROWS($A$15:A30)+$B$3))),IF($D$15="",INDEX(orderHistory[invoice_no],SMALL(IF(ISNUMBER(MATCH(orderHistory[order_type],$D$13,0)),MATCH(ROW(orderHistory[customer]),ROW(orderHistory[customer])),""),ROWS($A$15:A30)+$B$3)),INDEX(orderHistory[invoice_no],SMALL(IF(ISNUMBER(MATCH(orderHistory[order_type],$D$13,0)*MATCH(YEAR(orderHistory[invoice_date]),$D$15,0)),MATCH(ROW(orderHistory[customer]),ROW(orderHistory[customer])),""),ROWS($A$15:A30)+$B$3)))),IF($D$13="",IF($D$15="",INDEX(orderHistory[invoice_no],SMALL(IF(ISNUMBER(MATCH(orderHistory[status],$D$11,0)),MATCH(ROW(orderHistory[customer]),ROW(orderHistory[customer])),""),ROWS($A$15:A30)+$B$3)),INDEX(orderHistory[invoice_no],SMALL(IF(ISNUMBER(MATCH(orderHistory[status],$D$11,0)*MATCH(YEAR(orderHistory[invoice_date]),$D$15,0)),MATCH(ROW(orderHistory[customer]),ROW(orderHistory[customer])),""),ROWS($A$15:A30)+$B$3))),IF($D$15="",INDEX(orderHistory[invoice_no],SMALL(IF(ISNUMBER(MATCH(orderHistory[status],$D$11,0)*MATCH(orderHistory[order_type],$D$13,0)),MATCH(ROW(orderHistory[customer]),ROW(orderHistory[customer])),""),ROWS($A$15:A30)+$B$3)),INDEX(orderHistory[invoice_no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invoice_no],SMALL(IF(ISNUMBER(MATCH(orderHistory[customer],$D$9,0)),MATCH(ROW(orderHistory[customer]),ROW(orderHistory[customer])),""),ROWS($A$15:A30)+$B$3)),INDEX(orderHistory[invoice_no],SMALL(IF(ISNUMBER(MATCH(orderHistory[customer],$D$9,0)*MATCH(YEAR(orderHistory[invoice_date]),$D$15,0)),MATCH(ROW(orderHistory[customer]),ROW(orderHistory[customer])),""),ROWS($A$15:A30)+$B$3))),IF($D$15="",INDEX(orderHistory[invoice_no],SMALL(IF(ISNUMBER(MATCH(orderHistory[customer],$D$9,0)*MATCH(orderHistory[order_type],$D$13,0)),MATCH(ROW(orderHistory[customer]),ROW(orderHistory[customer])),""),ROWS($A$15:A30)+$B$3)),INDEX(orderHistory[invoice_no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invoice_no],SMALL(IF(ISNUMBER(MATCH(orderHistory[customer],$D$9,0)*MATCH(orderHistory[status],$D$11,0)),MATCH(ROW(orderHistory[customer]),ROW(orderHistory[customer])),""),ROWS($A$15:A30)+$B$3)),INDEX(orderHistory[invoice_no],SMALL(IF(ISNUMBER(MATCH(orderHistory[customer],$D$9,0)*MATCH(orderHistory[status],$D$11,0)*MATCH(YEAR(orderHistory[invoice_date]),$D$15,0)),MATCH(ROW(orderHistory[customer]),ROW(orderHistory[customer])),""),ROWS($A$15:A30)+$B$3))),IF($D$15="",INDEX(orderHistory[invoice_no],SMALL(IF(ISNUMBER(MATCH(orderHistory[customer],$D$9,0)*MATCH(orderHistory[status],$D$11,0)*MATCH(orderHistory[order_type],$D$13,0)),MATCH(ROW(orderHistory[customer]),ROW(orderHistory[customer])),""),ROWS($A$15:A30)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255</v>
      </c>
      <c r="Q25" s="386">
        <f t="array" ref="Q25">IFERROR(IF($D$9="",IF($D$11="",IF($D$13="",IF($D$15="",INDEX(orderHistory[invoice_date],SMALL(MATCH(ROW(orderHistory[customer]),ROW(orderHistory[customer])),ROWS($A$15:A30)+$B$3)),INDEX(orderHistory[invoice_date],SMALL(IF(ISNUMBER(MATCH(YEAR(orderHistory[invoice_date]),$D$15,0)),MATCH(ROW(orderHistory[customer]),ROW(orderHistory[customer])),""),ROWS($A$15:A30)+$B$3))),IF($D$15="",INDEX(orderHistory[invoice_date],SMALL(IF(ISNUMBER(MATCH(orderHistory[order_type],$D$13,0)),MATCH(ROW(orderHistory[customer]),ROW(orderHistory[customer])),""),ROWS($A$15:A30)+$B$3)),INDEX(orderHistory[invoice_date],SMALL(IF(ISNUMBER(MATCH(orderHistory[order_type],$D$13,0)*MATCH(YEAR(orderHistory[invoice_date]),$D$15,0)),MATCH(ROW(orderHistory[customer]),ROW(orderHistory[customer])),""),ROWS($A$15:A30)+$B$3)))),IF($D$13="",IF($D$15="",INDEX(orderHistory[invoice_date],SMALL(IF(ISNUMBER(MATCH(orderHistory[status],$D$11,0)),MATCH(ROW(orderHistory[customer]),ROW(orderHistory[customer])),""),ROWS($A$15:A30)+$B$3)),INDEX(orderHistory[invoice_date],SMALL(IF(ISNUMBER(MATCH(orderHistory[status],$D$11,0)*MATCH(YEAR(orderHistory[invoice_date]),$D$15,0)),MATCH(ROW(orderHistory[customer]),ROW(orderHistory[customer])),""),ROWS($A$15:A30)+$B$3))),IF($D$15="",INDEX(orderHistory[invoice_date],SMALL(IF(ISNUMBER(MATCH(orderHistory[status],$D$11,0)*MATCH(orderHistory[order_type],$D$13,0)),MATCH(ROW(orderHistory[customer]),ROW(orderHistory[customer])),""),ROWS($A$15:A30)+$B$3)),INDEX(orderHistory[invoice_date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invoice_date],SMALL(IF(ISNUMBER(MATCH(orderHistory[customer],$D$9,0)),MATCH(ROW(orderHistory[customer]),ROW(orderHistory[customer])),""),ROWS($A$15:A30)+$B$3)),INDEX(orderHistory[invoice_date],SMALL(IF(ISNUMBER(MATCH(orderHistory[customer],$D$9,0)*MATCH(YEAR(orderHistory[invoice_date]),$D$15,0)),MATCH(ROW(orderHistory[customer]),ROW(orderHistory[customer])),""),ROWS($A$15:A30)+$B$3))),IF($D$15="",INDEX(orderHistory[invoice_date],SMALL(IF(ISNUMBER(MATCH(orderHistory[customer],$D$9,0)*MATCH(orderHistory[order_type],$D$13,0)),MATCH(ROW(orderHistory[customer]),ROW(orderHistory[customer])),""),ROWS($A$15:A30)+$B$3)),INDEX(orderHistory[invoice_date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invoice_date],SMALL(IF(ISNUMBER(MATCH(orderHistory[customer],$D$9,0)*MATCH(orderHistory[status],$D$11,0)),MATCH(ROW(orderHistory[customer]),ROW(orderHistory[customer])),""),ROWS($A$15:A30)+$B$3)),INDEX(orderHistory[invoice_date],SMALL(IF(ISNUMBER(MATCH(orderHistory[customer],$D$9,0)*MATCH(orderHistory[status],$D$11,0)*MATCH(YEAR(orderHistory[invoice_date]),$D$15,0)),MATCH(ROW(orderHistory[customer]),ROW(orderHistory[customer])),""),ROWS($A$15:A30)+$B$3))),IF($D$15="",INDEX(orderHistory[invoice_date],SMALL(IF(ISNUMBER(MATCH(orderHistory[customer],$D$9,0)*MATCH(orderHistory[status],$D$11,0)*MATCH(orderHistory[order_type],$D$13,0)),MATCH(ROW(orderHistory[customer]),ROW(orderHistory[customer])),""),ROWS($A$15:A30)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45497</v>
      </c>
      <c r="R25" s="387">
        <f t="array" ref="R25">IFERROR(IF($D$9="",IF($D$11="",IF($D$13="",IF($D$15="",INDEX(orderHistory[inv_amount],SMALL(MATCH(ROW(orderHistory[customer]),ROW(orderHistory[customer])),ROWS($A$15:A30)+$B$3)),INDEX(orderHistory[inv_amount],SMALL(IF(ISNUMBER(MATCH(YEAR(orderHistory[invoice_date]),$D$15,0)),MATCH(ROW(orderHistory[customer]),ROW(orderHistory[customer])),""),ROWS($A$15:A30)+$B$3))),IF($D$15="",INDEX(orderHistory[inv_amount],SMALL(IF(ISNUMBER(MATCH(orderHistory[order_type],$D$13,0)),MATCH(ROW(orderHistory[customer]),ROW(orderHistory[customer])),""),ROWS($A$15:A30)+$B$3)),INDEX(orderHistory[inv_amount],SMALL(IF(ISNUMBER(MATCH(orderHistory[order_type],$D$13,0)*MATCH(YEAR(orderHistory[invoice_date]),$D$15,0)),MATCH(ROW(orderHistory[customer]),ROW(orderHistory[customer])),""),ROWS($A$15:A30)+$B$3)))),IF($D$13="",IF($D$15="",INDEX(orderHistory[inv_amount],SMALL(IF(ISNUMBER(MATCH(orderHistory[status],$D$11,0)),MATCH(ROW(orderHistory[customer]),ROW(orderHistory[customer])),""),ROWS($A$15:A30)+$B$3)),INDEX(orderHistory[inv_amount],SMALL(IF(ISNUMBER(MATCH(orderHistory[status],$D$11,0)*MATCH(YEAR(orderHistory[invoice_date]),$D$15,0)),MATCH(ROW(orderHistory[customer]),ROW(orderHistory[customer])),""),ROWS($A$15:A30)+$B$3))),IF($D$15="",INDEX(orderHistory[inv_amount],SMALL(IF(ISNUMBER(MATCH(orderHistory[status],$D$11,0)*MATCH(orderHistory[order_type],$D$13,0)),MATCH(ROW(orderHistory[customer]),ROW(orderHistory[customer])),""),ROWS($A$15:A30)+$B$3)),INDEX(orderHistory[inv_amount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inv_amount],SMALL(IF(ISNUMBER(MATCH(orderHistory[customer],$D$9,0)),MATCH(ROW(orderHistory[customer]),ROW(orderHistory[customer])),""),ROWS($A$15:A30)+$B$3)),INDEX(orderHistory[inv_amount],SMALL(IF(ISNUMBER(MATCH(orderHistory[customer],$D$9,0)*MATCH(YEAR(orderHistory[invoice_date]),$D$15,0)),MATCH(ROW(orderHistory[customer]),ROW(orderHistory[customer])),""),ROWS($A$15:A30)+$B$3))),IF($D$15="",INDEX(orderHistory[inv_amount],SMALL(IF(ISNUMBER(MATCH(orderHistory[customer],$D$9,0)*MATCH(orderHistory[order_type],$D$13,0)),MATCH(ROW(orderHistory[customer]),ROW(orderHistory[customer])),""),ROWS($A$15:A30)+$B$3)),INDEX(orderHistory[inv_amount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inv_amount],SMALL(IF(ISNUMBER(MATCH(orderHistory[customer],$D$9,0)*MATCH(orderHistory[status],$D$11,0)),MATCH(ROW(orderHistory[customer]),ROW(orderHistory[customer])),""),ROWS($A$15:A30)+$B$3)),INDEX(orderHistory[inv_amount],SMALL(IF(ISNUMBER(MATCH(orderHistory[customer],$D$9,0)*MATCH(orderHistory[status],$D$11,0)*MATCH(YEAR(orderHistory[inv_amount]),$D$15,0)),MATCH(ROW(orderHistory[customer]),ROW(orderHistory[customer])),""),ROWS($A$15:A30)+$B$3))),IF($D$15="",INDEX(orderHistory[inv_amount],SMALL(IF(ISNUMBER(MATCH(orderHistory[customer],$D$9,0)*MATCH(orderHistory[status],$D$11,0)*MATCH(orderHistory[order_type],$D$13,0)),MATCH(ROW(orderHistory[customer]),ROW(orderHistory[customer])),""),ROWS($A$15:A30)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44675</v>
      </c>
      <c r="S25" s="465" t="str">
        <f t="array" ref="S25">IFERROR(IF($D$9="",IF($D$11="",IF($D$13="",IF($D$15="",INDEX(orderHistory[lock_goods],SMALL(MATCH(ROW(orderHistory[customer]),ROW(orderHistory[customer])),ROWS($A$15:A30)+$B$3)),INDEX(orderHistory[lock_goods],SMALL(IF(ISNUMBER(MATCH(YEAR(orderHistory[invoice_date]),$D$15,0)),MATCH(ROW(orderHistory[customer]),ROW(orderHistory[customer])),""),ROWS($A$15:A30)+$B$3))),IF($D$15="",INDEX(orderHistory[lock_goods],SMALL(IF(ISNUMBER(MATCH(orderHistory[order_type],$D$13,0)),MATCH(ROW(orderHistory[customer]),ROW(orderHistory[customer])),""),ROWS($A$15:A30)+$B$3)),INDEX(orderHistory[lock_goods],SMALL(IF(ISNUMBER(MATCH(orderHistory[order_type],$D$13,0)*MATCH(YEAR(orderHistory[invoice_date]),$D$15,0)),MATCH(ROW(orderHistory[customer]),ROW(orderHistory[customer])),""),ROWS($A$15:A30)+$B$3)))),IF($D$13="",IF($D$15="",INDEX(orderHistory[lock_goods],SMALL(IF(ISNUMBER(MATCH(orderHistory[status],$D$11,0)),MATCH(ROW(orderHistory[customer]),ROW(orderHistory[customer])),""),ROWS($A$15:A30)+$B$3)),INDEX(orderHistory[lock_goods],SMALL(IF(ISNUMBER(MATCH(orderHistory[status],$D$11,0)*MATCH(YEAR(orderHistory[invoice_date]),$D$15,0)),MATCH(ROW(orderHistory[customer]),ROW(orderHistory[customer])),""),ROWS($A$15:A30)+$B$3))),IF($D$15="",INDEX(orderHistory[lock_goods],SMALL(IF(ISNUMBER(MATCH(orderHistory[status],$D$11,0)*MATCH(orderHistory[order_type],$D$13,0)),MATCH(ROW(orderHistory[customer]),ROW(orderHistory[customer])),""),ROWS($A$15:A30)+$B$3)),INDEX(orderHistory[lock_goods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lock_goods],SMALL(IF(ISNUMBER(MATCH(orderHistory[customer],$D$9,0)),MATCH(ROW(orderHistory[customer]),ROW(orderHistory[customer])),""),ROWS($A$15:A30)+$B$3)),INDEX(orderHistory[lock_goods],SMALL(IF(ISNUMBER(MATCH(orderHistory[customer],$D$9,0)*MATCH(YEAR(orderHistory[invoice_date]),$D$15,0)),MATCH(ROW(orderHistory[customer]),ROW(orderHistory[customer])),""),ROWS($A$15:A30)+$B$3))),IF($D$15="",INDEX(orderHistory[lock_goods],SMALL(IF(ISNUMBER(MATCH(orderHistory[customer],$D$9,0)*MATCH(orderHistory[order_type],$D$13,0)),MATCH(ROW(orderHistory[customer]),ROW(orderHistory[customer])),""),ROWS($A$15:A30)+$B$3)),INDEX(orderHistory[lock_goods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lock_goods],SMALL(IF(ISNUMBER(MATCH(orderHistory[customer],$D$9,0)*MATCH(orderHistory[status],$D$11,0)),MATCH(ROW(orderHistory[customer]),ROW(orderHistory[customer])),""),ROWS($A$15:A30)+$B$3)),INDEX(orderHistory[lock_goods],SMALL(IF(ISNUMBER(MATCH(orderHistory[customer],$D$9,0)*MATCH(orderHistory[status],$D$11,0)*MATCH(YEAR(orderHistory[payed]),$D$15,0)),MATCH(ROW(orderHistory[customer]),ROW(orderHistory[customer])),""),ROWS($A$15:A30)+$B$3))),IF($D$15="",INDEX(orderHistory[lock_goods],SMALL(IF(ISNUMBER(MATCH(orderHistory[customer],$D$9,0)*MATCH(orderHistory[status],$D$11,0)*MATCH(orderHistory[order_type],$D$13,0)),MATCH(ROW(orderHistory[customer]),ROW(orderHistory[customer])),""),ROWS($A$15:A30)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GOODS SENT</v>
      </c>
      <c r="T25" s="388" t="b">
        <f t="array" ref="T25">IFERROR(IF($D$9="",IF($D$11="",IF($D$13="",IF($D$15="",INDEX(orderHistory[payed],SMALL(MATCH(ROW(orderHistory[customer]),ROW(orderHistory[customer])),ROWS($A$15:A30)+$B$3)),INDEX(orderHistory[payed],SMALL(IF(ISNUMBER(MATCH(YEAR(orderHistory[invoice_date]),$D$15,0)),MATCH(ROW(orderHistory[customer]),ROW(orderHistory[customer])),""),ROWS($A$15:A30)+$B$3))),IF($D$15="",INDEX(orderHistory[payed],SMALL(IF(ISNUMBER(MATCH(orderHistory[order_type],$D$13,0)),MATCH(ROW(orderHistory[customer]),ROW(orderHistory[customer])),""),ROWS($A$15:A30)+$B$3)),INDEX(orderHistory[payed],SMALL(IF(ISNUMBER(MATCH(orderHistory[order_type],$D$13,0)*MATCH(YEAR(orderHistory[invoice_date]),$D$15,0)),MATCH(ROW(orderHistory[customer]),ROW(orderHistory[customer])),""),ROWS($A$15:A30)+$B$3)))),IF($D$13="",IF($D$15="",INDEX(orderHistory[payed],SMALL(IF(ISNUMBER(MATCH(orderHistory[status],$D$11,0)),MATCH(ROW(orderHistory[customer]),ROW(orderHistory[customer])),""),ROWS($A$15:A30)+$B$3)),INDEX(orderHistory[payed],SMALL(IF(ISNUMBER(MATCH(orderHistory[status],$D$11,0)*MATCH(YEAR(orderHistory[invoice_date]),$D$15,0)),MATCH(ROW(orderHistory[customer]),ROW(orderHistory[customer])),""),ROWS($A$15:A30)+$B$3))),IF($D$15="",INDEX(orderHistory[payed],SMALL(IF(ISNUMBER(MATCH(orderHistory[status],$D$11,0)*MATCH(orderHistory[order_type],$D$13,0)),MATCH(ROW(orderHistory[customer]),ROW(orderHistory[customer])),""),ROWS($A$15:A30)+$B$3)),INDEX(orderHistory[payed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payed],SMALL(IF(ISNUMBER(MATCH(orderHistory[customer],$D$9,0)),MATCH(ROW(orderHistory[customer]),ROW(orderHistory[customer])),""),ROWS($A$15:A30)+$B$3)),INDEX(orderHistory[payed],SMALL(IF(ISNUMBER(MATCH(orderHistory[customer],$D$9,0)*MATCH(YEAR(orderHistory[invoice_date]),$D$15,0)),MATCH(ROW(orderHistory[customer]),ROW(orderHistory[customer])),""),ROWS($A$15:A30)+$B$3))),IF($D$15="",INDEX(orderHistory[payed],SMALL(IF(ISNUMBER(MATCH(orderHistory[customer],$D$9,0)*MATCH(orderHistory[order_type],$D$13,0)),MATCH(ROW(orderHistory[customer]),ROW(orderHistory[customer])),""),ROWS($A$15:A30)+$B$3)),INDEX(orderHistory[payed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payed],SMALL(IF(ISNUMBER(MATCH(orderHistory[customer],$D$9,0)*MATCH(orderHistory[status],$D$11,0)),MATCH(ROW(orderHistory[customer]),ROW(orderHistory[customer])),""),ROWS($A$15:A30)+$B$3)),INDEX(orderHistory[payed],SMALL(IF(ISNUMBER(MATCH(orderHistory[customer],$D$9,0)*MATCH(orderHistory[status],$D$11,0)*MATCH(YEAR(orderHistory[payed]),$D$15,0)),MATCH(ROW(orderHistory[customer]),ROW(orderHistory[customer])),""),ROWS($A$15:A30)+$B$3))),IF($D$15="",INDEX(orderHistory[payed],SMALL(IF(ISNUMBER(MATCH(orderHistory[customer],$D$9,0)*MATCH(orderHistory[status],$D$11,0)*MATCH(orderHistory[order_type],$D$13,0)),MATCH(ROW(orderHistory[customer]),ROW(orderHistory[customer])),""),ROWS($A$15:A30)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1</v>
      </c>
      <c r="U25" s="383" t="str">
        <f t="array" ref="U25">IFERROR(IF($D$9="",IF($D$11="",IF($D$13="",IF($D$15="",INDEX(orderHistory[shipping_method],SMALL(MATCH(ROW(orderHistory[customer]),ROW(orderHistory[customer])),ROWS($A$15:A30)+$B$3)),INDEX(orderHistory[shipping_method],SMALL(IF(ISNUMBER(MATCH(YEAR(orderHistory[invoice_date]),$D$15,0)),MATCH(ROW(orderHistory[customer]),ROW(orderHistory[customer])),""),ROWS($A$15:A30)+$B$3))),IF($D$15="",INDEX(orderHistory[shipping_method],SMALL(IF(ISNUMBER(MATCH(orderHistory[order_type],$D$13,0)),MATCH(ROW(orderHistory[customer]),ROW(orderHistory[customer])),""),ROWS($A$15:A30)+$B$3)),INDEX(orderHistory[shipping_method],SMALL(IF(ISNUMBER(MATCH(orderHistory[order_type],$D$13,0)*MATCH(YEAR(orderHistory[invoice_date]),$D$15,0)),MATCH(ROW(orderHistory[customer]),ROW(orderHistory[customer])),""),ROWS($A$15:A30)+$B$3)))),IF($D$13="",IF($D$15="",INDEX(orderHistory[shipping_method],SMALL(IF(ISNUMBER(MATCH(orderHistory[status],$D$11,0)),MATCH(ROW(orderHistory[customer]),ROW(orderHistory[customer])),""),ROWS($A$15:A30)+$B$3)),INDEX(orderHistory[shipping_method],SMALL(IF(ISNUMBER(MATCH(orderHistory[status],$D$11,0)*MATCH(YEAR(orderHistory[invoice_date]),$D$15,0)),MATCH(ROW(orderHistory[customer]),ROW(orderHistory[customer])),""),ROWS($A$15:A30)+$B$3))),IF($D$15="",INDEX(orderHistory[shipping_method],SMALL(IF(ISNUMBER(MATCH(orderHistory[status],$D$11,0)*MATCH(orderHistory[order_type],$D$13,0)),MATCH(ROW(orderHistory[customer]),ROW(orderHistory[customer])),""),ROWS($A$15:A30)+$B$3)),INDEX(orderHistory[shipping_method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shipping_method],SMALL(IF(ISNUMBER(MATCH(orderHistory[customer],$D$9,0)),MATCH(ROW(orderHistory[customer]),ROW(orderHistory[customer])),""),ROWS($A$15:A30)+$B$3)),INDEX(orderHistory[shipping_method],SMALL(IF(ISNUMBER(MATCH(orderHistory[customer],$D$9,0)*MATCH(YEAR(orderHistory[invoice_date]),$D$15,0)),MATCH(ROW(orderHistory[customer]),ROW(orderHistory[customer])),""),ROWS($A$15:A30)+$B$3))),IF($D$15="",INDEX(orderHistory[shipping_method],SMALL(IF(ISNUMBER(MATCH(orderHistory[customer],$D$9,0)*MATCH(orderHistory[order_type],$D$13,0)),MATCH(ROW(orderHistory[customer]),ROW(orderHistory[customer])),""),ROWS($A$15:A30)+$B$3)),INDEX(orderHistory[shipping_method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shipping_method],SMALL(IF(ISNUMBER(MATCH(orderHistory[customer],$D$9,0)*MATCH(orderHistory[status],$D$11,0)),MATCH(ROW(orderHistory[customer]),ROW(orderHistory[customer])),""),ROWS($A$15:A30)+$B$3)),INDEX(orderHistory[shipping_method],SMALL(IF(ISNUMBER(MATCH(orderHistory[customer],$D$9,0)*MATCH(orderHistory[status],$D$11,0)*MATCH(YEAR(orderHistory[shipping_method]),$D$15,0)),MATCH(ROW(orderHistory[customer]),ROW(orderHistory[customer])),""),ROWS($A$15:A30)+$B$3))),IF($D$15="",INDEX(orderHistory[shipping_method],SMALL(IF(ISNUMBER(MATCH(orderHistory[customer],$D$9,0)*MATCH(orderHistory[status],$D$11,0)*MATCH(orderHistory[order_type],$D$13,0)),MATCH(ROW(orderHistory[customer]),ROW(orderHistory[customer])),""),ROWS($A$15:A30)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BY ROAD</v>
      </c>
      <c r="V25" s="388" t="str">
        <f t="array" ref="V25">IFERROR(IF($D$9="",IF($D$11="",IF($D$13="",IF($D$15="",INDEX(orderHistory[status],SMALL(MATCH(ROW(orderHistory[customer]),ROW(orderHistory[customer])),ROWS($A$15:A30)+$B$3)),INDEX(orderHistory[status],SMALL(IF(ISNUMBER(MATCH(YEAR(orderHistory[invoice_date]),$D$15,0)),MATCH(ROW(orderHistory[customer]),ROW(orderHistory[customer])),""),ROWS($A$15:A30)+$B$3))),IF($D$15="",INDEX(orderHistory[status],SMALL(IF(ISNUMBER(MATCH(orderHistory[order_type],$D$13,0)),MATCH(ROW(orderHistory[customer]),ROW(orderHistory[customer])),""),ROWS($A$15:A30)+$B$3)),INDEX(orderHistory[status],SMALL(IF(ISNUMBER(MATCH(orderHistory[order_type],$D$13,0)*MATCH(YEAR(orderHistory[invoice_date]),$D$15,0)),MATCH(ROW(orderHistory[customer]),ROW(orderHistory[customer])),""),ROWS($A$15:A30)+$B$3)))),IF($D$13="",IF($D$15="",INDEX(orderHistory[status],SMALL(IF(ISNUMBER(MATCH(orderHistory[status],$D$11,0)),MATCH(ROW(orderHistory[customer]),ROW(orderHistory[customer])),""),ROWS($A$15:A30)+$B$3)),INDEX(orderHistory[status],SMALL(IF(ISNUMBER(MATCH(orderHistory[status],$D$11,0)*MATCH(YEAR(orderHistory[invoice_date]),$D$15,0)),MATCH(ROW(orderHistory[customer]),ROW(orderHistory[customer])),""),ROWS($A$15:A30)+$B$3))),IF($D$15="",INDEX(orderHistory[status],SMALL(IF(ISNUMBER(MATCH(orderHistory[status],$D$11,0)*MATCH(orderHistory[order_type],$D$13,0)),MATCH(ROW(orderHistory[customer]),ROW(orderHistory[customer])),""),ROWS($A$15:A30)+$B$3)),INDEX(orderHistory[status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status],SMALL(IF(ISNUMBER(MATCH(orderHistory[customer],$D$9,0)),MATCH(ROW(orderHistory[customer]),ROW(orderHistory[customer])),""),ROWS($A$15:A30)+$B$3)),INDEX(orderHistory[status],SMALL(IF(ISNUMBER(MATCH(orderHistory[customer],$D$9,0)*MATCH(YEAR(orderHistory[invoice_date]),$D$15,0)),MATCH(ROW(orderHistory[customer]),ROW(orderHistory[customer])),""),ROWS($A$15:A30)+$B$3))),IF($D$15="",INDEX(orderHistory[status],SMALL(IF(ISNUMBER(MATCH(orderHistory[customer],$D$9,0)*MATCH(orderHistory[order_type],$D$13,0)),MATCH(ROW(orderHistory[customer]),ROW(orderHistory[customer])),""),ROWS($A$15:A30)+$B$3)),INDEX(orderHistory[status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status],SMALL(IF(ISNUMBER(MATCH(orderHistory[customer],$D$9,0)*MATCH(orderHistory[status],$D$11,0)),MATCH(ROW(orderHistory[customer]),ROW(orderHistory[customer])),""),ROWS($A$15:A30)+$B$3)),INDEX(orderHistory[status],SMALL(IF(ISNUMBER(MATCH(orderHistory[customer],$D$9,0)*MATCH(orderHistory[status],$D$11,0)*MATCH(YEAR(orderHistory[status]),$D$15,0)),MATCH(ROW(orderHistory[customer]),ROW(orderHistory[customer])),""),ROWS($A$15:A30)+$B$3))),IF($D$15="",INDEX(orderHistory[status],SMALL(IF(ISNUMBER(MATCH(orderHistory[customer],$D$9,0)*MATCH(orderHistory[status],$D$11,0)*MATCH(orderHistory[order_type],$D$13,0)),MATCH(ROW(orderHistory[customer]),ROW(orderHistory[customer])),""),ROWS($A$15:A30)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SHIPPED</v>
      </c>
      <c r="W25" s="547" t="str">
        <f t="array" ref="W25">IFERROR(IF($D$9="",IF($D$11="",IF($D$13="",IF($D$15="",INDEX(orderHistory[custom_docs],SMALL(MATCH(ROW(orderHistory[customer]),ROW(orderHistory[customer])),ROWS($A$15:A30)+$B$3)),INDEX(orderHistory[custom_docs],SMALL(IF(ISNUMBER(MATCH(YEAR(orderHistory[invoice_date]),$D$15,0)),MATCH(ROW(orderHistory[customer]),ROW(orderHistory[customer])),""),ROWS($A$15:A30)+$B$3))),IF($D$15="",INDEX(orderHistory[custom_docs],SMALL(IF(ISNUMBER(MATCH(orderHistory[order_type],$D$13,0)),MATCH(ROW(orderHistory[customer]),ROW(orderHistory[customer])),""),ROWS($A$15:A30)+$B$3)),INDEX(orderHistory[custom_docs],SMALL(IF(ISNUMBER(MATCH(orderHistory[order_type],$D$13,0)*MATCH(YEAR(orderHistory[invoice_date]),$D$15,0)),MATCH(ROW(orderHistory[customer]),ROW(orderHistory[customer])),""),ROWS($A$15:A30)+$B$3)))),IF($D$13="",IF($D$15="",INDEX(orderHistory[custom_docs],SMALL(IF(ISNUMBER(MATCH(orderHistory[status],$D$11,0)),MATCH(ROW(orderHistory[customer]),ROW(orderHistory[customer])),""),ROWS($A$15:A30)+$B$3)),INDEX(orderHistory[custom_docs],SMALL(IF(ISNUMBER(MATCH(orderHistory[status],$D$11,0)*MATCH(YEAR(orderHistory[invoice_date]),$D$15,0)),MATCH(ROW(orderHistory[customer]),ROW(orderHistory[customer])),""),ROWS($A$15:A30)+$B$3))),IF($D$15="",INDEX(orderHistory[custom_docs],SMALL(IF(ISNUMBER(MATCH(orderHistory[status],$D$11,0)*MATCH(orderHistory[order_type],$D$13,0)),MATCH(ROW(orderHistory[customer]),ROW(orderHistory[customer])),""),ROWS($A$15:A30)+$B$3)),INDEX(orderHistory[custom_docs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custom_docs],SMALL(IF(ISNUMBER(MATCH(orderHistory[customer],$D$9,0)),MATCH(ROW(orderHistory[customer]),ROW(orderHistory[customer])),""),ROWS($A$15:A30)+$B$3)),INDEX(orderHistory[custom_docs],SMALL(IF(ISNUMBER(MATCH(orderHistory[customer],$D$9,0)*MATCH(YEAR(orderHistory[invoice_date]),$D$15,0)),MATCH(ROW(orderHistory[customer]),ROW(orderHistory[customer])),""),ROWS($A$15:A30)+$B$3))),IF($D$15="",INDEX(orderHistory[custom_docs],SMALL(IF(ISNUMBER(MATCH(orderHistory[customer],$D$9,0)*MATCH(orderHistory[order_type],$D$13,0)),MATCH(ROW(orderHistory[customer]),ROW(orderHistory[customer])),""),ROWS($A$15:A30)+$B$3)),INDEX(orderHistory[custom_docs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custom_docs],SMALL(IF(ISNUMBER(MATCH(orderHistory[customer],$D$9,0)*MATCH(orderHistory[status],$D$11,0)),MATCH(ROW(orderHistory[customer]),ROW(orderHistory[customer])),""),ROWS($A$15:A30)+$B$3)),INDEX(orderHistory[custom_docs],SMALL(IF(ISNUMBER(MATCH(orderHistory[customer],$D$9,0)*MATCH(orderHistory[status],$D$11,0)*MATCH(YEAR(orderHistory[status]),$D$15,0)),MATCH(ROW(orderHistory[customer]),ROW(orderHistory[customer])),""),ROWS($A$15:A30)+$B$3))),IF($D$15="",INDEX(orderHistory[custom_docs],SMALL(IF(ISNUMBER(MATCH(orderHistory[customer],$D$9,0)*MATCH(orderHistory[status],$D$11,0)*MATCH(orderHistory[order_type],$D$13,0)),MATCH(ROW(orderHistory[customer]),ROW(orderHistory[customer])),""),ROWS($A$15:A30)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OK</v>
      </c>
      <c r="AQ25" s="308"/>
      <c r="AR25" s="844"/>
      <c r="AS25" s="844"/>
      <c r="AT25" s="844"/>
      <c r="AU25" s="338"/>
      <c r="AV25" s="312"/>
      <c r="AW25" s="266"/>
      <c r="BK25" s="296"/>
      <c r="BL25" s="297"/>
      <c r="BM25" s="298"/>
      <c r="BN25" s="297"/>
      <c r="BO25" s="298"/>
      <c r="BX25" s="365"/>
      <c r="BZ25" s="487"/>
      <c r="CA25" s="401" t="str">
        <f>IFERROR(IF(BZ25="","",INDEX(bhpc_data[description],MATCH(BZ25,bhpc_data[sku],0))),"")</f>
        <v/>
      </c>
      <c r="CB25" s="402"/>
      <c r="CC25" s="885"/>
      <c r="CD25" s="409"/>
      <c r="CE25" s="890"/>
      <c r="CF25" s="404"/>
      <c r="CG25" s="405" t="str">
        <f>IFERROR(ROUNDUP(CB25/INDEX(bhpc_data[units_per_carton],MATCH(BZ25,bhpc_data[sku],0)),0),"")</f>
        <v/>
      </c>
      <c r="CH25" s="406" t="str">
        <f>IFERROR(ROUNDUP(CD25/INDEX(bhpc_data[units_per_carton],MATCH(BZ25,bhpc_data[sku],0)),0),"")</f>
        <v/>
      </c>
      <c r="CI25" s="406" t="str">
        <f>IFERROR(ROUNDUP(CF25/INDEX(bhpc_data[units_per_carton],MATCH(BZ25,bhpc_data[sku])),0),"")</f>
        <v/>
      </c>
      <c r="CJ25" s="406" t="str">
        <f>IFERROR(((CB25+CD25+CF25)/INDEX(bhpc_data[units_per_carton],MATCH(BZ25,bhpc_data[sku],0)))*INDEX(bhpc_data[net_weight],MATCH(BZ25,bhpc_data[sku],0)),"")</f>
        <v/>
      </c>
      <c r="CK25" s="406" t="str">
        <f>IFERROR(((CB25+CD25+CF25)/INDEX(bhpc_data[units_per_carton],MATCH(BZ25,bhpc_data[sku],0)))*INDEX(bhpc_data[gross_weight],MATCH(BZ25,bhpc_data[sku],0)),"")</f>
        <v/>
      </c>
      <c r="CL25" s="602" t="str">
        <f>IFERROR((CB25+CD25+CF25)/INDEX(bhpc_data[units_per_carton],MATCH(BZ25,bhpc_data[sku],0))*INDEX(bhpc_data[length],MATCH(BZ25,bhpc_data[sku],0))*INDEX(bhpc_data[width],MATCH(BZ25,bhpc_data[sku],0))*INDEX(bhpc_data[height],MATCH(BZ25,bhpc_data[sku],0))/1000000000,"")</f>
        <v/>
      </c>
      <c r="CM25" s="407" t="str">
        <f>IFERROR(INDEX(bhpc_data[category],MATCH(BZ25,bhpc_data[sku],0)),"")</f>
        <v/>
      </c>
      <c r="CN25" s="407" t="str">
        <f>IFERROR(INDEX(bhpc_data[size],MATCH(BZ25,bhpc_data[sku],0)),"")</f>
        <v/>
      </c>
      <c r="CO25" s="408" t="str">
        <f>IFERROR(INDEX(bhpc_data[hs_code],MATCH(BZ25,bhpc_data[sku],0)),"")</f>
        <v/>
      </c>
      <c r="CP25" s="489" t="str">
        <f>IFERROR(INDEX(bhpc_data[sku_geko],MATCH(BZ25,bhpc_data[sku],0)),"")</f>
        <v/>
      </c>
      <c r="CQ25" s="404"/>
      <c r="CR25" s="516" t="str">
        <f>IFERROR(IF(BZ25="","",IF($BX$15="SALE",INDEX(inventory[COSTO UNITARIO],MATCH(BZ25,inventory[SKU],0)),IF($BX$15="SAMPLING",INDEX(inventory[COSTO UNITARIO],MATCH(BZ25,inventory[SKU],0)),""))),"")</f>
        <v/>
      </c>
      <c r="CS25" s="516" t="str">
        <f t="shared" si="5"/>
        <v/>
      </c>
      <c r="CT25" s="896" t="str">
        <f t="shared" si="6"/>
        <v/>
      </c>
      <c r="CU25" s="469" t="str">
        <f t="shared" si="0"/>
        <v/>
      </c>
      <c r="CW25" s="80"/>
      <c r="CX25" s="112" t="s">
        <v>573</v>
      </c>
      <c r="CY25" s="239">
        <f>SUM(CK10:CK109)</f>
        <v>194.8</v>
      </c>
      <c r="CZ25" s="84"/>
      <c r="DA25" s="76"/>
      <c r="DB25" s="77"/>
      <c r="DH25" s="215"/>
      <c r="EE25" s="439" t="str" cm="1">
        <f t="array" ref="EE25">IFERROR(IF($EC$9="",IF($EC$11="",IF($EC$13="",INDEX(bhpc_data[sku],SMALL(MATCH(ROW(bhpc_data[sku]),ROW(bhpc_data[sku])),ROWS($A$15:A30)+$B$3)),INDEX(bhpc_data[sku],SMALL(IF(ISNUMBER(MATCH(bhpc_data[size],$EC$13,0)),MATCH(ROW(bhpc_data[sku]),ROW(bhpc_data[sku])),""),ROWS($A$15:A30)+$B$3))),IF($EC$13="",INDEX(bhpc_data[sku],SMALL(IF(ISNUMBER(MATCH(bhpc_data[sex],$EC$11,0)),MATCH(ROW(bhpc_data[sku]),ROW(bhpc_data[sku])),""),ROWS($A$15:A30)+$B$3)),INDEX(bhpc_data[sku],SMALL(IF(ISNUMBER(MATCH(bhpc_data[sex],$EC$11,0)*MATCH(bhpc_data[size],$EC$13,0)),MATCH(ROW(bhpc_data[sku]),ROW(bhpc_data[sku])),""),ROWS($A$15:A30)+$B$3)))),IF($EC$11="",IF($EC$13="",INDEX(bhpc_data[sku],SMALL(IF(ISNUMBER(MATCH(bhpc_data[category],$EC$9,0)),MATCH(ROW(bhpc_data[sku]),ROW(bhpc_data[sku])),""),ROWS($A$15:A30)+$B$3)),INDEX(bhpc_data[sku],SMALL(IF(ISNUMBER(MATCH(bhpc_data[category],$EC$9,0)*MATCH(bhpc_data[size],$EC$13,0)),MATCH(ROW(bhpc_data[sku]),ROW(bhpc_data[sku])),""),ROWS($A$15:A30)+$B$3))),IF($EC$13="",INDEX(bhpc_data[sku],SMALL(IF(ISNUMBER(MATCH(bhpc_data[category],$EC$9,0)*MATCH(bhpc_data[sex],$EC$11,0)),MATCH(ROW(bhpc_data[sku]),ROW(bhpc_data[sku])),""),ROWS($A$15:A30)+$B$3)),INDEX(bhpc_data[sku],SMALL(IF(ISNUMBER(MATCH(bhpc_data[category],$EC$9,0)*MATCH(bhpc_data[sex],$EC$11,0)*MATCH(bhpc_data[size],$EC$13,0)),MATCH(ROW(bhpc_data[sku]),ROW(bhpc_data[sku])),""),ROWS($A$15:A30)+$B$3))))),"")</f>
        <v>P05031</v>
      </c>
      <c r="EF25" s="440" t="str" cm="1">
        <f t="array" ref="EF25">IFERROR(IF($EC$9="",IF($EC$11="",IF($EC$13="",INDEX(bhpc_data[description],SMALL(MATCH(ROW(bhpc_data[sku]),ROW(bhpc_data[sku])),ROWS($A$15:A30)+$B$3)),INDEX(bhpc_data[description],SMALL(IF(ISNUMBER(MATCH(bhpc_data[size],$EC$13,0)),MATCH(ROW(bhpc_data[sku]),ROW(bhpc_data[sku])),""),ROWS($A$15:A30)+$B$3))),IF($EC$13="",INDEX(bhpc_data[description],SMALL(IF(ISNUMBER(MATCH(bhpc_data[sex],$EC$11,0)),MATCH(ROW(bhpc_data[sku]),ROW(bhpc_data[sku])),""),ROWS($A$15:A30)+$B$3)),INDEX(bhpc_data[description],SMALL(IF(ISNUMBER(MATCH(bhpc_data[sex],$EC$11,0)*MATCH(bhpc_data[size],$EC$13,0)),MATCH(ROW(bhpc_data[sku]),ROW(bhpc_data[sku])),""),ROWS($A$15:A30)+$B$3)))),IF($EC$11="",IF($EC$13="",INDEX(bhpc_data[description],SMALL(IF(ISNUMBER(MATCH(bhpc_data[category],$EC$9,0)),MATCH(ROW(bhpc_data[sku]),ROW(bhpc_data[sku])),""),ROWS($A$15:A30)+$B$3)),INDEX(bhpc_data[description],SMALL(IF(ISNUMBER(MATCH(bhpc_data[category],$EC$9,0)*MATCH(bhpc_data[size],$EC$13,0)),MATCH(ROW(bhpc_data[sku]),ROW(bhpc_data[sku])),""),ROWS($A$15:A30)+$B$3))),IF($EC$13="",INDEX(bhpc_data[description],SMALL(IF(ISNUMBER(MATCH(bhpc_data[category],$EC$9,0)*MATCH(bhpc_data[sex],$EC$11,0)),MATCH(ROW(bhpc_data[sku]),ROW(bhpc_data[sku])),""),ROWS($A$15:A30)+$B$3)),INDEX(bhpc_data[description],SMALL(IF(ISNUMBER(MATCH(bhpc_data[category],$EC$9,0)*MATCH(bhpc_data[sex],$EC$11,0)*MATCH(bhpc_data[size],$EC$13,0)),MATCH(ROW(bhpc_data[sku]),ROW(bhpc_data[sku])),""),ROWS($A$15:A30)+$B$3))))),"")</f>
        <v>BHPC WOMEN 2 EDP 50ML</v>
      </c>
      <c r="EG25" s="441">
        <f>IFERROR(IF('BHPC MANAGER'!$EE25="","",INDEX(inventory[ESISTENZA],MATCH('BHPC MANAGER'!$EE25,inventory[SKU],0))),0)</f>
        <v>0</v>
      </c>
      <c r="EH25" s="442">
        <v>0</v>
      </c>
      <c r="EI25" s="442">
        <f t="shared" si="1"/>
        <v>0</v>
      </c>
      <c r="EJ25" s="443">
        <v>0</v>
      </c>
      <c r="EK25" s="444">
        <f t="shared" si="2"/>
        <v>0</v>
      </c>
      <c r="FF25" s="263"/>
      <c r="FG25" s="263"/>
      <c r="FH25" s="263"/>
      <c r="FI25" s="263"/>
      <c r="FJ25" s="263"/>
      <c r="FK25" s="263"/>
      <c r="FL25" s="263"/>
      <c r="FM25" s="263"/>
      <c r="FN25" s="263"/>
      <c r="FO25" s="263"/>
      <c r="FP25" s="263"/>
      <c r="FQ25" s="263"/>
      <c r="FR25" s="263"/>
      <c r="FS25" s="263"/>
      <c r="FT25" s="263"/>
      <c r="FU25" s="263"/>
      <c r="FV25" s="263"/>
      <c r="FW25" s="263"/>
      <c r="FX25" s="263"/>
      <c r="FY25" s="263"/>
      <c r="FZ25" s="263"/>
      <c r="GA25" s="263"/>
      <c r="GB25" s="263"/>
      <c r="GC25" s="263"/>
      <c r="GD25" s="263"/>
      <c r="GE25" s="263"/>
      <c r="GF25" s="263"/>
      <c r="GG25" s="263"/>
      <c r="GH25" s="263"/>
      <c r="GI25" s="263"/>
      <c r="GJ25" s="263"/>
      <c r="GK25" s="263"/>
      <c r="GL25" s="263"/>
      <c r="GM25" s="263"/>
      <c r="GN25" s="263"/>
      <c r="GO25" s="263"/>
      <c r="GP25" s="263"/>
      <c r="GQ25" s="263"/>
      <c r="GR25" s="263"/>
      <c r="GS25" s="263"/>
      <c r="GT25" s="263"/>
      <c r="GU25" s="263"/>
      <c r="GV25" s="263"/>
      <c r="GW25" s="263"/>
      <c r="GX25" s="263"/>
      <c r="GY25" s="263"/>
      <c r="GZ25" s="263"/>
      <c r="HA25" s="263"/>
      <c r="HB25" s="263"/>
      <c r="HC25" s="263"/>
      <c r="HD25" s="263"/>
      <c r="HE25" s="263"/>
      <c r="HF25" s="263"/>
      <c r="HG25" s="263"/>
      <c r="HH25" s="263"/>
      <c r="HI25" s="263"/>
      <c r="HJ25" s="263"/>
      <c r="HK25" s="263"/>
      <c r="HL25" s="263"/>
      <c r="HM25" s="263"/>
      <c r="HN25" s="263"/>
      <c r="HO25" s="263"/>
      <c r="HP25" s="263"/>
      <c r="HQ25" s="263"/>
      <c r="HR25" s="263"/>
      <c r="HS25" s="263"/>
      <c r="HT25" s="263"/>
    </row>
    <row r="26" spans="1:228" ht="15" customHeight="1" thickBot="1" x14ac:dyDescent="0.4">
      <c r="D26" s="525"/>
      <c r="F26" s="86"/>
      <c r="G26" s="854" t="str">
        <f>IFERROR(INDEX(clientData[hq_address3],MATCH($B$6,clientData[cod_cliente],0)),"")</f>
        <v>EAST SUSSEX, BN1 4FU, UK</v>
      </c>
      <c r="H26" s="855"/>
      <c r="I26" s="856"/>
      <c r="J26" s="77"/>
      <c r="L26" s="381" t="str">
        <f t="array" ref="L26">IFERROR(IF($D$9="",IF($D$11="",IF($D$13="",IF($D$15="",INDEX(orderHistory[customer],SMALL(MATCH(ROW(orderHistory[customer]),ROW(orderHistory[customer])),ROWS($A$15:A31)+$B$3)),INDEX(orderHistory[customer],SMALL(IF(ISNUMBER(MATCH(YEAR(orderHistory[invoice_date]),$D$15,0)),MATCH(ROW(orderHistory[customer]),ROW(orderHistory[customer])),""),ROWS($A$15:A31)+$B$3))),IF($D$15="",INDEX(orderHistory[customer],SMALL(IF(ISNUMBER(MATCH(orderHistory[order_type],$D$13,0)),MATCH(ROW(orderHistory[customer]),ROW(orderHistory[customer])),""),ROWS($A$15:A31)+$B$3)),INDEX(orderHistory[customer],SMALL(IF(ISNUMBER(MATCH(orderHistory[order_type],$D$13,0)*MATCH(YEAR(orderHistory[invoice_date]),$D$15,0)),MATCH(ROW(orderHistory[customer]),ROW(orderHistory[customer])),""),ROWS($A$15:A31)+$B$3)))),IF($D$13="",IF($D$15="",INDEX(orderHistory[customer],SMALL(IF(ISNUMBER(MATCH(orderHistory[status],$D$11,0)),MATCH(ROW(orderHistory[customer]),ROW(orderHistory[customer])),""),ROWS($A$15:A31)+$B$3)),INDEX(orderHistory[customer],SMALL(IF(ISNUMBER(MATCH(orderHistory[status],$D$11,0)*MATCH(YEAR(orderHistory[invoice_date]),$D$15,0)),MATCH(ROW(orderHistory[customer]),ROW(orderHistory[customer])),""),ROWS($A$15:A31)+$B$3))),IF($D$15="",INDEX(orderHistory[customer],SMALL(IF(ISNUMBER(MATCH(orderHistory[status],$D$11,0)*MATCH(orderHistory[order_type],$D$13,0)),MATCH(ROW(orderHistory[customer]),ROW(orderHistory[customer])),""),ROWS($A$15:A31)+$B$3)),INDEX(orderHistory[customer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customer],SMALL(IF(ISNUMBER(MATCH(orderHistory[customer],$D$9,0)),MATCH(ROW(orderHistory[customer]),ROW(orderHistory[customer])),""),ROWS($A$15:A31)+$B$3)),INDEX(orderHistory[customer],SMALL(IF(ISNUMBER(MATCH(orderHistory[customer],$D$9,0)*MATCH(YEAR(orderHistory[invoice_date]),$D$15,0)),MATCH(ROW(orderHistory[customer]),ROW(orderHistory[customer])),""),ROWS($A$15:A31)+$B$3))),IF($D$15="",INDEX(orderHistory[customer],SMALL(IF(ISNUMBER(MATCH(orderHistory[customer],$D$9,0)*MATCH(orderHistory[order_type],$D$13,0)),MATCH(ROW(orderHistory[customer]),ROW(orderHistory[customer])),""),ROWS($A$15:A31)+$B$3)),INDEX(orderHistory[customer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customer],SMALL(IF(ISNUMBER(MATCH(orderHistory[customer],$D$9,0)*MATCH(orderHistory[status],$D$11,0)),MATCH(ROW(orderHistory[customer]),ROW(orderHistory[customer])),""),ROWS($A$15:A31)+$B$3)),INDEX(orderHistory[customer],SMALL(IF(ISNUMBER(MATCH(orderHistory[customer],$D$9,0)*MATCH(orderHistory[status],$D$11,0)*MATCH(YEAR(orderHistory[invoice_date]),$D$15,0)),MATCH(ROW(orderHistory[customer]),ROW(orderHistory[customer])),""),ROWS($A$15:A31)+$B$3))),IF($D$15="",INDEX(orderHistory[customer],SMALL(IF(ISNUMBER(MATCH(orderHistory[customer],$D$9,0)*MATCH(orderHistory[status],$D$11,0)*MATCH(orderHistory[order_type],$D$13,0)),MATCH(ROW(orderHistory[customer]),ROW(orderHistory[customer])),""),ROWS($A$15:A31)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PRESTIGE BRANDS</v>
      </c>
      <c r="M26" s="382">
        <f t="array" ref="M26">IFERROR(IF($D$9="",IF($D$11="",IF($D$13="",IF($D$15="",INDEX(orderHistory[order_no],SMALL(MATCH(ROW(orderHistory[customer]),ROW(orderHistory[customer])),ROWS($A$15:A31)+$B$3)),INDEX(orderHistory[order_no],SMALL(IF(ISNUMBER(MATCH(YEAR(orderHistory[invoice_date]),$D$15,0)),MATCH(ROW(orderHistory[customer]),ROW(orderHistory[customer])),""),ROWS($A$15:A31)+$B$3))),IF($D$15="",INDEX(orderHistory[order_no],SMALL(IF(ISNUMBER(MATCH(orderHistory[order_type],$D$13,0)),MATCH(ROW(orderHistory[customer]),ROW(orderHistory[customer])),""),ROWS($A$15:A31)+$B$3)),INDEX(orderHistory[order_no],SMALL(IF(ISNUMBER(MATCH(orderHistory[order_type],$D$13,0)*MATCH(YEAR(orderHistory[invoice_date]),$D$15,0)),MATCH(ROW(orderHistory[customer]),ROW(orderHistory[customer])),""),ROWS($A$15:A31)+$B$3)))),IF($D$13="",IF($D$15="",INDEX(orderHistory[order_no],SMALL(IF(ISNUMBER(MATCH(orderHistory[status],$D$11,0)),MATCH(ROW(orderHistory[customer]),ROW(orderHistory[customer])),""),ROWS($A$15:A31)+$B$3)),INDEX(orderHistory[order_no],SMALL(IF(ISNUMBER(MATCH(orderHistory[status],$D$11,0)*MATCH(YEAR(orderHistory[invoice_date]),$D$15,0)),MATCH(ROW(orderHistory[customer]),ROW(orderHistory[customer])),""),ROWS($A$15:A31)+$B$3))),IF($D$15="",INDEX(orderHistory[order_no],SMALL(IF(ISNUMBER(MATCH(orderHistory[status],$D$11,0)*MATCH(orderHistory[order_type],$D$13,0)),MATCH(ROW(orderHistory[customer]),ROW(orderHistory[customer])),""),ROWS($A$15:A31)+$B$3)),INDEX(orderHistory[order_no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order_no],SMALL(IF(ISNUMBER(MATCH(orderHistory[customer],$D$9,0)),MATCH(ROW(orderHistory[customer]),ROW(orderHistory[customer])),""),ROWS($A$15:A31)+$B$3)),INDEX(orderHistory[order_no],SMALL(IF(ISNUMBER(MATCH(orderHistory[customer],$D$9,0)*MATCH(YEAR(orderHistory[invoice_date]),$D$15,0)),MATCH(ROW(orderHistory[customer]),ROW(orderHistory[customer])),""),ROWS($A$15:A31)+$B$3))),IF($D$15="",INDEX(orderHistory[order_no],SMALL(IF(ISNUMBER(MATCH(orderHistory[customer],$D$9,0)*MATCH(orderHistory[order_type],$D$13,0)),MATCH(ROW(orderHistory[customer]),ROW(orderHistory[customer])),""),ROWS($A$15:A31)+$B$3)),INDEX(orderHistory[order_no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order_no],SMALL(IF(ISNUMBER(MATCH(orderHistory[customer],$D$9,0)*MATCH(orderHistory[status],$D$11,0)),MATCH(ROW(orderHistory[customer]),ROW(orderHistory[customer])),""),ROWS($A$15:A31)+$B$3)),INDEX(orderHistory[order_no],SMALL(IF(ISNUMBER(MATCH(orderHistory[customer],$D$9,0)*MATCH(orderHistory[status],$D$11,0)*MATCH(YEAR(orderHistory[invoice_date]),$D$15,0)),MATCH(ROW(orderHistory[customer]),ROW(orderHistory[customer])),""),ROWS($A$15:A31)+$B$3))),IF($D$15="",INDEX(orderHistory[order_no],SMALL(IF(ISNUMBER(MATCH(orderHistory[customer],$D$9,0)*MATCH(orderHistory[status],$D$11,0)*MATCH(orderHistory[order_type],$D$13,0)),MATCH(ROW(orderHistory[customer]),ROW(orderHistory[customer])),""),ROWS($A$15:A31)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64</v>
      </c>
      <c r="N26" s="383" t="str">
        <f t="array" ref="N26">IFERROR(IF($D$9="",IF($D$11="",IF($D$13="",IF($D$15="",INDEX(orderHistory[order_type],SMALL(MATCH(ROW(orderHistory[customer]),ROW(orderHistory[customer])),ROWS($A$15:A31)+$B$3)),INDEX(orderHistory[order_type],SMALL(IF(ISNUMBER(MATCH(YEAR(orderHistory[invoice_date]),$D$15,0)),MATCH(ROW(orderHistory[customer]),ROW(orderHistory[customer])),""),ROWS($A$15:A31)+$B$3))),IF($D$15="",INDEX(orderHistory[order_type],SMALL(IF(ISNUMBER(MATCH(orderHistory[order_type],$D$13,0)),MATCH(ROW(orderHistory[customer]),ROW(orderHistory[customer])),""),ROWS($A$15:A31)+$B$3)),INDEX(orderHistory[order_type],SMALL(IF(ISNUMBER(MATCH(orderHistory[order_type],$D$13,0)*MATCH(YEAR(orderHistory[invoice_date]),$D$15,0)),MATCH(ROW(orderHistory[customer]),ROW(orderHistory[customer])),""),ROWS($A$15:A31)+$B$3)))),IF($D$13="",IF($D$15="",INDEX(orderHistory[order_type],SMALL(IF(ISNUMBER(MATCH(orderHistory[status],$D$11,0)),MATCH(ROW(orderHistory[customer]),ROW(orderHistory[customer])),""),ROWS($A$15:A31)+$B$3)),INDEX(orderHistory[order_type],SMALL(IF(ISNUMBER(MATCH(orderHistory[status],$D$11,0)*MATCH(YEAR(orderHistory[invoice_date]),$D$15,0)),MATCH(ROW(orderHistory[customer]),ROW(orderHistory[customer])),""),ROWS($A$15:A31)+$B$3))),IF($D$15="",INDEX(orderHistory[order_type],SMALL(IF(ISNUMBER(MATCH(orderHistory[status],$D$11,0)*MATCH(orderHistory[order_type],$D$13,0)),MATCH(ROW(orderHistory[customer]),ROW(orderHistory[customer])),""),ROWS($A$15:A31)+$B$3)),INDEX(orderHistory[order_type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order_type],SMALL(IF(ISNUMBER(MATCH(orderHistory[customer],$D$9,0)),MATCH(ROW(orderHistory[customer]),ROW(orderHistory[customer])),""),ROWS($A$15:A31)+$B$3)),INDEX(orderHistory[order_type],SMALL(IF(ISNUMBER(MATCH(orderHistory[customer],$D$9,0)*MATCH(YEAR(orderHistory[invoice_date]),$D$15,0)),MATCH(ROW(orderHistory[customer]),ROW(orderHistory[customer])),""),ROWS($A$15:A31)+$B$3))),IF($D$15="",INDEX(orderHistory[order_type],SMALL(IF(ISNUMBER(MATCH(orderHistory[customer],$D$9,0)*MATCH(orderHistory[order_type],$D$13,0)),MATCH(ROW(orderHistory[customer]),ROW(orderHistory[customer])),""),ROWS($A$15:A31)+$B$3)),INDEX(orderHistory[order_type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order_type],SMALL(IF(ISNUMBER(MATCH(orderHistory[customer],$D$9,0)*MATCH(orderHistory[status],$D$11,0)),MATCH(ROW(orderHistory[customer]),ROW(orderHistory[customer])),""),ROWS($A$15:A31)+$B$3)),INDEX(orderHistory[order_type],SMALL(IF(ISNUMBER(MATCH(orderHistory[customer],$D$9,0)*MATCH(orderHistory[status],$D$11,0)*MATCH(YEAR(orderHistory[invoice_date]),$D$15,0)),MATCH(ROW(orderHistory[customer]),ROW(orderHistory[customer])),""),ROWS($A$15:A31)+$B$3))),IF($D$15="",INDEX(orderHistory[order_type],SMALL(IF(ISNUMBER(MATCH(orderHistory[customer],$D$9,0)*MATCH(orderHistory[status],$D$11,0)*MATCH(orderHistory[order_type],$D$13,0)),MATCH(ROW(orderHistory[customer]),ROW(orderHistory[customer])),""),ROWS($A$15:A31)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SALE</v>
      </c>
      <c r="O26" s="384">
        <f t="array" ref="O26">IFERROR(IF($D$9="",IF($D$11="",IF($D$13="",IF($D$15="",INDEX(orderHistory[order_date],SMALL(MATCH(ROW(orderHistory[customer]),ROW(orderHistory[customer])),ROWS($A$15:A31)+$B$3)),INDEX(orderHistory[order_date],SMALL(IF(ISNUMBER(MATCH(YEAR(orderHistory[invoice_date]),$D$15,0)),MATCH(ROW(orderHistory[customer]),ROW(orderHistory[customer])),""),ROWS($A$15:A31)+$B$3))),IF($D$15="",INDEX(orderHistory[order_date],SMALL(IF(ISNUMBER(MATCH(orderHistory[order_type],$D$13,0)),MATCH(ROW(orderHistory[customer]),ROW(orderHistory[customer])),""),ROWS($A$15:A31)+$B$3)),INDEX(orderHistory[order_date],SMALL(IF(ISNUMBER(MATCH(orderHistory[order_type],$D$13,0)*MATCH(YEAR(orderHistory[invoice_date]),$D$15,0)),MATCH(ROW(orderHistory[customer]),ROW(orderHistory[customer])),""),ROWS($A$15:A31)+$B$3)))),IF($D$13="",IF($D$15="",INDEX(orderHistory[order_date],SMALL(IF(ISNUMBER(MATCH(orderHistory[status],$D$11,0)),MATCH(ROW(orderHistory[customer]),ROW(orderHistory[customer])),""),ROWS($A$15:A31)+$B$3)),INDEX(orderHistory[order_date],SMALL(IF(ISNUMBER(MATCH(orderHistory[status],$D$11,0)*MATCH(YEAR(orderHistory[invoice_date]),$D$15,0)),MATCH(ROW(orderHistory[customer]),ROW(orderHistory[customer])),""),ROWS($A$15:A31)+$B$3))),IF($D$15="",INDEX(orderHistory[order_date],SMALL(IF(ISNUMBER(MATCH(orderHistory[status],$D$11,0)*MATCH(orderHistory[order_type],$D$13,0)),MATCH(ROW(orderHistory[customer]),ROW(orderHistory[customer])),""),ROWS($A$15:A31)+$B$3)),INDEX(orderHistory[order_date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order_date],SMALL(IF(ISNUMBER(MATCH(orderHistory[customer],$D$9,0)),MATCH(ROW(orderHistory[customer]),ROW(orderHistory[customer])),""),ROWS($A$15:A31)+$B$3)),INDEX(orderHistory[order_date],SMALL(IF(ISNUMBER(MATCH(orderHistory[customer],$D$9,0)*MATCH(YEAR(orderHistory[invoice_date]),$D$15,0)),MATCH(ROW(orderHistory[customer]),ROW(orderHistory[customer])),""),ROWS($A$15:A31)+$B$3))),IF($D$15="",INDEX(orderHistory[order_date],SMALL(IF(ISNUMBER(MATCH(orderHistory[customer],$D$9,0)*MATCH(orderHistory[order_type],$D$13,0)),MATCH(ROW(orderHistory[customer]),ROW(orderHistory[customer])),""),ROWS($A$15:A31)+$B$3)),INDEX(orderHistory[order_date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order_date],SMALL(IF(ISNUMBER(MATCH(orderHistory[customer],$D$9,0)*MATCH(orderHistory[status],$D$11,0)),MATCH(ROW(orderHistory[customer]),ROW(orderHistory[customer])),""),ROWS($A$15:A31)+$B$3)),INDEX(orderHistory[order_date],SMALL(IF(ISNUMBER(MATCH(orderHistory[customer],$D$9,0)*MATCH(orderHistory[status],$D$11,0)*MATCH(YEAR(orderHistory[invoice_date]),$D$15,0)),MATCH(ROW(orderHistory[customer]),ROW(orderHistory[customer])),""),ROWS($A$15:A31)+$B$3))),IF($D$15="",INDEX(orderHistory[order_date],SMALL(IF(ISNUMBER(MATCH(orderHistory[customer],$D$9,0)*MATCH(orderHistory[status],$D$11,0)*MATCH(orderHistory[order_type],$D$13,0)),MATCH(ROW(orderHistory[customer]),ROW(orderHistory[customer])),""),ROWS($A$15:A31)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45471</v>
      </c>
      <c r="P26" s="385" t="str">
        <f t="array" ref="P26">IFERROR(IF($D$9="",IF($D$11="",IF($D$13="",IF($D$15="",INDEX(orderHistory[invoice_no],SMALL(MATCH(ROW(orderHistory[customer]),ROW(orderHistory[customer])),ROWS($A$15:A31)+$B$3)),INDEX(orderHistory[invoice_no],SMALL(IF(ISNUMBER(MATCH(YEAR(orderHistory[invoice_date]),$D$15,0)),MATCH(ROW(orderHistory[customer]),ROW(orderHistory[customer])),""),ROWS($A$15:A31)+$B$3))),IF($D$15="",INDEX(orderHistory[invoice_no],SMALL(IF(ISNUMBER(MATCH(orderHistory[order_type],$D$13,0)),MATCH(ROW(orderHistory[customer]),ROW(orderHistory[customer])),""),ROWS($A$15:A31)+$B$3)),INDEX(orderHistory[invoice_no],SMALL(IF(ISNUMBER(MATCH(orderHistory[order_type],$D$13,0)*MATCH(YEAR(orderHistory[invoice_date]),$D$15,0)),MATCH(ROW(orderHistory[customer]),ROW(orderHistory[customer])),""),ROWS($A$15:A31)+$B$3)))),IF($D$13="",IF($D$15="",INDEX(orderHistory[invoice_no],SMALL(IF(ISNUMBER(MATCH(orderHistory[status],$D$11,0)),MATCH(ROW(orderHistory[customer]),ROW(orderHistory[customer])),""),ROWS($A$15:A31)+$B$3)),INDEX(orderHistory[invoice_no],SMALL(IF(ISNUMBER(MATCH(orderHistory[status],$D$11,0)*MATCH(YEAR(orderHistory[invoice_date]),$D$15,0)),MATCH(ROW(orderHistory[customer]),ROW(orderHistory[customer])),""),ROWS($A$15:A31)+$B$3))),IF($D$15="",INDEX(orderHistory[invoice_no],SMALL(IF(ISNUMBER(MATCH(orderHistory[status],$D$11,0)*MATCH(orderHistory[order_type],$D$13,0)),MATCH(ROW(orderHistory[customer]),ROW(orderHistory[customer])),""),ROWS($A$15:A31)+$B$3)),INDEX(orderHistory[invoice_no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invoice_no],SMALL(IF(ISNUMBER(MATCH(orderHistory[customer],$D$9,0)),MATCH(ROW(orderHistory[customer]),ROW(orderHistory[customer])),""),ROWS($A$15:A31)+$B$3)),INDEX(orderHistory[invoice_no],SMALL(IF(ISNUMBER(MATCH(orderHistory[customer],$D$9,0)*MATCH(YEAR(orderHistory[invoice_date]),$D$15,0)),MATCH(ROW(orderHistory[customer]),ROW(orderHistory[customer])),""),ROWS($A$15:A31)+$B$3))),IF($D$15="",INDEX(orderHistory[invoice_no],SMALL(IF(ISNUMBER(MATCH(orderHistory[customer],$D$9,0)*MATCH(orderHistory[order_type],$D$13,0)),MATCH(ROW(orderHistory[customer]),ROW(orderHistory[customer])),""),ROWS($A$15:A31)+$B$3)),INDEX(orderHistory[invoice_no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invoice_no],SMALL(IF(ISNUMBER(MATCH(orderHistory[customer],$D$9,0)*MATCH(orderHistory[status],$D$11,0)),MATCH(ROW(orderHistory[customer]),ROW(orderHistory[customer])),""),ROWS($A$15:A31)+$B$3)),INDEX(orderHistory[invoice_no],SMALL(IF(ISNUMBER(MATCH(orderHistory[customer],$D$9,0)*MATCH(orderHistory[status],$D$11,0)*MATCH(YEAR(orderHistory[invoice_date]),$D$15,0)),MATCH(ROW(orderHistory[customer]),ROW(orderHistory[customer])),""),ROWS($A$15:A31)+$B$3))),IF($D$15="",INDEX(orderHistory[invoice_no],SMALL(IF(ISNUMBER(MATCH(orderHistory[customer],$D$9,0)*MATCH(orderHistory[status],$D$11,0)*MATCH(orderHistory[order_type],$D$13,0)),MATCH(ROW(orderHistory[customer]),ROW(orderHistory[customer])),""),ROWS($A$15:A31)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247</v>
      </c>
      <c r="Q26" s="386">
        <f t="array" ref="Q26">IFERROR(IF($D$9="",IF($D$11="",IF($D$13="",IF($D$15="",INDEX(orderHistory[invoice_date],SMALL(MATCH(ROW(orderHistory[customer]),ROW(orderHistory[customer])),ROWS($A$15:A31)+$B$3)),INDEX(orderHistory[invoice_date],SMALL(IF(ISNUMBER(MATCH(YEAR(orderHistory[invoice_date]),$D$15,0)),MATCH(ROW(orderHistory[customer]),ROW(orderHistory[customer])),""),ROWS($A$15:A31)+$B$3))),IF($D$15="",INDEX(orderHistory[invoice_date],SMALL(IF(ISNUMBER(MATCH(orderHistory[order_type],$D$13,0)),MATCH(ROW(orderHistory[customer]),ROW(orderHistory[customer])),""),ROWS($A$15:A31)+$B$3)),INDEX(orderHistory[invoice_date],SMALL(IF(ISNUMBER(MATCH(orderHistory[order_type],$D$13,0)*MATCH(YEAR(orderHistory[invoice_date]),$D$15,0)),MATCH(ROW(orderHistory[customer]),ROW(orderHistory[customer])),""),ROWS($A$15:A31)+$B$3)))),IF($D$13="",IF($D$15="",INDEX(orderHistory[invoice_date],SMALL(IF(ISNUMBER(MATCH(orderHistory[status],$D$11,0)),MATCH(ROW(orderHistory[customer]),ROW(orderHistory[customer])),""),ROWS($A$15:A31)+$B$3)),INDEX(orderHistory[invoice_date],SMALL(IF(ISNUMBER(MATCH(orderHistory[status],$D$11,0)*MATCH(YEAR(orderHistory[invoice_date]),$D$15,0)),MATCH(ROW(orderHistory[customer]),ROW(orderHistory[customer])),""),ROWS($A$15:A31)+$B$3))),IF($D$15="",INDEX(orderHistory[invoice_date],SMALL(IF(ISNUMBER(MATCH(orderHistory[status],$D$11,0)*MATCH(orderHistory[order_type],$D$13,0)),MATCH(ROW(orderHistory[customer]),ROW(orderHistory[customer])),""),ROWS($A$15:A31)+$B$3)),INDEX(orderHistory[invoice_date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invoice_date],SMALL(IF(ISNUMBER(MATCH(orderHistory[customer],$D$9,0)),MATCH(ROW(orderHistory[customer]),ROW(orderHistory[customer])),""),ROWS($A$15:A31)+$B$3)),INDEX(orderHistory[invoice_date],SMALL(IF(ISNUMBER(MATCH(orderHistory[customer],$D$9,0)*MATCH(YEAR(orderHistory[invoice_date]),$D$15,0)),MATCH(ROW(orderHistory[customer]),ROW(orderHistory[customer])),""),ROWS($A$15:A31)+$B$3))),IF($D$15="",INDEX(orderHistory[invoice_date],SMALL(IF(ISNUMBER(MATCH(orderHistory[customer],$D$9,0)*MATCH(orderHistory[order_type],$D$13,0)),MATCH(ROW(orderHistory[customer]),ROW(orderHistory[customer])),""),ROWS($A$15:A31)+$B$3)),INDEX(orderHistory[invoice_date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invoice_date],SMALL(IF(ISNUMBER(MATCH(orderHistory[customer],$D$9,0)*MATCH(orderHistory[status],$D$11,0)),MATCH(ROW(orderHistory[customer]),ROW(orderHistory[customer])),""),ROWS($A$15:A31)+$B$3)),INDEX(orderHistory[invoice_date],SMALL(IF(ISNUMBER(MATCH(orderHistory[customer],$D$9,0)*MATCH(orderHistory[status],$D$11,0)*MATCH(YEAR(orderHistory[invoice_date]),$D$15,0)),MATCH(ROW(orderHistory[customer]),ROW(orderHistory[customer])),""),ROWS($A$15:A31)+$B$3))),IF($D$15="",INDEX(orderHistory[invoice_date],SMALL(IF(ISNUMBER(MATCH(orderHistory[customer],$D$9,0)*MATCH(orderHistory[status],$D$11,0)*MATCH(orderHistory[order_type],$D$13,0)),MATCH(ROW(orderHistory[customer]),ROW(orderHistory[customer])),""),ROWS($A$15:A31)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45491</v>
      </c>
      <c r="R26" s="387">
        <f t="array" ref="R26">IFERROR(IF($D$9="",IF($D$11="",IF($D$13="",IF($D$15="",INDEX(orderHistory[inv_amount],SMALL(MATCH(ROW(orderHistory[customer]),ROW(orderHistory[customer])),ROWS($A$15:A31)+$B$3)),INDEX(orderHistory[inv_amount],SMALL(IF(ISNUMBER(MATCH(YEAR(orderHistory[invoice_date]),$D$15,0)),MATCH(ROW(orderHistory[customer]),ROW(orderHistory[customer])),""),ROWS($A$15:A31)+$B$3))),IF($D$15="",INDEX(orderHistory[inv_amount],SMALL(IF(ISNUMBER(MATCH(orderHistory[order_type],$D$13,0)),MATCH(ROW(orderHistory[customer]),ROW(orderHistory[customer])),""),ROWS($A$15:A31)+$B$3)),INDEX(orderHistory[inv_amount],SMALL(IF(ISNUMBER(MATCH(orderHistory[order_type],$D$13,0)*MATCH(YEAR(orderHistory[invoice_date]),$D$15,0)),MATCH(ROW(orderHistory[customer]),ROW(orderHistory[customer])),""),ROWS($A$15:A31)+$B$3)))),IF($D$13="",IF($D$15="",INDEX(orderHistory[inv_amount],SMALL(IF(ISNUMBER(MATCH(orderHistory[status],$D$11,0)),MATCH(ROW(orderHistory[customer]),ROW(orderHistory[customer])),""),ROWS($A$15:A31)+$B$3)),INDEX(orderHistory[inv_amount],SMALL(IF(ISNUMBER(MATCH(orderHistory[status],$D$11,0)*MATCH(YEAR(orderHistory[invoice_date]),$D$15,0)),MATCH(ROW(orderHistory[customer]),ROW(orderHistory[customer])),""),ROWS($A$15:A31)+$B$3))),IF($D$15="",INDEX(orderHistory[inv_amount],SMALL(IF(ISNUMBER(MATCH(orderHistory[status],$D$11,0)*MATCH(orderHistory[order_type],$D$13,0)),MATCH(ROW(orderHistory[customer]),ROW(orderHistory[customer])),""),ROWS($A$15:A31)+$B$3)),INDEX(orderHistory[inv_amount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inv_amount],SMALL(IF(ISNUMBER(MATCH(orderHistory[customer],$D$9,0)),MATCH(ROW(orderHistory[customer]),ROW(orderHistory[customer])),""),ROWS($A$15:A31)+$B$3)),INDEX(orderHistory[inv_amount],SMALL(IF(ISNUMBER(MATCH(orderHistory[customer],$D$9,0)*MATCH(YEAR(orderHistory[invoice_date]),$D$15,0)),MATCH(ROW(orderHistory[customer]),ROW(orderHistory[customer])),""),ROWS($A$15:A31)+$B$3))),IF($D$15="",INDEX(orderHistory[inv_amount],SMALL(IF(ISNUMBER(MATCH(orderHistory[customer],$D$9,0)*MATCH(orderHistory[order_type],$D$13,0)),MATCH(ROW(orderHistory[customer]),ROW(orderHistory[customer])),""),ROWS($A$15:A31)+$B$3)),INDEX(orderHistory[inv_amount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inv_amount],SMALL(IF(ISNUMBER(MATCH(orderHistory[customer],$D$9,0)*MATCH(orderHistory[status],$D$11,0)),MATCH(ROW(orderHistory[customer]),ROW(orderHistory[customer])),""),ROWS($A$15:A31)+$B$3)),INDEX(orderHistory[inv_amount],SMALL(IF(ISNUMBER(MATCH(orderHistory[customer],$D$9,0)*MATCH(orderHistory[status],$D$11,0)*MATCH(YEAR(orderHistory[inv_amount]),$D$15,0)),MATCH(ROW(orderHistory[customer]),ROW(orderHistory[customer])),""),ROWS($A$15:A31)+$B$3))),IF($D$15="",INDEX(orderHistory[inv_amount],SMALL(IF(ISNUMBER(MATCH(orderHistory[customer],$D$9,0)*MATCH(orderHistory[status],$D$11,0)*MATCH(orderHistory[order_type],$D$13,0)),MATCH(ROW(orderHistory[customer]),ROW(orderHistory[customer])),""),ROWS($A$15:A31)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2214</v>
      </c>
      <c r="S26" s="465" t="str">
        <f t="array" ref="S26">IFERROR(IF($D$9="",IF($D$11="",IF($D$13="",IF($D$15="",INDEX(orderHistory[lock_goods],SMALL(MATCH(ROW(orderHistory[customer]),ROW(orderHistory[customer])),ROWS($A$15:A31)+$B$3)),INDEX(orderHistory[lock_goods],SMALL(IF(ISNUMBER(MATCH(YEAR(orderHistory[invoice_date]),$D$15,0)),MATCH(ROW(orderHistory[customer]),ROW(orderHistory[customer])),""),ROWS($A$15:A31)+$B$3))),IF($D$15="",INDEX(orderHistory[lock_goods],SMALL(IF(ISNUMBER(MATCH(orderHistory[order_type],$D$13,0)),MATCH(ROW(orderHistory[customer]),ROW(orderHistory[customer])),""),ROWS($A$15:A31)+$B$3)),INDEX(orderHistory[lock_goods],SMALL(IF(ISNUMBER(MATCH(orderHistory[order_type],$D$13,0)*MATCH(YEAR(orderHistory[invoice_date]),$D$15,0)),MATCH(ROW(orderHistory[customer]),ROW(orderHistory[customer])),""),ROWS($A$15:A31)+$B$3)))),IF($D$13="",IF($D$15="",INDEX(orderHistory[lock_goods],SMALL(IF(ISNUMBER(MATCH(orderHistory[status],$D$11,0)),MATCH(ROW(orderHistory[customer]),ROW(orderHistory[customer])),""),ROWS($A$15:A31)+$B$3)),INDEX(orderHistory[lock_goods],SMALL(IF(ISNUMBER(MATCH(orderHistory[status],$D$11,0)*MATCH(YEAR(orderHistory[invoice_date]),$D$15,0)),MATCH(ROW(orderHistory[customer]),ROW(orderHistory[customer])),""),ROWS($A$15:A31)+$B$3))),IF($D$15="",INDEX(orderHistory[lock_goods],SMALL(IF(ISNUMBER(MATCH(orderHistory[status],$D$11,0)*MATCH(orderHistory[order_type],$D$13,0)),MATCH(ROW(orderHistory[customer]),ROW(orderHistory[customer])),""),ROWS($A$15:A31)+$B$3)),INDEX(orderHistory[lock_goods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lock_goods],SMALL(IF(ISNUMBER(MATCH(orderHistory[customer],$D$9,0)),MATCH(ROW(orderHistory[customer]),ROW(orderHistory[customer])),""),ROWS($A$15:A31)+$B$3)),INDEX(orderHistory[lock_goods],SMALL(IF(ISNUMBER(MATCH(orderHistory[customer],$D$9,0)*MATCH(YEAR(orderHistory[invoice_date]),$D$15,0)),MATCH(ROW(orderHistory[customer]),ROW(orderHistory[customer])),""),ROWS($A$15:A31)+$B$3))),IF($D$15="",INDEX(orderHistory[lock_goods],SMALL(IF(ISNUMBER(MATCH(orderHistory[customer],$D$9,0)*MATCH(orderHistory[order_type],$D$13,0)),MATCH(ROW(orderHistory[customer]),ROW(orderHistory[customer])),""),ROWS($A$15:A31)+$B$3)),INDEX(orderHistory[lock_goods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lock_goods],SMALL(IF(ISNUMBER(MATCH(orderHistory[customer],$D$9,0)*MATCH(orderHistory[status],$D$11,0)),MATCH(ROW(orderHistory[customer]),ROW(orderHistory[customer])),""),ROWS($A$15:A31)+$B$3)),INDEX(orderHistory[lock_goods],SMALL(IF(ISNUMBER(MATCH(orderHistory[customer],$D$9,0)*MATCH(orderHistory[status],$D$11,0)*MATCH(YEAR(orderHistory[payed]),$D$15,0)),MATCH(ROW(orderHistory[customer]),ROW(orderHistory[customer])),""),ROWS($A$15:A31)+$B$3))),IF($D$15="",INDEX(orderHistory[lock_goods],SMALL(IF(ISNUMBER(MATCH(orderHistory[customer],$D$9,0)*MATCH(orderHistory[status],$D$11,0)*MATCH(orderHistory[order_type],$D$13,0)),MATCH(ROW(orderHistory[customer]),ROW(orderHistory[customer])),""),ROWS($A$15:A31)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GOODS SENT</v>
      </c>
      <c r="T26" s="388" t="b">
        <f t="array" ref="T26">IFERROR(IF($D$9="",IF($D$11="",IF($D$13="",IF($D$15="",INDEX(orderHistory[payed],SMALL(MATCH(ROW(orderHistory[customer]),ROW(orderHistory[customer])),ROWS($A$15:A31)+$B$3)),INDEX(orderHistory[payed],SMALL(IF(ISNUMBER(MATCH(YEAR(orderHistory[invoice_date]),$D$15,0)),MATCH(ROW(orderHistory[customer]),ROW(orderHistory[customer])),""),ROWS($A$15:A31)+$B$3))),IF($D$15="",INDEX(orderHistory[payed],SMALL(IF(ISNUMBER(MATCH(orderHistory[order_type],$D$13,0)),MATCH(ROW(orderHistory[customer]),ROW(orderHistory[customer])),""),ROWS($A$15:A31)+$B$3)),INDEX(orderHistory[payed],SMALL(IF(ISNUMBER(MATCH(orderHistory[order_type],$D$13,0)*MATCH(YEAR(orderHistory[invoice_date]),$D$15,0)),MATCH(ROW(orderHistory[customer]),ROW(orderHistory[customer])),""),ROWS($A$15:A31)+$B$3)))),IF($D$13="",IF($D$15="",INDEX(orderHistory[payed],SMALL(IF(ISNUMBER(MATCH(orderHistory[status],$D$11,0)),MATCH(ROW(orderHistory[customer]),ROW(orderHistory[customer])),""),ROWS($A$15:A31)+$B$3)),INDEX(orderHistory[payed],SMALL(IF(ISNUMBER(MATCH(orderHistory[status],$D$11,0)*MATCH(YEAR(orderHistory[invoice_date]),$D$15,0)),MATCH(ROW(orderHistory[customer]),ROW(orderHistory[customer])),""),ROWS($A$15:A31)+$B$3))),IF($D$15="",INDEX(orderHistory[payed],SMALL(IF(ISNUMBER(MATCH(orderHistory[status],$D$11,0)*MATCH(orderHistory[order_type],$D$13,0)),MATCH(ROW(orderHistory[customer]),ROW(orderHistory[customer])),""),ROWS($A$15:A31)+$B$3)),INDEX(orderHistory[payed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payed],SMALL(IF(ISNUMBER(MATCH(orderHistory[customer],$D$9,0)),MATCH(ROW(orderHistory[customer]),ROW(orderHistory[customer])),""),ROWS($A$15:A31)+$B$3)),INDEX(orderHistory[payed],SMALL(IF(ISNUMBER(MATCH(orderHistory[customer],$D$9,0)*MATCH(YEAR(orderHistory[invoice_date]),$D$15,0)),MATCH(ROW(orderHistory[customer]),ROW(orderHistory[customer])),""),ROWS($A$15:A31)+$B$3))),IF($D$15="",INDEX(orderHistory[payed],SMALL(IF(ISNUMBER(MATCH(orderHistory[customer],$D$9,0)*MATCH(orderHistory[order_type],$D$13,0)),MATCH(ROW(orderHistory[customer]),ROW(orderHistory[customer])),""),ROWS($A$15:A31)+$B$3)),INDEX(orderHistory[payed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payed],SMALL(IF(ISNUMBER(MATCH(orderHistory[customer],$D$9,0)*MATCH(orderHistory[status],$D$11,0)),MATCH(ROW(orderHistory[customer]),ROW(orderHistory[customer])),""),ROWS($A$15:A31)+$B$3)),INDEX(orderHistory[payed],SMALL(IF(ISNUMBER(MATCH(orderHistory[customer],$D$9,0)*MATCH(orderHistory[status],$D$11,0)*MATCH(YEAR(orderHistory[payed]),$D$15,0)),MATCH(ROW(orderHistory[customer]),ROW(orderHistory[customer])),""),ROWS($A$15:A31)+$B$3))),IF($D$15="",INDEX(orderHistory[payed],SMALL(IF(ISNUMBER(MATCH(orderHistory[customer],$D$9,0)*MATCH(orderHistory[status],$D$11,0)*MATCH(orderHistory[order_type],$D$13,0)),MATCH(ROW(orderHistory[customer]),ROW(orderHistory[customer])),""),ROWS($A$15:A31)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1</v>
      </c>
      <c r="U26" s="383" t="str">
        <f t="array" ref="U26">IFERROR(IF($D$9="",IF($D$11="",IF($D$13="",IF($D$15="",INDEX(orderHistory[shipping_method],SMALL(MATCH(ROW(orderHistory[customer]),ROW(orderHistory[customer])),ROWS($A$15:A31)+$B$3)),INDEX(orderHistory[shipping_method],SMALL(IF(ISNUMBER(MATCH(YEAR(orderHistory[invoice_date]),$D$15,0)),MATCH(ROW(orderHistory[customer]),ROW(orderHistory[customer])),""),ROWS($A$15:A31)+$B$3))),IF($D$15="",INDEX(orderHistory[shipping_method],SMALL(IF(ISNUMBER(MATCH(orderHistory[order_type],$D$13,0)),MATCH(ROW(orderHistory[customer]),ROW(orderHistory[customer])),""),ROWS($A$15:A31)+$B$3)),INDEX(orderHistory[shipping_method],SMALL(IF(ISNUMBER(MATCH(orderHistory[order_type],$D$13,0)*MATCH(YEAR(orderHistory[invoice_date]),$D$15,0)),MATCH(ROW(orderHistory[customer]),ROW(orderHistory[customer])),""),ROWS($A$15:A31)+$B$3)))),IF($D$13="",IF($D$15="",INDEX(orderHistory[shipping_method],SMALL(IF(ISNUMBER(MATCH(orderHistory[status],$D$11,0)),MATCH(ROW(orderHistory[customer]),ROW(orderHistory[customer])),""),ROWS($A$15:A31)+$B$3)),INDEX(orderHistory[shipping_method],SMALL(IF(ISNUMBER(MATCH(orderHistory[status],$D$11,0)*MATCH(YEAR(orderHistory[invoice_date]),$D$15,0)),MATCH(ROW(orderHistory[customer]),ROW(orderHistory[customer])),""),ROWS($A$15:A31)+$B$3))),IF($D$15="",INDEX(orderHistory[shipping_method],SMALL(IF(ISNUMBER(MATCH(orderHistory[status],$D$11,0)*MATCH(orderHistory[order_type],$D$13,0)),MATCH(ROW(orderHistory[customer]),ROW(orderHistory[customer])),""),ROWS($A$15:A31)+$B$3)),INDEX(orderHistory[shipping_method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shipping_method],SMALL(IF(ISNUMBER(MATCH(orderHistory[customer],$D$9,0)),MATCH(ROW(orderHistory[customer]),ROW(orderHistory[customer])),""),ROWS($A$15:A31)+$B$3)),INDEX(orderHistory[shipping_method],SMALL(IF(ISNUMBER(MATCH(orderHistory[customer],$D$9,0)*MATCH(YEAR(orderHistory[invoice_date]),$D$15,0)),MATCH(ROW(orderHistory[customer]),ROW(orderHistory[customer])),""),ROWS($A$15:A31)+$B$3))),IF($D$15="",INDEX(orderHistory[shipping_method],SMALL(IF(ISNUMBER(MATCH(orderHistory[customer],$D$9,0)*MATCH(orderHistory[order_type],$D$13,0)),MATCH(ROW(orderHistory[customer]),ROW(orderHistory[customer])),""),ROWS($A$15:A31)+$B$3)),INDEX(orderHistory[shipping_method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shipping_method],SMALL(IF(ISNUMBER(MATCH(orderHistory[customer],$D$9,0)*MATCH(orderHistory[status],$D$11,0)),MATCH(ROW(orderHistory[customer]),ROW(orderHistory[customer])),""),ROWS($A$15:A31)+$B$3)),INDEX(orderHistory[shipping_method],SMALL(IF(ISNUMBER(MATCH(orderHistory[customer],$D$9,0)*MATCH(orderHistory[status],$D$11,0)*MATCH(YEAR(orderHistory[shipping_method]),$D$15,0)),MATCH(ROW(orderHistory[customer]),ROW(orderHistory[customer])),""),ROWS($A$15:A31)+$B$3))),IF($D$15="",INDEX(orderHistory[shipping_method],SMALL(IF(ISNUMBER(MATCH(orderHistory[customer],$D$9,0)*MATCH(orderHistory[status],$D$11,0)*MATCH(orderHistory[order_type],$D$13,0)),MATCH(ROW(orderHistory[customer]),ROW(orderHistory[customer])),""),ROWS($A$15:A31)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BY ROAD</v>
      </c>
      <c r="V26" s="388" t="str">
        <f t="array" ref="V26">IFERROR(IF($D$9="",IF($D$11="",IF($D$13="",IF($D$15="",INDEX(orderHistory[status],SMALL(MATCH(ROW(orderHistory[customer]),ROW(orderHistory[customer])),ROWS($A$15:A31)+$B$3)),INDEX(orderHistory[status],SMALL(IF(ISNUMBER(MATCH(YEAR(orderHistory[invoice_date]),$D$15,0)),MATCH(ROW(orderHistory[customer]),ROW(orderHistory[customer])),""),ROWS($A$15:A31)+$B$3))),IF($D$15="",INDEX(orderHistory[status],SMALL(IF(ISNUMBER(MATCH(orderHistory[order_type],$D$13,0)),MATCH(ROW(orderHistory[customer]),ROW(orderHistory[customer])),""),ROWS($A$15:A31)+$B$3)),INDEX(orderHistory[status],SMALL(IF(ISNUMBER(MATCH(orderHistory[order_type],$D$13,0)*MATCH(YEAR(orderHistory[invoice_date]),$D$15,0)),MATCH(ROW(orderHistory[customer]),ROW(orderHistory[customer])),""),ROWS($A$15:A31)+$B$3)))),IF($D$13="",IF($D$15="",INDEX(orderHistory[status],SMALL(IF(ISNUMBER(MATCH(orderHistory[status],$D$11,0)),MATCH(ROW(orderHistory[customer]),ROW(orderHistory[customer])),""),ROWS($A$15:A31)+$B$3)),INDEX(orderHistory[status],SMALL(IF(ISNUMBER(MATCH(orderHistory[status],$D$11,0)*MATCH(YEAR(orderHistory[invoice_date]),$D$15,0)),MATCH(ROW(orderHistory[customer]),ROW(orderHistory[customer])),""),ROWS($A$15:A31)+$B$3))),IF($D$15="",INDEX(orderHistory[status],SMALL(IF(ISNUMBER(MATCH(orderHistory[status],$D$11,0)*MATCH(orderHistory[order_type],$D$13,0)),MATCH(ROW(orderHistory[customer]),ROW(orderHistory[customer])),""),ROWS($A$15:A31)+$B$3)),INDEX(orderHistory[status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status],SMALL(IF(ISNUMBER(MATCH(orderHistory[customer],$D$9,0)),MATCH(ROW(orderHistory[customer]),ROW(orderHistory[customer])),""),ROWS($A$15:A31)+$B$3)),INDEX(orderHistory[status],SMALL(IF(ISNUMBER(MATCH(orderHistory[customer],$D$9,0)*MATCH(YEAR(orderHistory[invoice_date]),$D$15,0)),MATCH(ROW(orderHistory[customer]),ROW(orderHistory[customer])),""),ROWS($A$15:A31)+$B$3))),IF($D$15="",INDEX(orderHistory[status],SMALL(IF(ISNUMBER(MATCH(orderHistory[customer],$D$9,0)*MATCH(orderHistory[order_type],$D$13,0)),MATCH(ROW(orderHistory[customer]),ROW(orderHistory[customer])),""),ROWS($A$15:A31)+$B$3)),INDEX(orderHistory[status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status],SMALL(IF(ISNUMBER(MATCH(orderHistory[customer],$D$9,0)*MATCH(orderHistory[status],$D$11,0)),MATCH(ROW(orderHistory[customer]),ROW(orderHistory[customer])),""),ROWS($A$15:A31)+$B$3)),INDEX(orderHistory[status],SMALL(IF(ISNUMBER(MATCH(orderHistory[customer],$D$9,0)*MATCH(orderHistory[status],$D$11,0)*MATCH(YEAR(orderHistory[status]),$D$15,0)),MATCH(ROW(orderHistory[customer]),ROW(orderHistory[customer])),""),ROWS($A$15:A31)+$B$3))),IF($D$15="",INDEX(orderHistory[status],SMALL(IF(ISNUMBER(MATCH(orderHistory[customer],$D$9,0)*MATCH(orderHistory[status],$D$11,0)*MATCH(orderHistory[order_type],$D$13,0)),MATCH(ROW(orderHistory[customer]),ROW(orderHistory[customer])),""),ROWS($A$15:A31)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SHIPPED</v>
      </c>
      <c r="W26" s="547" t="str">
        <f t="array" ref="W26">IFERROR(IF($D$9="",IF($D$11="",IF($D$13="",IF($D$15="",INDEX(orderHistory[custom_docs],SMALL(MATCH(ROW(orderHistory[customer]),ROW(orderHistory[customer])),ROWS($A$15:A31)+$B$3)),INDEX(orderHistory[custom_docs],SMALL(IF(ISNUMBER(MATCH(YEAR(orderHistory[invoice_date]),$D$15,0)),MATCH(ROW(orderHistory[customer]),ROW(orderHistory[customer])),""),ROWS($A$15:A31)+$B$3))),IF($D$15="",INDEX(orderHistory[custom_docs],SMALL(IF(ISNUMBER(MATCH(orderHistory[order_type],$D$13,0)),MATCH(ROW(orderHistory[customer]),ROW(orderHistory[customer])),""),ROWS($A$15:A31)+$B$3)),INDEX(orderHistory[custom_docs],SMALL(IF(ISNUMBER(MATCH(orderHistory[order_type],$D$13,0)*MATCH(YEAR(orderHistory[invoice_date]),$D$15,0)),MATCH(ROW(orderHistory[customer]),ROW(orderHistory[customer])),""),ROWS($A$15:A31)+$B$3)))),IF($D$13="",IF($D$15="",INDEX(orderHistory[custom_docs],SMALL(IF(ISNUMBER(MATCH(orderHistory[status],$D$11,0)),MATCH(ROW(orderHistory[customer]),ROW(orderHistory[customer])),""),ROWS($A$15:A31)+$B$3)),INDEX(orderHistory[custom_docs],SMALL(IF(ISNUMBER(MATCH(orderHistory[status],$D$11,0)*MATCH(YEAR(orderHistory[invoice_date]),$D$15,0)),MATCH(ROW(orderHistory[customer]),ROW(orderHistory[customer])),""),ROWS($A$15:A31)+$B$3))),IF($D$15="",INDEX(orderHistory[custom_docs],SMALL(IF(ISNUMBER(MATCH(orderHistory[status],$D$11,0)*MATCH(orderHistory[order_type],$D$13,0)),MATCH(ROW(orderHistory[customer]),ROW(orderHistory[customer])),""),ROWS($A$15:A31)+$B$3)),INDEX(orderHistory[custom_docs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custom_docs],SMALL(IF(ISNUMBER(MATCH(orderHistory[customer],$D$9,0)),MATCH(ROW(orderHistory[customer]),ROW(orderHistory[customer])),""),ROWS($A$15:A31)+$B$3)),INDEX(orderHistory[custom_docs],SMALL(IF(ISNUMBER(MATCH(orderHistory[customer],$D$9,0)*MATCH(YEAR(orderHistory[invoice_date]),$D$15,0)),MATCH(ROW(orderHistory[customer]),ROW(orderHistory[customer])),""),ROWS($A$15:A31)+$B$3))),IF($D$15="",INDEX(orderHistory[custom_docs],SMALL(IF(ISNUMBER(MATCH(orderHistory[customer],$D$9,0)*MATCH(orderHistory[order_type],$D$13,0)),MATCH(ROW(orderHistory[customer]),ROW(orderHistory[customer])),""),ROWS($A$15:A31)+$B$3)),INDEX(orderHistory[custom_docs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custom_docs],SMALL(IF(ISNUMBER(MATCH(orderHistory[customer],$D$9,0)*MATCH(orderHistory[status],$D$11,0)),MATCH(ROW(orderHistory[customer]),ROW(orderHistory[customer])),""),ROWS($A$15:A31)+$B$3)),INDEX(orderHistory[custom_docs],SMALL(IF(ISNUMBER(MATCH(orderHistory[customer],$D$9,0)*MATCH(orderHistory[status],$D$11,0)*MATCH(YEAR(orderHistory[status]),$D$15,0)),MATCH(ROW(orderHistory[customer]),ROW(orderHistory[customer])),""),ROWS($A$15:A31)+$B$3))),IF($D$15="",INDEX(orderHistory[custom_docs],SMALL(IF(ISNUMBER(MATCH(orderHistory[customer],$D$9,0)*MATCH(orderHistory[status],$D$11,0)*MATCH(orderHistory[order_type],$D$13,0)),MATCH(ROW(orderHistory[customer]),ROW(orderHistory[customer])),""),ROWS($A$15:A31)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OK</v>
      </c>
      <c r="AQ26" s="275"/>
      <c r="AR26" s="844"/>
      <c r="AS26" s="844"/>
      <c r="AT26" s="844"/>
      <c r="AU26" s="338"/>
      <c r="AV26" s="312"/>
      <c r="AW26" s="305"/>
      <c r="AX26" s="269"/>
      <c r="AY26" s="269"/>
      <c r="AZ26" s="269"/>
      <c r="BA26" s="269"/>
      <c r="BB26" s="269"/>
      <c r="BC26" s="269"/>
      <c r="BD26" s="269"/>
      <c r="BE26" s="269"/>
      <c r="BF26" s="269"/>
      <c r="BG26" s="307"/>
      <c r="BH26" s="269"/>
      <c r="BI26" s="269"/>
      <c r="BJ26" s="270"/>
      <c r="BK26" s="296"/>
      <c r="BL26" s="297"/>
      <c r="BM26" s="298"/>
      <c r="BN26" s="297"/>
      <c r="BO26" s="298"/>
      <c r="BX26" s="365"/>
      <c r="BZ26" s="412"/>
      <c r="CA26" s="401" t="str">
        <f>IFERROR(IF(BZ26="","",INDEX(bhpc_data[description],MATCH(BZ26,bhpc_data[sku],0))),"")</f>
        <v/>
      </c>
      <c r="CB26" s="402"/>
      <c r="CC26" s="886"/>
      <c r="CD26" s="409"/>
      <c r="CE26" s="890"/>
      <c r="CF26" s="404"/>
      <c r="CG26" s="405" t="str">
        <f>IFERROR(ROUNDUP(CB26/INDEX(bhpc_data[units_per_carton],MATCH(BZ26,bhpc_data[sku],0)),0),"")</f>
        <v/>
      </c>
      <c r="CH26" s="406" t="str">
        <f>IFERROR(ROUNDUP(CD26/INDEX(bhpc_data[units_per_carton],MATCH(BZ26,bhpc_data[sku],0)),0),"")</f>
        <v/>
      </c>
      <c r="CI26" s="406" t="str">
        <f>IFERROR(ROUNDUP(CF26/INDEX(bhpc_data[units_per_carton],MATCH(BZ26,bhpc_data[sku])),0),"")</f>
        <v/>
      </c>
      <c r="CJ26" s="406" t="str">
        <f>IFERROR(((CB26+CD26+CF26)/INDEX(bhpc_data[units_per_carton],MATCH(BZ26,bhpc_data[sku],0)))*INDEX(bhpc_data[net_weight],MATCH(BZ26,bhpc_data[sku],0)),"")</f>
        <v/>
      </c>
      <c r="CK26" s="406" t="str">
        <f>IFERROR(((CB26+CD26+CF26)/INDEX(bhpc_data[units_per_carton],MATCH(BZ26,bhpc_data[sku],0)))*INDEX(bhpc_data[gross_weight],MATCH(BZ26,bhpc_data[sku],0)),"")</f>
        <v/>
      </c>
      <c r="CL26" s="602" t="str">
        <f>IFERROR((CB26+CD26+CF26)/INDEX(bhpc_data[units_per_carton],MATCH(BZ26,bhpc_data[sku],0))*INDEX(bhpc_data[length],MATCH(BZ26,bhpc_data[sku],0))*INDEX(bhpc_data[width],MATCH(BZ26,bhpc_data[sku],0))*INDEX(bhpc_data[height],MATCH(BZ26,bhpc_data[sku],0))/1000000000,"")</f>
        <v/>
      </c>
      <c r="CM26" s="407" t="str">
        <f>IFERROR(INDEX(bhpc_data[category],MATCH(BZ26,bhpc_data[sku],0)),"")</f>
        <v/>
      </c>
      <c r="CN26" s="407" t="str">
        <f>IFERROR(INDEX(bhpc_data[size],MATCH(BZ26,bhpc_data[sku],0)),"")</f>
        <v/>
      </c>
      <c r="CO26" s="408" t="str">
        <f>IFERROR(INDEX(bhpc_data[hs_code],MATCH(BZ26,bhpc_data[sku],0)),"")</f>
        <v/>
      </c>
      <c r="CP26" s="489" t="str">
        <f>IFERROR(INDEX(bhpc_data[sku_geko],MATCH(BZ26,bhpc_data[sku],0)),"")</f>
        <v/>
      </c>
      <c r="CQ26" s="404"/>
      <c r="CR26" s="517" t="str">
        <f>IFERROR(IF(BZ26="","",IF($BX$15="SALE",INDEX(inventory[COSTO UNITARIO],MATCH(BZ26,inventory[SKU],0)),IF($BX$15="SAMPLING",INDEX(inventory[COSTO UNITARIO],MATCH(BZ26,inventory[SKU],0)),""))),"")</f>
        <v/>
      </c>
      <c r="CS26" s="517" t="str">
        <f t="shared" si="5"/>
        <v/>
      </c>
      <c r="CT26" s="896" t="str">
        <f t="shared" si="6"/>
        <v/>
      </c>
      <c r="CU26" s="469" t="str">
        <f t="shared" si="0"/>
        <v/>
      </c>
      <c r="CW26" s="99"/>
      <c r="CX26" s="78"/>
      <c r="CY26" s="78"/>
      <c r="CZ26" s="78"/>
      <c r="DA26" s="78"/>
      <c r="DB26" s="79"/>
      <c r="DH26" s="215"/>
      <c r="EE26" s="445" t="str" cm="1">
        <f t="array" ref="EE26">IFERROR(IF($EC$9="",IF($EC$11="",IF($EC$13="",INDEX(bhpc_data[sku],SMALL(MATCH(ROW(bhpc_data[sku]),ROW(bhpc_data[sku])),ROWS($A$15:A31)+$B$3)),INDEX(bhpc_data[sku],SMALL(IF(ISNUMBER(MATCH(bhpc_data[size],$EC$13,0)),MATCH(ROW(bhpc_data[sku]),ROW(bhpc_data[sku])),""),ROWS($A$15:A31)+$B$3))),IF($EC$13="",INDEX(bhpc_data[sku],SMALL(IF(ISNUMBER(MATCH(bhpc_data[sex],$EC$11,0)),MATCH(ROW(bhpc_data[sku]),ROW(bhpc_data[sku])),""),ROWS($A$15:A31)+$B$3)),INDEX(bhpc_data[sku],SMALL(IF(ISNUMBER(MATCH(bhpc_data[sex],$EC$11,0)*MATCH(bhpc_data[size],$EC$13,0)),MATCH(ROW(bhpc_data[sku]),ROW(bhpc_data[sku])),""),ROWS($A$15:A31)+$B$3)))),IF($EC$11="",IF($EC$13="",INDEX(bhpc_data[sku],SMALL(IF(ISNUMBER(MATCH(bhpc_data[category],$EC$9,0)),MATCH(ROW(bhpc_data[sku]),ROW(bhpc_data[sku])),""),ROWS($A$15:A31)+$B$3)),INDEX(bhpc_data[sku],SMALL(IF(ISNUMBER(MATCH(bhpc_data[category],$EC$9,0)*MATCH(bhpc_data[size],$EC$13,0)),MATCH(ROW(bhpc_data[sku]),ROW(bhpc_data[sku])),""),ROWS($A$15:A31)+$B$3))),IF($EC$13="",INDEX(bhpc_data[sku],SMALL(IF(ISNUMBER(MATCH(bhpc_data[category],$EC$9,0)*MATCH(bhpc_data[sex],$EC$11,0)),MATCH(ROW(bhpc_data[sku]),ROW(bhpc_data[sku])),""),ROWS($A$15:A31)+$B$3)),INDEX(bhpc_data[sku],SMALL(IF(ISNUMBER(MATCH(bhpc_data[category],$EC$9,0)*MATCH(bhpc_data[sex],$EC$11,0)*MATCH(bhpc_data[size],$EC$13,0)),MATCH(ROW(bhpc_data[sku]),ROW(bhpc_data[sku])),""),ROWS($A$15:A31)+$B$3))))),"")</f>
        <v>P05031L</v>
      </c>
      <c r="EF26" s="446" t="str" cm="1">
        <f t="array" ref="EF26">IFERROR(IF($EC$9="",IF($EC$11="",IF($EC$13="",INDEX(bhpc_data[description],SMALL(MATCH(ROW(bhpc_data[sku]),ROW(bhpc_data[sku])),ROWS($A$15:A31)+$B$3)),INDEX(bhpc_data[description],SMALL(IF(ISNUMBER(MATCH(bhpc_data[size],$EC$13,0)),MATCH(ROW(bhpc_data[sku]),ROW(bhpc_data[sku])),""),ROWS($A$15:A31)+$B$3))),IF($EC$13="",INDEX(bhpc_data[description],SMALL(IF(ISNUMBER(MATCH(bhpc_data[sex],$EC$11,0)),MATCH(ROW(bhpc_data[sku]),ROW(bhpc_data[sku])),""),ROWS($A$15:A31)+$B$3)),INDEX(bhpc_data[description],SMALL(IF(ISNUMBER(MATCH(bhpc_data[sex],$EC$11,0)*MATCH(bhpc_data[size],$EC$13,0)),MATCH(ROW(bhpc_data[sku]),ROW(bhpc_data[sku])),""),ROWS($A$15:A31)+$B$3)))),IF($EC$11="",IF($EC$13="",INDEX(bhpc_data[description],SMALL(IF(ISNUMBER(MATCH(bhpc_data[category],$EC$9,0)),MATCH(ROW(bhpc_data[sku]),ROW(bhpc_data[sku])),""),ROWS($A$15:A31)+$B$3)),INDEX(bhpc_data[description],SMALL(IF(ISNUMBER(MATCH(bhpc_data[category],$EC$9,0)*MATCH(bhpc_data[size],$EC$13,0)),MATCH(ROW(bhpc_data[sku]),ROW(bhpc_data[sku])),""),ROWS($A$15:A31)+$B$3))),IF($EC$13="",INDEX(bhpc_data[description],SMALL(IF(ISNUMBER(MATCH(bhpc_data[category],$EC$9,0)*MATCH(bhpc_data[sex],$EC$11,0)),MATCH(ROW(bhpc_data[sku]),ROW(bhpc_data[sku])),""),ROWS($A$15:A31)+$B$3)),INDEX(bhpc_data[description],SMALL(IF(ISNUMBER(MATCH(bhpc_data[category],$EC$9,0)*MATCH(bhpc_data[sex],$EC$11,0)*MATCH(bhpc_data[size],$EC$13,0)),MATCH(ROW(bhpc_data[sku]),ROW(bhpc_data[sku])),""),ROWS($A$15:A31)+$B$3))))),"")</f>
        <v>BHPC WOMEN 2 EDP 50ML (UNBOXED)</v>
      </c>
      <c r="EG26" s="447">
        <f>IFERROR(IF('BHPC MANAGER'!$EE26="","",INDEX(inventory[ESISTENZA],MATCH('BHPC MANAGER'!$EE26,inventory[SKU],0))),0)</f>
        <v>7666</v>
      </c>
      <c r="EH26" s="448">
        <v>-62</v>
      </c>
      <c r="EI26" s="448">
        <f t="shared" si="1"/>
        <v>7604</v>
      </c>
      <c r="EJ26" s="449">
        <v>0</v>
      </c>
      <c r="EK26" s="450">
        <f t="shared" si="2"/>
        <v>7604</v>
      </c>
      <c r="FF26" s="263"/>
      <c r="FG26" s="263"/>
      <c r="FH26" s="263"/>
      <c r="FI26" s="263"/>
      <c r="FJ26" s="263"/>
      <c r="FK26" s="263"/>
      <c r="FL26" s="263"/>
      <c r="FM26" s="263"/>
      <c r="FN26" s="263"/>
      <c r="FO26" s="263"/>
      <c r="FP26" s="263"/>
      <c r="FQ26" s="263"/>
      <c r="FR26" s="263"/>
      <c r="FS26" s="263"/>
      <c r="FT26" s="263"/>
      <c r="FU26" s="263"/>
      <c r="FV26" s="263"/>
      <c r="FW26" s="263"/>
      <c r="FX26" s="263"/>
      <c r="FY26" s="263"/>
      <c r="FZ26" s="263"/>
      <c r="GA26" s="263"/>
      <c r="GB26" s="263"/>
      <c r="GC26" s="263"/>
      <c r="GD26" s="263"/>
      <c r="GE26" s="263"/>
      <c r="GF26" s="263"/>
      <c r="GG26" s="263"/>
      <c r="GH26" s="263"/>
      <c r="GI26" s="263"/>
      <c r="GJ26" s="263"/>
      <c r="GK26" s="263"/>
      <c r="GL26" s="263"/>
      <c r="GM26" s="263"/>
      <c r="GN26" s="263"/>
      <c r="GO26" s="263"/>
      <c r="GP26" s="263"/>
      <c r="GQ26" s="263"/>
      <c r="GR26" s="263"/>
      <c r="GS26" s="263"/>
      <c r="GT26" s="263"/>
      <c r="GU26" s="263"/>
      <c r="GV26" s="263"/>
      <c r="GW26" s="263"/>
      <c r="GX26" s="263"/>
      <c r="GY26" s="263"/>
      <c r="GZ26" s="263"/>
      <c r="HA26" s="263"/>
      <c r="HB26" s="263"/>
      <c r="HC26" s="263"/>
      <c r="HD26" s="263"/>
      <c r="HE26" s="263"/>
      <c r="HF26" s="263"/>
      <c r="HG26" s="263"/>
      <c r="HH26" s="263"/>
      <c r="HI26" s="263"/>
      <c r="HJ26" s="263"/>
      <c r="HK26" s="263"/>
      <c r="HL26" s="263"/>
      <c r="HM26" s="263"/>
      <c r="HN26" s="263"/>
      <c r="HO26" s="263"/>
      <c r="HP26" s="263"/>
      <c r="HQ26" s="263"/>
      <c r="HR26" s="263"/>
      <c r="HS26" s="263"/>
      <c r="HT26" s="263"/>
    </row>
    <row r="27" spans="1:228" ht="15" customHeight="1" thickBot="1" x14ac:dyDescent="0.4">
      <c r="D27" s="525"/>
      <c r="F27" s="86"/>
      <c r="G27" s="94" t="s">
        <v>574</v>
      </c>
      <c r="H27" s="76"/>
      <c r="I27" s="76"/>
      <c r="J27" s="77"/>
      <c r="L27" s="381" t="str">
        <f t="array" ref="L27">IFERROR(IF($D$9="",IF($D$11="",IF($D$13="",IF($D$15="",INDEX(orderHistory[customer],SMALL(MATCH(ROW(orderHistory[customer]),ROW(orderHistory[customer])),ROWS($A$15:A32)+$B$3)),INDEX(orderHistory[customer],SMALL(IF(ISNUMBER(MATCH(YEAR(orderHistory[invoice_date]),$D$15,0)),MATCH(ROW(orderHistory[customer]),ROW(orderHistory[customer])),""),ROWS($A$15:A32)+$B$3))),IF($D$15="",INDEX(orderHistory[customer],SMALL(IF(ISNUMBER(MATCH(orderHistory[order_type],$D$13,0)),MATCH(ROW(orderHistory[customer]),ROW(orderHistory[customer])),""),ROWS($A$15:A32)+$B$3)),INDEX(orderHistory[customer],SMALL(IF(ISNUMBER(MATCH(orderHistory[order_type],$D$13,0)*MATCH(YEAR(orderHistory[invoice_date]),$D$15,0)),MATCH(ROW(orderHistory[customer]),ROW(orderHistory[customer])),""),ROWS($A$15:A32)+$B$3)))),IF($D$13="",IF($D$15="",INDEX(orderHistory[customer],SMALL(IF(ISNUMBER(MATCH(orderHistory[status],$D$11,0)),MATCH(ROW(orderHistory[customer]),ROW(orderHistory[customer])),""),ROWS($A$15:A32)+$B$3)),INDEX(orderHistory[customer],SMALL(IF(ISNUMBER(MATCH(orderHistory[status],$D$11,0)*MATCH(YEAR(orderHistory[invoice_date]),$D$15,0)),MATCH(ROW(orderHistory[customer]),ROW(orderHistory[customer])),""),ROWS($A$15:A32)+$B$3))),IF($D$15="",INDEX(orderHistory[customer],SMALL(IF(ISNUMBER(MATCH(orderHistory[status],$D$11,0)*MATCH(orderHistory[order_type],$D$13,0)),MATCH(ROW(orderHistory[customer]),ROW(orderHistory[customer])),""),ROWS($A$15:A32)+$B$3)),INDEX(orderHistory[customer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customer],SMALL(IF(ISNUMBER(MATCH(orderHistory[customer],$D$9,0)),MATCH(ROW(orderHistory[customer]),ROW(orderHistory[customer])),""),ROWS($A$15:A32)+$B$3)),INDEX(orderHistory[customer],SMALL(IF(ISNUMBER(MATCH(orderHistory[customer],$D$9,0)*MATCH(YEAR(orderHistory[invoice_date]),$D$15,0)),MATCH(ROW(orderHistory[customer]),ROW(orderHistory[customer])),""),ROWS($A$15:A32)+$B$3))),IF($D$15="",INDEX(orderHistory[customer],SMALL(IF(ISNUMBER(MATCH(orderHistory[customer],$D$9,0)*MATCH(orderHistory[order_type],$D$13,0)),MATCH(ROW(orderHistory[customer]),ROW(orderHistory[customer])),""),ROWS($A$15:A32)+$B$3)),INDEX(orderHistory[customer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customer],SMALL(IF(ISNUMBER(MATCH(orderHistory[customer],$D$9,0)*MATCH(orderHistory[status],$D$11,0)),MATCH(ROW(orderHistory[customer]),ROW(orderHistory[customer])),""),ROWS($A$15:A32)+$B$3)),INDEX(orderHistory[customer],SMALL(IF(ISNUMBER(MATCH(orderHistory[customer],$D$9,0)*MATCH(orderHistory[status],$D$11,0)*MATCH(YEAR(orderHistory[invoice_date]),$D$15,0)),MATCH(ROW(orderHistory[customer]),ROW(orderHistory[customer])),""),ROWS($A$15:A32)+$B$3))),IF($D$15="",INDEX(orderHistory[customer],SMALL(IF(ISNUMBER(MATCH(orderHistory[customer],$D$9,0)*MATCH(orderHistory[status],$D$11,0)*MATCH(orderHistory[order_type],$D$13,0)),MATCH(ROW(orderHistory[customer]),ROW(orderHistory[customer])),""),ROWS($A$15:A32)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4BEAUTY4YOU</v>
      </c>
      <c r="M27" s="382">
        <f t="array" ref="M27">IFERROR(IF($D$9="",IF($D$11="",IF($D$13="",IF($D$15="",INDEX(orderHistory[order_no],SMALL(MATCH(ROW(orderHistory[customer]),ROW(orderHistory[customer])),ROWS($A$15:A32)+$B$3)),INDEX(orderHistory[order_no],SMALL(IF(ISNUMBER(MATCH(YEAR(orderHistory[invoice_date]),$D$15,0)),MATCH(ROW(orderHistory[customer]),ROW(orderHistory[customer])),""),ROWS($A$15:A32)+$B$3))),IF($D$15="",INDEX(orderHistory[order_no],SMALL(IF(ISNUMBER(MATCH(orderHistory[order_type],$D$13,0)),MATCH(ROW(orderHistory[customer]),ROW(orderHistory[customer])),""),ROWS($A$15:A32)+$B$3)),INDEX(orderHistory[order_no],SMALL(IF(ISNUMBER(MATCH(orderHistory[order_type],$D$13,0)*MATCH(YEAR(orderHistory[invoice_date]),$D$15,0)),MATCH(ROW(orderHistory[customer]),ROW(orderHistory[customer])),""),ROWS($A$15:A32)+$B$3)))),IF($D$13="",IF($D$15="",INDEX(orderHistory[order_no],SMALL(IF(ISNUMBER(MATCH(orderHistory[status],$D$11,0)),MATCH(ROW(orderHistory[customer]),ROW(orderHistory[customer])),""),ROWS($A$15:A32)+$B$3)),INDEX(orderHistory[order_no],SMALL(IF(ISNUMBER(MATCH(orderHistory[status],$D$11,0)*MATCH(YEAR(orderHistory[invoice_date]),$D$15,0)),MATCH(ROW(orderHistory[customer]),ROW(orderHistory[customer])),""),ROWS($A$15:A32)+$B$3))),IF($D$15="",INDEX(orderHistory[order_no],SMALL(IF(ISNUMBER(MATCH(orderHistory[status],$D$11,0)*MATCH(orderHistory[order_type],$D$13,0)),MATCH(ROW(orderHistory[customer]),ROW(orderHistory[customer])),""),ROWS($A$15:A32)+$B$3)),INDEX(orderHistory[order_no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order_no],SMALL(IF(ISNUMBER(MATCH(orderHistory[customer],$D$9,0)),MATCH(ROW(orderHistory[customer]),ROW(orderHistory[customer])),""),ROWS($A$15:A32)+$B$3)),INDEX(orderHistory[order_no],SMALL(IF(ISNUMBER(MATCH(orderHistory[customer],$D$9,0)*MATCH(YEAR(orderHistory[invoice_date]),$D$15,0)),MATCH(ROW(orderHistory[customer]),ROW(orderHistory[customer])),""),ROWS($A$15:A32)+$B$3))),IF($D$15="",INDEX(orderHistory[order_no],SMALL(IF(ISNUMBER(MATCH(orderHistory[customer],$D$9,0)*MATCH(orderHistory[order_type],$D$13,0)),MATCH(ROW(orderHistory[customer]),ROW(orderHistory[customer])),""),ROWS($A$15:A32)+$B$3)),INDEX(orderHistory[order_no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order_no],SMALL(IF(ISNUMBER(MATCH(orderHistory[customer],$D$9,0)*MATCH(orderHistory[status],$D$11,0)),MATCH(ROW(orderHistory[customer]),ROW(orderHistory[customer])),""),ROWS($A$15:A32)+$B$3)),INDEX(orderHistory[order_no],SMALL(IF(ISNUMBER(MATCH(orderHistory[customer],$D$9,0)*MATCH(orderHistory[status],$D$11,0)*MATCH(YEAR(orderHistory[invoice_date]),$D$15,0)),MATCH(ROW(orderHistory[customer]),ROW(orderHistory[customer])),""),ROWS($A$15:A32)+$B$3))),IF($D$15="",INDEX(orderHistory[order_no],SMALL(IF(ISNUMBER(MATCH(orderHistory[customer],$D$9,0)*MATCH(orderHistory[status],$D$11,0)*MATCH(orderHistory[order_type],$D$13,0)),MATCH(ROW(orderHistory[customer]),ROW(orderHistory[customer])),""),ROWS($A$15:A32)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74</v>
      </c>
      <c r="N27" s="383" t="str">
        <f t="array" ref="N27">IFERROR(IF($D$9="",IF($D$11="",IF($D$13="",IF($D$15="",INDEX(orderHistory[order_type],SMALL(MATCH(ROW(orderHistory[customer]),ROW(orderHistory[customer])),ROWS($A$15:A32)+$B$3)),INDEX(orderHistory[order_type],SMALL(IF(ISNUMBER(MATCH(YEAR(orderHistory[invoice_date]),$D$15,0)),MATCH(ROW(orderHistory[customer]),ROW(orderHistory[customer])),""),ROWS($A$15:A32)+$B$3))),IF($D$15="",INDEX(orderHistory[order_type],SMALL(IF(ISNUMBER(MATCH(orderHistory[order_type],$D$13,0)),MATCH(ROW(orderHistory[customer]),ROW(orderHistory[customer])),""),ROWS($A$15:A32)+$B$3)),INDEX(orderHistory[order_type],SMALL(IF(ISNUMBER(MATCH(orderHistory[order_type],$D$13,0)*MATCH(YEAR(orderHistory[invoice_date]),$D$15,0)),MATCH(ROW(orderHistory[customer]),ROW(orderHistory[customer])),""),ROWS($A$15:A32)+$B$3)))),IF($D$13="",IF($D$15="",INDEX(orderHistory[order_type],SMALL(IF(ISNUMBER(MATCH(orderHistory[status],$D$11,0)),MATCH(ROW(orderHistory[customer]),ROW(orderHistory[customer])),""),ROWS($A$15:A32)+$B$3)),INDEX(orderHistory[order_type],SMALL(IF(ISNUMBER(MATCH(orderHistory[status],$D$11,0)*MATCH(YEAR(orderHistory[invoice_date]),$D$15,0)),MATCH(ROW(orderHistory[customer]),ROW(orderHistory[customer])),""),ROWS($A$15:A32)+$B$3))),IF($D$15="",INDEX(orderHistory[order_type],SMALL(IF(ISNUMBER(MATCH(orderHistory[status],$D$11,0)*MATCH(orderHistory[order_type],$D$13,0)),MATCH(ROW(orderHistory[customer]),ROW(orderHistory[customer])),""),ROWS($A$15:A32)+$B$3)),INDEX(orderHistory[order_type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order_type],SMALL(IF(ISNUMBER(MATCH(orderHistory[customer],$D$9,0)),MATCH(ROW(orderHistory[customer]),ROW(orderHistory[customer])),""),ROWS($A$15:A32)+$B$3)),INDEX(orderHistory[order_type],SMALL(IF(ISNUMBER(MATCH(orderHistory[customer],$D$9,0)*MATCH(YEAR(orderHistory[invoice_date]),$D$15,0)),MATCH(ROW(orderHistory[customer]),ROW(orderHistory[customer])),""),ROWS($A$15:A32)+$B$3))),IF($D$15="",INDEX(orderHistory[order_type],SMALL(IF(ISNUMBER(MATCH(orderHistory[customer],$D$9,0)*MATCH(orderHistory[order_type],$D$13,0)),MATCH(ROW(orderHistory[customer]),ROW(orderHistory[customer])),""),ROWS($A$15:A32)+$B$3)),INDEX(orderHistory[order_type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order_type],SMALL(IF(ISNUMBER(MATCH(orderHistory[customer],$D$9,0)*MATCH(orderHistory[status],$D$11,0)),MATCH(ROW(orderHistory[customer]),ROW(orderHistory[customer])),""),ROWS($A$15:A32)+$B$3)),INDEX(orderHistory[order_type],SMALL(IF(ISNUMBER(MATCH(orderHistory[customer],$D$9,0)*MATCH(orderHistory[status],$D$11,0)*MATCH(YEAR(orderHistory[invoice_date]),$D$15,0)),MATCH(ROW(orderHistory[customer]),ROW(orderHistory[customer])),""),ROWS($A$15:A32)+$B$3))),IF($D$15="",INDEX(orderHistory[order_type],SMALL(IF(ISNUMBER(MATCH(orderHistory[customer],$D$9,0)*MATCH(orderHistory[status],$D$11,0)*MATCH(orderHistory[order_type],$D$13,0)),MATCH(ROW(orderHistory[customer]),ROW(orderHistory[customer])),""),ROWS($A$15:A32)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SALE</v>
      </c>
      <c r="O27" s="384">
        <f t="array" ref="O27">IFERROR(IF($D$9="",IF($D$11="",IF($D$13="",IF($D$15="",INDEX(orderHistory[order_date],SMALL(MATCH(ROW(orderHistory[customer]),ROW(orderHistory[customer])),ROWS($A$15:A32)+$B$3)),INDEX(orderHistory[order_date],SMALL(IF(ISNUMBER(MATCH(YEAR(orderHistory[invoice_date]),$D$15,0)),MATCH(ROW(orderHistory[customer]),ROW(orderHistory[customer])),""),ROWS($A$15:A32)+$B$3))),IF($D$15="",INDEX(orderHistory[order_date],SMALL(IF(ISNUMBER(MATCH(orderHistory[order_type],$D$13,0)),MATCH(ROW(orderHistory[customer]),ROW(orderHistory[customer])),""),ROWS($A$15:A32)+$B$3)),INDEX(orderHistory[order_date],SMALL(IF(ISNUMBER(MATCH(orderHistory[order_type],$D$13,0)*MATCH(YEAR(orderHistory[invoice_date]),$D$15,0)),MATCH(ROW(orderHistory[customer]),ROW(orderHistory[customer])),""),ROWS($A$15:A32)+$B$3)))),IF($D$13="",IF($D$15="",INDEX(orderHistory[order_date],SMALL(IF(ISNUMBER(MATCH(orderHistory[status],$D$11,0)),MATCH(ROW(orderHistory[customer]),ROW(orderHistory[customer])),""),ROWS($A$15:A32)+$B$3)),INDEX(orderHistory[order_date],SMALL(IF(ISNUMBER(MATCH(orderHistory[status],$D$11,0)*MATCH(YEAR(orderHistory[invoice_date]),$D$15,0)),MATCH(ROW(orderHistory[customer]),ROW(orderHistory[customer])),""),ROWS($A$15:A32)+$B$3))),IF($D$15="",INDEX(orderHistory[order_date],SMALL(IF(ISNUMBER(MATCH(orderHistory[status],$D$11,0)*MATCH(orderHistory[order_type],$D$13,0)),MATCH(ROW(orderHistory[customer]),ROW(orderHistory[customer])),""),ROWS($A$15:A32)+$B$3)),INDEX(orderHistory[order_date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order_date],SMALL(IF(ISNUMBER(MATCH(orderHistory[customer],$D$9,0)),MATCH(ROW(orderHistory[customer]),ROW(orderHistory[customer])),""),ROWS($A$15:A32)+$B$3)),INDEX(orderHistory[order_date],SMALL(IF(ISNUMBER(MATCH(orderHistory[customer],$D$9,0)*MATCH(YEAR(orderHistory[invoice_date]),$D$15,0)),MATCH(ROW(orderHistory[customer]),ROW(orderHistory[customer])),""),ROWS($A$15:A32)+$B$3))),IF($D$15="",INDEX(orderHistory[order_date],SMALL(IF(ISNUMBER(MATCH(orderHistory[customer],$D$9,0)*MATCH(orderHistory[order_type],$D$13,0)),MATCH(ROW(orderHistory[customer]),ROW(orderHistory[customer])),""),ROWS($A$15:A32)+$B$3)),INDEX(orderHistory[order_date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order_date],SMALL(IF(ISNUMBER(MATCH(orderHistory[customer],$D$9,0)*MATCH(orderHistory[status],$D$11,0)),MATCH(ROW(orderHistory[customer]),ROW(orderHistory[customer])),""),ROWS($A$15:A32)+$B$3)),INDEX(orderHistory[order_date],SMALL(IF(ISNUMBER(MATCH(orderHistory[customer],$D$9,0)*MATCH(orderHistory[status],$D$11,0)*MATCH(YEAR(orderHistory[invoice_date]),$D$15,0)),MATCH(ROW(orderHistory[customer]),ROW(orderHistory[customer])),""),ROWS($A$15:A32)+$B$3))),IF($D$15="",INDEX(orderHistory[order_date],SMALL(IF(ISNUMBER(MATCH(orderHistory[customer],$D$9,0)*MATCH(orderHistory[status],$D$11,0)*MATCH(orderHistory[order_type],$D$13,0)),MATCH(ROW(orderHistory[customer]),ROW(orderHistory[customer])),""),ROWS($A$15:A32)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45488</v>
      </c>
      <c r="P27" s="385" t="str">
        <f t="array" ref="P27">IFERROR(IF($D$9="",IF($D$11="",IF($D$13="",IF($D$15="",INDEX(orderHistory[invoice_no],SMALL(MATCH(ROW(orderHistory[customer]),ROW(orderHistory[customer])),ROWS($A$15:A32)+$B$3)),INDEX(orderHistory[invoice_no],SMALL(IF(ISNUMBER(MATCH(YEAR(orderHistory[invoice_date]),$D$15,0)),MATCH(ROW(orderHistory[customer]),ROW(orderHistory[customer])),""),ROWS($A$15:A32)+$B$3))),IF($D$15="",INDEX(orderHistory[invoice_no],SMALL(IF(ISNUMBER(MATCH(orderHistory[order_type],$D$13,0)),MATCH(ROW(orderHistory[customer]),ROW(orderHistory[customer])),""),ROWS($A$15:A32)+$B$3)),INDEX(orderHistory[invoice_no],SMALL(IF(ISNUMBER(MATCH(orderHistory[order_type],$D$13,0)*MATCH(YEAR(orderHistory[invoice_date]),$D$15,0)),MATCH(ROW(orderHistory[customer]),ROW(orderHistory[customer])),""),ROWS($A$15:A32)+$B$3)))),IF($D$13="",IF($D$15="",INDEX(orderHistory[invoice_no],SMALL(IF(ISNUMBER(MATCH(orderHistory[status],$D$11,0)),MATCH(ROW(orderHistory[customer]),ROW(orderHistory[customer])),""),ROWS($A$15:A32)+$B$3)),INDEX(orderHistory[invoice_no],SMALL(IF(ISNUMBER(MATCH(orderHistory[status],$D$11,0)*MATCH(YEAR(orderHistory[invoice_date]),$D$15,0)),MATCH(ROW(orderHistory[customer]),ROW(orderHistory[customer])),""),ROWS($A$15:A32)+$B$3))),IF($D$15="",INDEX(orderHistory[invoice_no],SMALL(IF(ISNUMBER(MATCH(orderHistory[status],$D$11,0)*MATCH(orderHistory[order_type],$D$13,0)),MATCH(ROW(orderHistory[customer]),ROW(orderHistory[customer])),""),ROWS($A$15:A32)+$B$3)),INDEX(orderHistory[invoice_no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invoice_no],SMALL(IF(ISNUMBER(MATCH(orderHistory[customer],$D$9,0)),MATCH(ROW(orderHistory[customer]),ROW(orderHistory[customer])),""),ROWS($A$15:A32)+$B$3)),INDEX(orderHistory[invoice_no],SMALL(IF(ISNUMBER(MATCH(orderHistory[customer],$D$9,0)*MATCH(YEAR(orderHistory[invoice_date]),$D$15,0)),MATCH(ROW(orderHistory[customer]),ROW(orderHistory[customer])),""),ROWS($A$15:A32)+$B$3))),IF($D$15="",INDEX(orderHistory[invoice_no],SMALL(IF(ISNUMBER(MATCH(orderHistory[customer],$D$9,0)*MATCH(orderHistory[order_type],$D$13,0)),MATCH(ROW(orderHistory[customer]),ROW(orderHistory[customer])),""),ROWS($A$15:A32)+$B$3)),INDEX(orderHistory[invoice_no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invoice_no],SMALL(IF(ISNUMBER(MATCH(orderHistory[customer],$D$9,0)*MATCH(orderHistory[status],$D$11,0)),MATCH(ROW(orderHistory[customer]),ROW(orderHistory[customer])),""),ROWS($A$15:A32)+$B$3)),INDEX(orderHistory[invoice_no],SMALL(IF(ISNUMBER(MATCH(orderHistory[customer],$D$9,0)*MATCH(orderHistory[status],$D$11,0)*MATCH(YEAR(orderHistory[invoice_date]),$D$15,0)),MATCH(ROW(orderHistory[customer]),ROW(orderHistory[customer])),""),ROWS($A$15:A32)+$B$3))),IF($D$15="",INDEX(orderHistory[invoice_no],SMALL(IF(ISNUMBER(MATCH(orderHistory[customer],$D$9,0)*MATCH(orderHistory[status],$D$11,0)*MATCH(orderHistory[order_type],$D$13,0)),MATCH(ROW(orderHistory[customer]),ROW(orderHistory[customer])),""),ROWS($A$15:A32)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242</v>
      </c>
      <c r="Q27" s="386">
        <f t="array" ref="Q27">IFERROR(IF($D$9="",IF($D$11="",IF($D$13="",IF($D$15="",INDEX(orderHistory[invoice_date],SMALL(MATCH(ROW(orderHistory[customer]),ROW(orderHistory[customer])),ROWS($A$15:A32)+$B$3)),INDEX(orderHistory[invoice_date],SMALL(IF(ISNUMBER(MATCH(YEAR(orderHistory[invoice_date]),$D$15,0)),MATCH(ROW(orderHistory[customer]),ROW(orderHistory[customer])),""),ROWS($A$15:A32)+$B$3))),IF($D$15="",INDEX(orderHistory[invoice_date],SMALL(IF(ISNUMBER(MATCH(orderHistory[order_type],$D$13,0)),MATCH(ROW(orderHistory[customer]),ROW(orderHistory[customer])),""),ROWS($A$15:A32)+$B$3)),INDEX(orderHistory[invoice_date],SMALL(IF(ISNUMBER(MATCH(orderHistory[order_type],$D$13,0)*MATCH(YEAR(orderHistory[invoice_date]),$D$15,0)),MATCH(ROW(orderHistory[customer]),ROW(orderHistory[customer])),""),ROWS($A$15:A32)+$B$3)))),IF($D$13="",IF($D$15="",INDEX(orderHistory[invoice_date],SMALL(IF(ISNUMBER(MATCH(orderHistory[status],$D$11,0)),MATCH(ROW(orderHistory[customer]),ROW(orderHistory[customer])),""),ROWS($A$15:A32)+$B$3)),INDEX(orderHistory[invoice_date],SMALL(IF(ISNUMBER(MATCH(orderHistory[status],$D$11,0)*MATCH(YEAR(orderHistory[invoice_date]),$D$15,0)),MATCH(ROW(orderHistory[customer]),ROW(orderHistory[customer])),""),ROWS($A$15:A32)+$B$3))),IF($D$15="",INDEX(orderHistory[invoice_date],SMALL(IF(ISNUMBER(MATCH(orderHistory[status],$D$11,0)*MATCH(orderHistory[order_type],$D$13,0)),MATCH(ROW(orderHistory[customer]),ROW(orderHistory[customer])),""),ROWS($A$15:A32)+$B$3)),INDEX(orderHistory[invoice_date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invoice_date],SMALL(IF(ISNUMBER(MATCH(orderHistory[customer],$D$9,0)),MATCH(ROW(orderHistory[customer]),ROW(orderHistory[customer])),""),ROWS($A$15:A32)+$B$3)),INDEX(orderHistory[invoice_date],SMALL(IF(ISNUMBER(MATCH(orderHistory[customer],$D$9,0)*MATCH(YEAR(orderHistory[invoice_date]),$D$15,0)),MATCH(ROW(orderHistory[customer]),ROW(orderHistory[customer])),""),ROWS($A$15:A32)+$B$3))),IF($D$15="",INDEX(orderHistory[invoice_date],SMALL(IF(ISNUMBER(MATCH(orderHistory[customer],$D$9,0)*MATCH(orderHistory[order_type],$D$13,0)),MATCH(ROW(orderHistory[customer]),ROW(orderHistory[customer])),""),ROWS($A$15:A32)+$B$3)),INDEX(orderHistory[invoice_date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invoice_date],SMALL(IF(ISNUMBER(MATCH(orderHistory[customer],$D$9,0)*MATCH(orderHistory[status],$D$11,0)),MATCH(ROW(orderHistory[customer]),ROW(orderHistory[customer])),""),ROWS($A$15:A32)+$B$3)),INDEX(orderHistory[invoice_date],SMALL(IF(ISNUMBER(MATCH(orderHistory[customer],$D$9,0)*MATCH(orderHistory[status],$D$11,0)*MATCH(YEAR(orderHistory[invoice_date]),$D$15,0)),MATCH(ROW(orderHistory[customer]),ROW(orderHistory[customer])),""),ROWS($A$15:A32)+$B$3))),IF($D$15="",INDEX(orderHistory[invoice_date],SMALL(IF(ISNUMBER(MATCH(orderHistory[customer],$D$9,0)*MATCH(orderHistory[status],$D$11,0)*MATCH(orderHistory[order_type],$D$13,0)),MATCH(ROW(orderHistory[customer]),ROW(orderHistory[customer])),""),ROWS($A$15:A32)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45490</v>
      </c>
      <c r="R27" s="387">
        <f t="array" ref="R27">IFERROR(IF($D$9="",IF($D$11="",IF($D$13="",IF($D$15="",INDEX(orderHistory[inv_amount],SMALL(MATCH(ROW(orderHistory[customer]),ROW(orderHistory[customer])),ROWS($A$15:A32)+$B$3)),INDEX(orderHistory[inv_amount],SMALL(IF(ISNUMBER(MATCH(YEAR(orderHistory[invoice_date]),$D$15,0)),MATCH(ROW(orderHistory[customer]),ROW(orderHistory[customer])),""),ROWS($A$15:A32)+$B$3))),IF($D$15="",INDEX(orderHistory[inv_amount],SMALL(IF(ISNUMBER(MATCH(orderHistory[order_type],$D$13,0)),MATCH(ROW(orderHistory[customer]),ROW(orderHistory[customer])),""),ROWS($A$15:A32)+$B$3)),INDEX(orderHistory[inv_amount],SMALL(IF(ISNUMBER(MATCH(orderHistory[order_type],$D$13,0)*MATCH(YEAR(orderHistory[invoice_date]),$D$15,0)),MATCH(ROW(orderHistory[customer]),ROW(orderHistory[customer])),""),ROWS($A$15:A32)+$B$3)))),IF($D$13="",IF($D$15="",INDEX(orderHistory[inv_amount],SMALL(IF(ISNUMBER(MATCH(orderHistory[status],$D$11,0)),MATCH(ROW(orderHistory[customer]),ROW(orderHistory[customer])),""),ROWS($A$15:A32)+$B$3)),INDEX(orderHistory[inv_amount],SMALL(IF(ISNUMBER(MATCH(orderHistory[status],$D$11,0)*MATCH(YEAR(orderHistory[invoice_date]),$D$15,0)),MATCH(ROW(orderHistory[customer]),ROW(orderHistory[customer])),""),ROWS($A$15:A32)+$B$3))),IF($D$15="",INDEX(orderHistory[inv_amount],SMALL(IF(ISNUMBER(MATCH(orderHistory[status],$D$11,0)*MATCH(orderHistory[order_type],$D$13,0)),MATCH(ROW(orderHistory[customer]),ROW(orderHistory[customer])),""),ROWS($A$15:A32)+$B$3)),INDEX(orderHistory[inv_amount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inv_amount],SMALL(IF(ISNUMBER(MATCH(orderHistory[customer],$D$9,0)),MATCH(ROW(orderHistory[customer]),ROW(orderHistory[customer])),""),ROWS($A$15:A32)+$B$3)),INDEX(orderHistory[inv_amount],SMALL(IF(ISNUMBER(MATCH(orderHistory[customer],$D$9,0)*MATCH(YEAR(orderHistory[invoice_date]),$D$15,0)),MATCH(ROW(orderHistory[customer]),ROW(orderHistory[customer])),""),ROWS($A$15:A32)+$B$3))),IF($D$15="",INDEX(orderHistory[inv_amount],SMALL(IF(ISNUMBER(MATCH(orderHistory[customer],$D$9,0)*MATCH(orderHistory[order_type],$D$13,0)),MATCH(ROW(orderHistory[customer]),ROW(orderHistory[customer])),""),ROWS($A$15:A32)+$B$3)),INDEX(orderHistory[inv_amount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inv_amount],SMALL(IF(ISNUMBER(MATCH(orderHistory[customer],$D$9,0)*MATCH(orderHistory[status],$D$11,0)),MATCH(ROW(orderHistory[customer]),ROW(orderHistory[customer])),""),ROWS($A$15:A32)+$B$3)),INDEX(orderHistory[inv_amount],SMALL(IF(ISNUMBER(MATCH(orderHistory[customer],$D$9,0)*MATCH(orderHistory[status],$D$11,0)*MATCH(YEAR(orderHistory[inv_amount]),$D$15,0)),MATCH(ROW(orderHistory[customer]),ROW(orderHistory[customer])),""),ROWS($A$15:A32)+$B$3))),IF($D$15="",INDEX(orderHistory[inv_amount],SMALL(IF(ISNUMBER(MATCH(orderHistory[customer],$D$9,0)*MATCH(orderHistory[status],$D$11,0)*MATCH(orderHistory[order_type],$D$13,0)),MATCH(ROW(orderHistory[customer]),ROW(orderHistory[customer])),""),ROWS($A$15:A32)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50400</v>
      </c>
      <c r="S27" s="465" t="str">
        <f t="array" ref="S27">IFERROR(IF($D$9="",IF($D$11="",IF($D$13="",IF($D$15="",INDEX(orderHistory[lock_goods],SMALL(MATCH(ROW(orderHistory[customer]),ROW(orderHistory[customer])),ROWS($A$15:A32)+$B$3)),INDEX(orderHistory[lock_goods],SMALL(IF(ISNUMBER(MATCH(YEAR(orderHistory[invoice_date]),$D$15,0)),MATCH(ROW(orderHistory[customer]),ROW(orderHistory[customer])),""),ROWS($A$15:A32)+$B$3))),IF($D$15="",INDEX(orderHistory[lock_goods],SMALL(IF(ISNUMBER(MATCH(orderHistory[order_type],$D$13,0)),MATCH(ROW(orderHistory[customer]),ROW(orderHistory[customer])),""),ROWS($A$15:A32)+$B$3)),INDEX(orderHistory[lock_goods],SMALL(IF(ISNUMBER(MATCH(orderHistory[order_type],$D$13,0)*MATCH(YEAR(orderHistory[invoice_date]),$D$15,0)),MATCH(ROW(orderHistory[customer]),ROW(orderHistory[customer])),""),ROWS($A$15:A32)+$B$3)))),IF($D$13="",IF($D$15="",INDEX(orderHistory[lock_goods],SMALL(IF(ISNUMBER(MATCH(orderHistory[status],$D$11,0)),MATCH(ROW(orderHistory[customer]),ROW(orderHistory[customer])),""),ROWS($A$15:A32)+$B$3)),INDEX(orderHistory[lock_goods],SMALL(IF(ISNUMBER(MATCH(orderHistory[status],$D$11,0)*MATCH(YEAR(orderHistory[invoice_date]),$D$15,0)),MATCH(ROW(orderHistory[customer]),ROW(orderHistory[customer])),""),ROWS($A$15:A32)+$B$3))),IF($D$15="",INDEX(orderHistory[lock_goods],SMALL(IF(ISNUMBER(MATCH(orderHistory[status],$D$11,0)*MATCH(orderHistory[order_type],$D$13,0)),MATCH(ROW(orderHistory[customer]),ROW(orderHistory[customer])),""),ROWS($A$15:A32)+$B$3)),INDEX(orderHistory[lock_goods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lock_goods],SMALL(IF(ISNUMBER(MATCH(orderHistory[customer],$D$9,0)),MATCH(ROW(orderHistory[customer]),ROW(orderHistory[customer])),""),ROWS($A$15:A32)+$B$3)),INDEX(orderHistory[lock_goods],SMALL(IF(ISNUMBER(MATCH(orderHistory[customer],$D$9,0)*MATCH(YEAR(orderHistory[invoice_date]),$D$15,0)),MATCH(ROW(orderHistory[customer]),ROW(orderHistory[customer])),""),ROWS($A$15:A32)+$B$3))),IF($D$15="",INDEX(orderHistory[lock_goods],SMALL(IF(ISNUMBER(MATCH(orderHistory[customer],$D$9,0)*MATCH(orderHistory[order_type],$D$13,0)),MATCH(ROW(orderHistory[customer]),ROW(orderHistory[customer])),""),ROWS($A$15:A32)+$B$3)),INDEX(orderHistory[lock_goods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lock_goods],SMALL(IF(ISNUMBER(MATCH(orderHistory[customer],$D$9,0)*MATCH(orderHistory[status],$D$11,0)),MATCH(ROW(orderHistory[customer]),ROW(orderHistory[customer])),""),ROWS($A$15:A32)+$B$3)),INDEX(orderHistory[lock_goods],SMALL(IF(ISNUMBER(MATCH(orderHistory[customer],$D$9,0)*MATCH(orderHistory[status],$D$11,0)*MATCH(YEAR(orderHistory[payed]),$D$15,0)),MATCH(ROW(orderHistory[customer]),ROW(orderHistory[customer])),""),ROWS($A$15:A32)+$B$3))),IF($D$15="",INDEX(orderHistory[lock_goods],SMALL(IF(ISNUMBER(MATCH(orderHistory[customer],$D$9,0)*MATCH(orderHistory[status],$D$11,0)*MATCH(orderHistory[order_type],$D$13,0)),MATCH(ROW(orderHistory[customer]),ROW(orderHistory[customer])),""),ROWS($A$15:A32)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GOODS SENT</v>
      </c>
      <c r="T27" s="388" t="b">
        <f t="array" ref="T27">IFERROR(IF($D$9="",IF($D$11="",IF($D$13="",IF($D$15="",INDEX(orderHistory[payed],SMALL(MATCH(ROW(orderHistory[customer]),ROW(orderHistory[customer])),ROWS($A$15:A32)+$B$3)),INDEX(orderHistory[payed],SMALL(IF(ISNUMBER(MATCH(YEAR(orderHistory[invoice_date]),$D$15,0)),MATCH(ROW(orderHistory[customer]),ROW(orderHistory[customer])),""),ROWS($A$15:A32)+$B$3))),IF($D$15="",INDEX(orderHistory[payed],SMALL(IF(ISNUMBER(MATCH(orderHistory[order_type],$D$13,0)),MATCH(ROW(orderHistory[customer]),ROW(orderHistory[customer])),""),ROWS($A$15:A32)+$B$3)),INDEX(orderHistory[payed],SMALL(IF(ISNUMBER(MATCH(orderHistory[order_type],$D$13,0)*MATCH(YEAR(orderHistory[invoice_date]),$D$15,0)),MATCH(ROW(orderHistory[customer]),ROW(orderHistory[customer])),""),ROWS($A$15:A32)+$B$3)))),IF($D$13="",IF($D$15="",INDEX(orderHistory[payed],SMALL(IF(ISNUMBER(MATCH(orderHistory[status],$D$11,0)),MATCH(ROW(orderHistory[customer]),ROW(orderHistory[customer])),""),ROWS($A$15:A32)+$B$3)),INDEX(orderHistory[payed],SMALL(IF(ISNUMBER(MATCH(orderHistory[status],$D$11,0)*MATCH(YEAR(orderHistory[invoice_date]),$D$15,0)),MATCH(ROW(orderHistory[customer]),ROW(orderHistory[customer])),""),ROWS($A$15:A32)+$B$3))),IF($D$15="",INDEX(orderHistory[payed],SMALL(IF(ISNUMBER(MATCH(orderHistory[status],$D$11,0)*MATCH(orderHistory[order_type],$D$13,0)),MATCH(ROW(orderHistory[customer]),ROW(orderHistory[customer])),""),ROWS($A$15:A32)+$B$3)),INDEX(orderHistory[payed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payed],SMALL(IF(ISNUMBER(MATCH(orderHistory[customer],$D$9,0)),MATCH(ROW(orderHistory[customer]),ROW(orderHistory[customer])),""),ROWS($A$15:A32)+$B$3)),INDEX(orderHistory[payed],SMALL(IF(ISNUMBER(MATCH(orderHistory[customer],$D$9,0)*MATCH(YEAR(orderHistory[invoice_date]),$D$15,0)),MATCH(ROW(orderHistory[customer]),ROW(orderHistory[customer])),""),ROWS($A$15:A32)+$B$3))),IF($D$15="",INDEX(orderHistory[payed],SMALL(IF(ISNUMBER(MATCH(orderHistory[customer],$D$9,0)*MATCH(orderHistory[order_type],$D$13,0)),MATCH(ROW(orderHistory[customer]),ROW(orderHistory[customer])),""),ROWS($A$15:A32)+$B$3)),INDEX(orderHistory[payed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payed],SMALL(IF(ISNUMBER(MATCH(orderHistory[customer],$D$9,0)*MATCH(orderHistory[status],$D$11,0)),MATCH(ROW(orderHistory[customer]),ROW(orderHistory[customer])),""),ROWS($A$15:A32)+$B$3)),INDEX(orderHistory[payed],SMALL(IF(ISNUMBER(MATCH(orderHistory[customer],$D$9,0)*MATCH(orderHistory[status],$D$11,0)*MATCH(YEAR(orderHistory[payed]),$D$15,0)),MATCH(ROW(orderHistory[customer]),ROW(orderHistory[customer])),""),ROWS($A$15:A32)+$B$3))),IF($D$15="",INDEX(orderHistory[payed],SMALL(IF(ISNUMBER(MATCH(orderHistory[customer],$D$9,0)*MATCH(orderHistory[status],$D$11,0)*MATCH(orderHistory[order_type],$D$13,0)),MATCH(ROW(orderHistory[customer]),ROW(orderHistory[customer])),""),ROWS($A$15:A32)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1</v>
      </c>
      <c r="U27" s="383" t="str">
        <f t="array" ref="U27">IFERROR(IF($D$9="",IF($D$11="",IF($D$13="",IF($D$15="",INDEX(orderHistory[shipping_method],SMALL(MATCH(ROW(orderHistory[customer]),ROW(orderHistory[customer])),ROWS($A$15:A32)+$B$3)),INDEX(orderHistory[shipping_method],SMALL(IF(ISNUMBER(MATCH(YEAR(orderHistory[invoice_date]),$D$15,0)),MATCH(ROW(orderHistory[customer]),ROW(orderHistory[customer])),""),ROWS($A$15:A32)+$B$3))),IF($D$15="",INDEX(orderHistory[shipping_method],SMALL(IF(ISNUMBER(MATCH(orderHistory[order_type],$D$13,0)),MATCH(ROW(orderHistory[customer]),ROW(orderHistory[customer])),""),ROWS($A$15:A32)+$B$3)),INDEX(orderHistory[shipping_method],SMALL(IF(ISNUMBER(MATCH(orderHistory[order_type],$D$13,0)*MATCH(YEAR(orderHistory[invoice_date]),$D$15,0)),MATCH(ROW(orderHistory[customer]),ROW(orderHistory[customer])),""),ROWS($A$15:A32)+$B$3)))),IF($D$13="",IF($D$15="",INDEX(orderHistory[shipping_method],SMALL(IF(ISNUMBER(MATCH(orderHistory[status],$D$11,0)),MATCH(ROW(orderHistory[customer]),ROW(orderHistory[customer])),""),ROWS($A$15:A32)+$B$3)),INDEX(orderHistory[shipping_method],SMALL(IF(ISNUMBER(MATCH(orderHistory[status],$D$11,0)*MATCH(YEAR(orderHistory[invoice_date]),$D$15,0)),MATCH(ROW(orderHistory[customer]),ROW(orderHistory[customer])),""),ROWS($A$15:A32)+$B$3))),IF($D$15="",INDEX(orderHistory[shipping_method],SMALL(IF(ISNUMBER(MATCH(orderHistory[status],$D$11,0)*MATCH(orderHistory[order_type],$D$13,0)),MATCH(ROW(orderHistory[customer]),ROW(orderHistory[customer])),""),ROWS($A$15:A32)+$B$3)),INDEX(orderHistory[shipping_method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shipping_method],SMALL(IF(ISNUMBER(MATCH(orderHistory[customer],$D$9,0)),MATCH(ROW(orderHistory[customer]),ROW(orderHistory[customer])),""),ROWS($A$15:A32)+$B$3)),INDEX(orderHistory[shipping_method],SMALL(IF(ISNUMBER(MATCH(orderHistory[customer],$D$9,0)*MATCH(YEAR(orderHistory[invoice_date]),$D$15,0)),MATCH(ROW(orderHistory[customer]),ROW(orderHistory[customer])),""),ROWS($A$15:A32)+$B$3))),IF($D$15="",INDEX(orderHistory[shipping_method],SMALL(IF(ISNUMBER(MATCH(orderHistory[customer],$D$9,0)*MATCH(orderHistory[order_type],$D$13,0)),MATCH(ROW(orderHistory[customer]),ROW(orderHistory[customer])),""),ROWS($A$15:A32)+$B$3)),INDEX(orderHistory[shipping_method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shipping_method],SMALL(IF(ISNUMBER(MATCH(orderHistory[customer],$D$9,0)*MATCH(orderHistory[status],$D$11,0)),MATCH(ROW(orderHistory[customer]),ROW(orderHistory[customer])),""),ROWS($A$15:A32)+$B$3)),INDEX(orderHistory[shipping_method],SMALL(IF(ISNUMBER(MATCH(orderHistory[customer],$D$9,0)*MATCH(orderHistory[status],$D$11,0)*MATCH(YEAR(orderHistory[shipping_method]),$D$15,0)),MATCH(ROW(orderHistory[customer]),ROW(orderHistory[customer])),""),ROWS($A$15:A32)+$B$3))),IF($D$15="",INDEX(orderHistory[shipping_method],SMALL(IF(ISNUMBER(MATCH(orderHistory[customer],$D$9,0)*MATCH(orderHistory[status],$D$11,0)*MATCH(orderHistory[order_type],$D$13,0)),MATCH(ROW(orderHistory[customer]),ROW(orderHistory[customer])),""),ROWS($A$15:A32)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BY ROAD</v>
      </c>
      <c r="V27" s="388" t="str">
        <f t="array" ref="V27">IFERROR(IF($D$9="",IF($D$11="",IF($D$13="",IF($D$15="",INDEX(orderHistory[status],SMALL(MATCH(ROW(orderHistory[customer]),ROW(orderHistory[customer])),ROWS($A$15:A32)+$B$3)),INDEX(orderHistory[status],SMALL(IF(ISNUMBER(MATCH(YEAR(orderHistory[invoice_date]),$D$15,0)),MATCH(ROW(orderHistory[customer]),ROW(orderHistory[customer])),""),ROWS($A$15:A32)+$B$3))),IF($D$15="",INDEX(orderHistory[status],SMALL(IF(ISNUMBER(MATCH(orderHistory[order_type],$D$13,0)),MATCH(ROW(orderHistory[customer]),ROW(orderHistory[customer])),""),ROWS($A$15:A32)+$B$3)),INDEX(orderHistory[status],SMALL(IF(ISNUMBER(MATCH(orderHistory[order_type],$D$13,0)*MATCH(YEAR(orderHistory[invoice_date]),$D$15,0)),MATCH(ROW(orderHistory[customer]),ROW(orderHistory[customer])),""),ROWS($A$15:A32)+$B$3)))),IF($D$13="",IF($D$15="",INDEX(orderHistory[status],SMALL(IF(ISNUMBER(MATCH(orderHistory[status],$D$11,0)),MATCH(ROW(orderHistory[customer]),ROW(orderHistory[customer])),""),ROWS($A$15:A32)+$B$3)),INDEX(orderHistory[status],SMALL(IF(ISNUMBER(MATCH(orderHistory[status],$D$11,0)*MATCH(YEAR(orderHistory[invoice_date]),$D$15,0)),MATCH(ROW(orderHistory[customer]),ROW(orderHistory[customer])),""),ROWS($A$15:A32)+$B$3))),IF($D$15="",INDEX(orderHistory[status],SMALL(IF(ISNUMBER(MATCH(orderHistory[status],$D$11,0)*MATCH(orderHistory[order_type],$D$13,0)),MATCH(ROW(orderHistory[customer]),ROW(orderHistory[customer])),""),ROWS($A$15:A32)+$B$3)),INDEX(orderHistory[status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status],SMALL(IF(ISNUMBER(MATCH(orderHistory[customer],$D$9,0)),MATCH(ROW(orderHistory[customer]),ROW(orderHistory[customer])),""),ROWS($A$15:A32)+$B$3)),INDEX(orderHistory[status],SMALL(IF(ISNUMBER(MATCH(orderHistory[customer],$D$9,0)*MATCH(YEAR(orderHistory[invoice_date]),$D$15,0)),MATCH(ROW(orderHistory[customer]),ROW(orderHistory[customer])),""),ROWS($A$15:A32)+$B$3))),IF($D$15="",INDEX(orderHistory[status],SMALL(IF(ISNUMBER(MATCH(orderHistory[customer],$D$9,0)*MATCH(orderHistory[order_type],$D$13,0)),MATCH(ROW(orderHistory[customer]),ROW(orderHistory[customer])),""),ROWS($A$15:A32)+$B$3)),INDEX(orderHistory[status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status],SMALL(IF(ISNUMBER(MATCH(orderHistory[customer],$D$9,0)*MATCH(orderHistory[status],$D$11,0)),MATCH(ROW(orderHistory[customer]),ROW(orderHistory[customer])),""),ROWS($A$15:A32)+$B$3)),INDEX(orderHistory[status],SMALL(IF(ISNUMBER(MATCH(orderHistory[customer],$D$9,0)*MATCH(orderHistory[status],$D$11,0)*MATCH(YEAR(orderHistory[status]),$D$15,0)),MATCH(ROW(orderHistory[customer]),ROW(orderHistory[customer])),""),ROWS($A$15:A32)+$B$3))),IF($D$15="",INDEX(orderHistory[status],SMALL(IF(ISNUMBER(MATCH(orderHistory[customer],$D$9,0)*MATCH(orderHistory[status],$D$11,0)*MATCH(orderHistory[order_type],$D$13,0)),MATCH(ROW(orderHistory[customer]),ROW(orderHistory[customer])),""),ROWS($A$15:A32)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SHIPPED</v>
      </c>
      <c r="W27" s="547" t="str">
        <f t="array" ref="W27">IFERROR(IF($D$9="",IF($D$11="",IF($D$13="",IF($D$15="",INDEX(orderHistory[custom_docs],SMALL(MATCH(ROW(orderHistory[customer]),ROW(orderHistory[customer])),ROWS($A$15:A32)+$B$3)),INDEX(orderHistory[custom_docs],SMALL(IF(ISNUMBER(MATCH(YEAR(orderHistory[invoice_date]),$D$15,0)),MATCH(ROW(orderHistory[customer]),ROW(orderHistory[customer])),""),ROWS($A$15:A32)+$B$3))),IF($D$15="",INDEX(orderHistory[custom_docs],SMALL(IF(ISNUMBER(MATCH(orderHistory[order_type],$D$13,0)),MATCH(ROW(orderHistory[customer]),ROW(orderHistory[customer])),""),ROWS($A$15:A32)+$B$3)),INDEX(orderHistory[custom_docs],SMALL(IF(ISNUMBER(MATCH(orderHistory[order_type],$D$13,0)*MATCH(YEAR(orderHistory[invoice_date]),$D$15,0)),MATCH(ROW(orderHistory[customer]),ROW(orderHistory[customer])),""),ROWS($A$15:A32)+$B$3)))),IF($D$13="",IF($D$15="",INDEX(orderHistory[custom_docs],SMALL(IF(ISNUMBER(MATCH(orderHistory[status],$D$11,0)),MATCH(ROW(orderHistory[customer]),ROW(orderHistory[customer])),""),ROWS($A$15:A32)+$B$3)),INDEX(orderHistory[custom_docs],SMALL(IF(ISNUMBER(MATCH(orderHistory[status],$D$11,0)*MATCH(YEAR(orderHistory[invoice_date]),$D$15,0)),MATCH(ROW(orderHistory[customer]),ROW(orderHistory[customer])),""),ROWS($A$15:A32)+$B$3))),IF($D$15="",INDEX(orderHistory[custom_docs],SMALL(IF(ISNUMBER(MATCH(orderHistory[status],$D$11,0)*MATCH(orderHistory[order_type],$D$13,0)),MATCH(ROW(orderHistory[customer]),ROW(orderHistory[customer])),""),ROWS($A$15:A32)+$B$3)),INDEX(orderHistory[custom_docs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custom_docs],SMALL(IF(ISNUMBER(MATCH(orderHistory[customer],$D$9,0)),MATCH(ROW(orderHistory[customer]),ROW(orderHistory[customer])),""),ROWS($A$15:A32)+$B$3)),INDEX(orderHistory[custom_docs],SMALL(IF(ISNUMBER(MATCH(orderHistory[customer],$D$9,0)*MATCH(YEAR(orderHistory[invoice_date]),$D$15,0)),MATCH(ROW(orderHistory[customer]),ROW(orderHistory[customer])),""),ROWS($A$15:A32)+$B$3))),IF($D$15="",INDEX(orderHistory[custom_docs],SMALL(IF(ISNUMBER(MATCH(orderHistory[customer],$D$9,0)*MATCH(orderHistory[order_type],$D$13,0)),MATCH(ROW(orderHistory[customer]),ROW(orderHistory[customer])),""),ROWS($A$15:A32)+$B$3)),INDEX(orderHistory[custom_docs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custom_docs],SMALL(IF(ISNUMBER(MATCH(orderHistory[customer],$D$9,0)*MATCH(orderHistory[status],$D$11,0)),MATCH(ROW(orderHistory[customer]),ROW(orderHistory[customer])),""),ROWS($A$15:A32)+$B$3)),INDEX(orderHistory[custom_docs],SMALL(IF(ISNUMBER(MATCH(orderHistory[customer],$D$9,0)*MATCH(orderHistory[status],$D$11,0)*MATCH(YEAR(orderHistory[status]),$D$15,0)),MATCH(ROW(orderHistory[customer]),ROW(orderHistory[customer])),""),ROWS($A$15:A32)+$B$3))),IF($D$15="",INDEX(orderHistory[custom_docs],SMALL(IF(ISNUMBER(MATCH(orderHistory[customer],$D$9,0)*MATCH(orderHistory[status],$D$11,0)*MATCH(orderHistory[order_type],$D$13,0)),MATCH(ROW(orderHistory[customer]),ROW(orderHistory[customer])),""),ROWS($A$15:A32)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OK</v>
      </c>
      <c r="AQ27" s="308"/>
      <c r="AR27" s="340"/>
      <c r="AS27" s="341"/>
      <c r="AT27" s="342"/>
      <c r="AU27" s="338"/>
      <c r="AV27" s="312"/>
      <c r="AW27" s="306"/>
      <c r="AX27" s="827"/>
      <c r="AY27" s="828"/>
      <c r="BB27" s="835"/>
      <c r="BC27" s="836"/>
      <c r="BD27" s="836"/>
      <c r="BE27" s="836"/>
      <c r="BF27" s="836"/>
      <c r="BG27" s="836"/>
      <c r="BH27" s="837"/>
      <c r="BJ27" s="271"/>
      <c r="BK27" s="296"/>
      <c r="BL27" s="297"/>
      <c r="BM27" s="298"/>
      <c r="BN27" s="297"/>
      <c r="BO27" s="298"/>
      <c r="BX27" s="366"/>
      <c r="BZ27" s="414"/>
      <c r="CA27" s="401" t="str">
        <f>IFERROR(IF(BZ27="","",INDEX(bhpc_data[description],MATCH(BZ27,bhpc_data[sku],0))),"")</f>
        <v/>
      </c>
      <c r="CB27" s="403"/>
      <c r="CC27" s="886"/>
      <c r="CD27" s="409"/>
      <c r="CE27" s="890"/>
      <c r="CF27" s="404"/>
      <c r="CG27" s="405" t="str">
        <f>IFERROR(ROUNDUP(CB27/INDEX(bhpc_data[units_per_carton],MATCH(BZ27,bhpc_data[sku],0)),0),"")</f>
        <v/>
      </c>
      <c r="CH27" s="406" t="str">
        <f>IFERROR(ROUNDUP(CD27/INDEX(bhpc_data[units_per_carton],MATCH(BZ27,bhpc_data[sku],0)),0),"")</f>
        <v/>
      </c>
      <c r="CI27" s="406" t="str">
        <f>IFERROR(ROUNDUP(CF27/INDEX(bhpc_data[units_per_carton],MATCH(BZ27,bhpc_data[sku])),0),"")</f>
        <v/>
      </c>
      <c r="CJ27" s="406" t="str">
        <f>IFERROR(((CB27+CD27+CF27)/INDEX(bhpc_data[units_per_carton],MATCH(BZ27,bhpc_data[sku],0)))*INDEX(bhpc_data[net_weight],MATCH(BZ27,bhpc_data[sku],0)),"")</f>
        <v/>
      </c>
      <c r="CK27" s="406" t="str">
        <f>IFERROR(((CB27+CD27+CF27)/INDEX(bhpc_data[units_per_carton],MATCH(BZ27,bhpc_data[sku],0)))*INDEX(bhpc_data[gross_weight],MATCH(BZ27,bhpc_data[sku],0)),"")</f>
        <v/>
      </c>
      <c r="CL27" s="602" t="str">
        <f>IFERROR((CB27+CD27+CF27)/INDEX(bhpc_data[units_per_carton],MATCH(BZ27,bhpc_data[sku],0))*INDEX(bhpc_data[length],MATCH(BZ27,bhpc_data[sku],0))*INDEX(bhpc_data[width],MATCH(BZ27,bhpc_data[sku],0))*INDEX(bhpc_data[height],MATCH(BZ27,bhpc_data[sku],0))/1000000000,"")</f>
        <v/>
      </c>
      <c r="CM27" s="407" t="str">
        <f>IFERROR(INDEX(bhpc_data[category],MATCH(BZ27,bhpc_data[sku],0)),"")</f>
        <v/>
      </c>
      <c r="CN27" s="407" t="str">
        <f>IFERROR(INDEX(bhpc_data[size],MATCH(BZ27,bhpc_data[sku],0)),"")</f>
        <v/>
      </c>
      <c r="CO27" s="408" t="str">
        <f>IFERROR(INDEX(bhpc_data[hs_code],MATCH(BZ27,bhpc_data[sku],0)),"")</f>
        <v/>
      </c>
      <c r="CP27" s="489" t="str">
        <f>IFERROR(INDEX(bhpc_data[sku_geko],MATCH(BZ27,bhpc_data[sku],0)),"")</f>
        <v/>
      </c>
      <c r="CQ27" s="404"/>
      <c r="CR27" s="517" t="str">
        <f>IFERROR(IF(BZ27="","",IF($BX$15="SALE",INDEX(inventory[COSTO UNITARIO],MATCH(BZ27,inventory[SKU],0)),IF($BX$15="SAMPLING",INDEX(inventory[COSTO UNITARIO],MATCH(BZ27,inventory[SKU],0)),""))),"")</f>
        <v/>
      </c>
      <c r="CS27" s="517" t="str">
        <f t="shared" si="5"/>
        <v/>
      </c>
      <c r="CT27" s="896" t="str">
        <f t="shared" si="6"/>
        <v/>
      </c>
      <c r="CU27" s="469" t="str">
        <f t="shared" si="0"/>
        <v/>
      </c>
      <c r="CW27" s="114" t="s">
        <v>1015</v>
      </c>
      <c r="CX27" s="336"/>
      <c r="CY27" s="336"/>
      <c r="CZ27" s="358"/>
      <c r="DA27" s="336"/>
      <c r="DB27" s="336"/>
      <c r="DH27" s="215"/>
      <c r="EE27" s="439" t="str" cm="1">
        <f t="array" ref="EE27">IFERROR(IF($EC$9="",IF($EC$11="",IF($EC$13="",INDEX(bhpc_data[sku],SMALL(MATCH(ROW(bhpc_data[sku]),ROW(bhpc_data[sku])),ROWS($A$15:A32)+$B$3)),INDEX(bhpc_data[sku],SMALL(IF(ISNUMBER(MATCH(bhpc_data[size],$EC$13,0)),MATCH(ROW(bhpc_data[sku]),ROW(bhpc_data[sku])),""),ROWS($A$15:A32)+$B$3))),IF($EC$13="",INDEX(bhpc_data[sku],SMALL(IF(ISNUMBER(MATCH(bhpc_data[sex],$EC$11,0)),MATCH(ROW(bhpc_data[sku]),ROW(bhpc_data[sku])),""),ROWS($A$15:A32)+$B$3)),INDEX(bhpc_data[sku],SMALL(IF(ISNUMBER(MATCH(bhpc_data[sex],$EC$11,0)*MATCH(bhpc_data[size],$EC$13,0)),MATCH(ROW(bhpc_data[sku]),ROW(bhpc_data[sku])),""),ROWS($A$15:A32)+$B$3)))),IF($EC$11="",IF($EC$13="",INDEX(bhpc_data[sku],SMALL(IF(ISNUMBER(MATCH(bhpc_data[category],$EC$9,0)),MATCH(ROW(bhpc_data[sku]),ROW(bhpc_data[sku])),""),ROWS($A$15:A32)+$B$3)),INDEX(bhpc_data[sku],SMALL(IF(ISNUMBER(MATCH(bhpc_data[category],$EC$9,0)*MATCH(bhpc_data[size],$EC$13,0)),MATCH(ROW(bhpc_data[sku]),ROW(bhpc_data[sku])),""),ROWS($A$15:A32)+$B$3))),IF($EC$13="",INDEX(bhpc_data[sku],SMALL(IF(ISNUMBER(MATCH(bhpc_data[category],$EC$9,0)*MATCH(bhpc_data[sex],$EC$11,0)),MATCH(ROW(bhpc_data[sku]),ROW(bhpc_data[sku])),""),ROWS($A$15:A32)+$B$3)),INDEX(bhpc_data[sku],SMALL(IF(ISNUMBER(MATCH(bhpc_data[category],$EC$9,0)*MATCH(bhpc_data[sex],$EC$11,0)*MATCH(bhpc_data[size],$EC$13,0)),MATCH(ROW(bhpc_data[sku]),ROW(bhpc_data[sku])),""),ROWS($A$15:A32)+$B$3))))),"")</f>
        <v>P05004</v>
      </c>
      <c r="EF27" s="440" t="str" cm="1">
        <f t="array" ref="EF27">IFERROR(IF($EC$9="",IF($EC$11="",IF($EC$13="",INDEX(bhpc_data[description],SMALL(MATCH(ROW(bhpc_data[sku]),ROW(bhpc_data[sku])),ROWS($A$15:A32)+$B$3)),INDEX(bhpc_data[description],SMALL(IF(ISNUMBER(MATCH(bhpc_data[size],$EC$13,0)),MATCH(ROW(bhpc_data[sku]),ROW(bhpc_data[sku])),""),ROWS($A$15:A32)+$B$3))),IF($EC$13="",INDEX(bhpc_data[description],SMALL(IF(ISNUMBER(MATCH(bhpc_data[sex],$EC$11,0)),MATCH(ROW(bhpc_data[sku]),ROW(bhpc_data[sku])),""),ROWS($A$15:A32)+$B$3)),INDEX(bhpc_data[description],SMALL(IF(ISNUMBER(MATCH(bhpc_data[sex],$EC$11,0)*MATCH(bhpc_data[size],$EC$13,0)),MATCH(ROW(bhpc_data[sku]),ROW(bhpc_data[sku])),""),ROWS($A$15:A32)+$B$3)))),IF($EC$11="",IF($EC$13="",INDEX(bhpc_data[description],SMALL(IF(ISNUMBER(MATCH(bhpc_data[category],$EC$9,0)),MATCH(ROW(bhpc_data[sku]),ROW(bhpc_data[sku])),""),ROWS($A$15:A32)+$B$3)),INDEX(bhpc_data[description],SMALL(IF(ISNUMBER(MATCH(bhpc_data[category],$EC$9,0)*MATCH(bhpc_data[size],$EC$13,0)),MATCH(ROW(bhpc_data[sku]),ROW(bhpc_data[sku])),""),ROWS($A$15:A32)+$B$3))),IF($EC$13="",INDEX(bhpc_data[description],SMALL(IF(ISNUMBER(MATCH(bhpc_data[category],$EC$9,0)*MATCH(bhpc_data[sex],$EC$11,0)),MATCH(ROW(bhpc_data[sku]),ROW(bhpc_data[sku])),""),ROWS($A$15:A32)+$B$3)),INDEX(bhpc_data[description],SMALL(IF(ISNUMBER(MATCH(bhpc_data[category],$EC$9,0)*MATCH(bhpc_data[sex],$EC$11,0)*MATCH(bhpc_data[size],$EC$13,0)),MATCH(ROW(bhpc_data[sku]),ROW(bhpc_data[sku])),""),ROWS($A$15:A32)+$B$3))))),"")</f>
        <v>BHPC SPORT MEN 1 EDT 100ML</v>
      </c>
      <c r="EG27" s="441">
        <f>IFERROR(IF('BHPC MANAGER'!$EE27="","",INDEX(inventory[ESISTENZA],MATCH('BHPC MANAGER'!$EE27,inventory[SKU],0))),0)</f>
        <v>7662</v>
      </c>
      <c r="EH27" s="442">
        <v>-5609</v>
      </c>
      <c r="EI27" s="442">
        <f t="shared" si="1"/>
        <v>2053</v>
      </c>
      <c r="EJ27" s="443">
        <v>-8</v>
      </c>
      <c r="EK27" s="444">
        <f t="shared" si="2"/>
        <v>2045</v>
      </c>
      <c r="FF27" s="263"/>
      <c r="FG27" s="263"/>
      <c r="FH27" s="263"/>
      <c r="FI27" s="263"/>
      <c r="FJ27" s="263"/>
      <c r="FK27" s="263"/>
      <c r="FL27" s="263"/>
      <c r="FM27" s="263"/>
      <c r="FN27" s="263"/>
      <c r="FO27" s="263"/>
      <c r="FP27" s="263"/>
      <c r="FQ27" s="263"/>
      <c r="FR27" s="263"/>
      <c r="FS27" s="263"/>
      <c r="FT27" s="263"/>
      <c r="FU27" s="263"/>
      <c r="FV27" s="263"/>
      <c r="FW27" s="263"/>
      <c r="FX27" s="263"/>
      <c r="FY27" s="263"/>
      <c r="FZ27" s="263"/>
      <c r="GA27" s="263"/>
      <c r="GB27" s="263"/>
      <c r="GC27" s="263"/>
      <c r="GD27" s="263"/>
      <c r="GE27" s="263"/>
      <c r="GF27" s="263"/>
      <c r="GG27" s="263"/>
      <c r="GH27" s="263"/>
      <c r="GI27" s="263"/>
      <c r="GJ27" s="263"/>
      <c r="GK27" s="263"/>
      <c r="GL27" s="263"/>
      <c r="GM27" s="263"/>
      <c r="GN27" s="263"/>
      <c r="GO27" s="263"/>
      <c r="GP27" s="263"/>
      <c r="GQ27" s="263"/>
      <c r="GR27" s="263"/>
      <c r="GS27" s="263"/>
      <c r="GT27" s="263"/>
      <c r="GU27" s="263"/>
      <c r="GV27" s="263"/>
      <c r="GW27" s="263"/>
      <c r="GX27" s="263"/>
      <c r="GY27" s="263"/>
      <c r="GZ27" s="263"/>
      <c r="HA27" s="263"/>
      <c r="HB27" s="263"/>
      <c r="HC27" s="263"/>
      <c r="HD27" s="263"/>
      <c r="HE27" s="263"/>
      <c r="HF27" s="263"/>
      <c r="HG27" s="263"/>
      <c r="HH27" s="263"/>
      <c r="HI27" s="263"/>
      <c r="HJ27" s="263"/>
      <c r="HK27" s="263"/>
      <c r="HL27" s="263"/>
      <c r="HM27" s="263"/>
      <c r="HN27" s="263"/>
      <c r="HO27" s="263"/>
      <c r="HP27" s="263"/>
      <c r="HQ27" s="263"/>
      <c r="HR27" s="263"/>
      <c r="HS27" s="263"/>
      <c r="HT27" s="263"/>
    </row>
    <row r="28" spans="1:228" ht="15" customHeight="1" x14ac:dyDescent="0.35">
      <c r="F28" s="86"/>
      <c r="G28" s="851" t="str">
        <f>IFERROR(INDEX(clientData[logistic_name],MATCH($B$6,clientData[cod_cliente],0)),"")</f>
        <v>BLUE OCEAN STRATEGIES, LLC</v>
      </c>
      <c r="H28" s="852"/>
      <c r="I28" s="853"/>
      <c r="J28" s="77"/>
      <c r="L28" s="381" t="str">
        <f t="array" ref="L28">IFERROR(IF($D$9="",IF($D$11="",IF($D$13="",IF($D$15="",INDEX(orderHistory[customer],SMALL(MATCH(ROW(orderHistory[customer]),ROW(orderHistory[customer])),ROWS($A$15:A33)+$B$3)),INDEX(orderHistory[customer],SMALL(IF(ISNUMBER(MATCH(YEAR(orderHistory[invoice_date]),$D$15,0)),MATCH(ROW(orderHistory[customer]),ROW(orderHistory[customer])),""),ROWS($A$15:A33)+$B$3))),IF($D$15="",INDEX(orderHistory[customer],SMALL(IF(ISNUMBER(MATCH(orderHistory[order_type],$D$13,0)),MATCH(ROW(orderHistory[customer]),ROW(orderHistory[customer])),""),ROWS($A$15:A33)+$B$3)),INDEX(orderHistory[customer],SMALL(IF(ISNUMBER(MATCH(orderHistory[order_type],$D$13,0)*MATCH(YEAR(orderHistory[invoice_date]),$D$15,0)),MATCH(ROW(orderHistory[customer]),ROW(orderHistory[customer])),""),ROWS($A$15:A33)+$B$3)))),IF($D$13="",IF($D$15="",INDEX(orderHistory[customer],SMALL(IF(ISNUMBER(MATCH(orderHistory[status],$D$11,0)),MATCH(ROW(orderHistory[customer]),ROW(orderHistory[customer])),""),ROWS($A$15:A33)+$B$3)),INDEX(orderHistory[customer],SMALL(IF(ISNUMBER(MATCH(orderHistory[status],$D$11,0)*MATCH(YEAR(orderHistory[invoice_date]),$D$15,0)),MATCH(ROW(orderHistory[customer]),ROW(orderHistory[customer])),""),ROWS($A$15:A33)+$B$3))),IF($D$15="",INDEX(orderHistory[customer],SMALL(IF(ISNUMBER(MATCH(orderHistory[status],$D$11,0)*MATCH(orderHistory[order_type],$D$13,0)),MATCH(ROW(orderHistory[customer]),ROW(orderHistory[customer])),""),ROWS($A$15:A33)+$B$3)),INDEX(orderHistory[customer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customer],SMALL(IF(ISNUMBER(MATCH(orderHistory[customer],$D$9,0)),MATCH(ROW(orderHistory[customer]),ROW(orderHistory[customer])),""),ROWS($A$15:A33)+$B$3)),INDEX(orderHistory[customer],SMALL(IF(ISNUMBER(MATCH(orderHistory[customer],$D$9,0)*MATCH(YEAR(orderHistory[invoice_date]),$D$15,0)),MATCH(ROW(orderHistory[customer]),ROW(orderHistory[customer])),""),ROWS($A$15:A33)+$B$3))),IF($D$15="",INDEX(orderHistory[customer],SMALL(IF(ISNUMBER(MATCH(orderHistory[customer],$D$9,0)*MATCH(orderHistory[order_type],$D$13,0)),MATCH(ROW(orderHistory[customer]),ROW(orderHistory[customer])),""),ROWS($A$15:A33)+$B$3)),INDEX(orderHistory[customer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customer],SMALL(IF(ISNUMBER(MATCH(orderHistory[customer],$D$9,0)*MATCH(orderHistory[status],$D$11,0)),MATCH(ROW(orderHistory[customer]),ROW(orderHistory[customer])),""),ROWS($A$15:A33)+$B$3)),INDEX(orderHistory[customer],SMALL(IF(ISNUMBER(MATCH(orderHistory[customer],$D$9,0)*MATCH(orderHistory[status],$D$11,0)*MATCH(YEAR(orderHistory[invoice_date]),$D$15,0)),MATCH(ROW(orderHistory[customer]),ROW(orderHistory[customer])),""),ROWS($A$15:A33)+$B$3))),IF($D$15="",INDEX(orderHistory[customer],SMALL(IF(ISNUMBER(MATCH(orderHistory[customer],$D$9,0)*MATCH(orderHistory[status],$D$11,0)*MATCH(orderHistory[order_type],$D$13,0)),MATCH(ROW(orderHistory[customer]),ROW(orderHistory[customer])),""),ROWS($A$15:A33)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4BEAUTY4YOU</v>
      </c>
      <c r="M28" s="382">
        <f t="array" ref="M28">IFERROR(IF($D$9="",IF($D$11="",IF($D$13="",IF($D$15="",INDEX(orderHistory[order_no],SMALL(MATCH(ROW(orderHistory[customer]),ROW(orderHistory[customer])),ROWS($A$15:A33)+$B$3)),INDEX(orderHistory[order_no],SMALL(IF(ISNUMBER(MATCH(YEAR(orderHistory[invoice_date]),$D$15,0)),MATCH(ROW(orderHistory[customer]),ROW(orderHistory[customer])),""),ROWS($A$15:A33)+$B$3))),IF($D$15="",INDEX(orderHistory[order_no],SMALL(IF(ISNUMBER(MATCH(orderHistory[order_type],$D$13,0)),MATCH(ROW(orderHistory[customer]),ROW(orderHistory[customer])),""),ROWS($A$15:A33)+$B$3)),INDEX(orderHistory[order_no],SMALL(IF(ISNUMBER(MATCH(orderHistory[order_type],$D$13,0)*MATCH(YEAR(orderHistory[invoice_date]),$D$15,0)),MATCH(ROW(orderHistory[customer]),ROW(orderHistory[customer])),""),ROWS($A$15:A33)+$B$3)))),IF($D$13="",IF($D$15="",INDEX(orderHistory[order_no],SMALL(IF(ISNUMBER(MATCH(orderHistory[status],$D$11,0)),MATCH(ROW(orderHistory[customer]),ROW(orderHistory[customer])),""),ROWS($A$15:A33)+$B$3)),INDEX(orderHistory[order_no],SMALL(IF(ISNUMBER(MATCH(orderHistory[status],$D$11,0)*MATCH(YEAR(orderHistory[invoice_date]),$D$15,0)),MATCH(ROW(orderHistory[customer]),ROW(orderHistory[customer])),""),ROWS($A$15:A33)+$B$3))),IF($D$15="",INDEX(orderHistory[order_no],SMALL(IF(ISNUMBER(MATCH(orderHistory[status],$D$11,0)*MATCH(orderHistory[order_type],$D$13,0)),MATCH(ROW(orderHistory[customer]),ROW(orderHistory[customer])),""),ROWS($A$15:A33)+$B$3)),INDEX(orderHistory[order_no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order_no],SMALL(IF(ISNUMBER(MATCH(orderHistory[customer],$D$9,0)),MATCH(ROW(orderHistory[customer]),ROW(orderHistory[customer])),""),ROWS($A$15:A33)+$B$3)),INDEX(orderHistory[order_no],SMALL(IF(ISNUMBER(MATCH(orderHistory[customer],$D$9,0)*MATCH(YEAR(orderHistory[invoice_date]),$D$15,0)),MATCH(ROW(orderHistory[customer]),ROW(orderHistory[customer])),""),ROWS($A$15:A33)+$B$3))),IF($D$15="",INDEX(orderHistory[order_no],SMALL(IF(ISNUMBER(MATCH(orderHistory[customer],$D$9,0)*MATCH(orderHistory[order_type],$D$13,0)),MATCH(ROW(orderHistory[customer]),ROW(orderHistory[customer])),""),ROWS($A$15:A33)+$B$3)),INDEX(orderHistory[order_no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order_no],SMALL(IF(ISNUMBER(MATCH(orderHistory[customer],$D$9,0)*MATCH(orderHistory[status],$D$11,0)),MATCH(ROW(orderHistory[customer]),ROW(orderHistory[customer])),""),ROWS($A$15:A33)+$B$3)),INDEX(orderHistory[order_no],SMALL(IF(ISNUMBER(MATCH(orderHistory[customer],$D$9,0)*MATCH(orderHistory[status],$D$11,0)*MATCH(YEAR(orderHistory[invoice_date]),$D$15,0)),MATCH(ROW(orderHistory[customer]),ROW(orderHistory[customer])),""),ROWS($A$15:A33)+$B$3))),IF($D$15="",INDEX(orderHistory[order_no],SMALL(IF(ISNUMBER(MATCH(orderHistory[customer],$D$9,0)*MATCH(orderHistory[status],$D$11,0)*MATCH(orderHistory[order_type],$D$13,0)),MATCH(ROW(orderHistory[customer]),ROW(orderHistory[customer])),""),ROWS($A$15:A33)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73</v>
      </c>
      <c r="N28" s="383" t="str">
        <f t="array" ref="N28">IFERROR(IF($D$9="",IF($D$11="",IF($D$13="",IF($D$15="",INDEX(orderHistory[order_type],SMALL(MATCH(ROW(orderHistory[customer]),ROW(orderHistory[customer])),ROWS($A$15:A33)+$B$3)),INDEX(orderHistory[order_type],SMALL(IF(ISNUMBER(MATCH(YEAR(orderHistory[invoice_date]),$D$15,0)),MATCH(ROW(orderHistory[customer]),ROW(orderHistory[customer])),""),ROWS($A$15:A33)+$B$3))),IF($D$15="",INDEX(orderHistory[order_type],SMALL(IF(ISNUMBER(MATCH(orderHistory[order_type],$D$13,0)),MATCH(ROW(orderHistory[customer]),ROW(orderHistory[customer])),""),ROWS($A$15:A33)+$B$3)),INDEX(orderHistory[order_type],SMALL(IF(ISNUMBER(MATCH(orderHistory[order_type],$D$13,0)*MATCH(YEAR(orderHistory[invoice_date]),$D$15,0)),MATCH(ROW(orderHistory[customer]),ROW(orderHistory[customer])),""),ROWS($A$15:A33)+$B$3)))),IF($D$13="",IF($D$15="",INDEX(orderHistory[order_type],SMALL(IF(ISNUMBER(MATCH(orderHistory[status],$D$11,0)),MATCH(ROW(orderHistory[customer]),ROW(orderHistory[customer])),""),ROWS($A$15:A33)+$B$3)),INDEX(orderHistory[order_type],SMALL(IF(ISNUMBER(MATCH(orderHistory[status],$D$11,0)*MATCH(YEAR(orderHistory[invoice_date]),$D$15,0)),MATCH(ROW(orderHistory[customer]),ROW(orderHistory[customer])),""),ROWS($A$15:A33)+$B$3))),IF($D$15="",INDEX(orderHistory[order_type],SMALL(IF(ISNUMBER(MATCH(orderHistory[status],$D$11,0)*MATCH(orderHistory[order_type],$D$13,0)),MATCH(ROW(orderHistory[customer]),ROW(orderHistory[customer])),""),ROWS($A$15:A33)+$B$3)),INDEX(orderHistory[order_type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order_type],SMALL(IF(ISNUMBER(MATCH(orderHistory[customer],$D$9,0)),MATCH(ROW(orderHistory[customer]),ROW(orderHistory[customer])),""),ROWS($A$15:A33)+$B$3)),INDEX(orderHistory[order_type],SMALL(IF(ISNUMBER(MATCH(orderHistory[customer],$D$9,0)*MATCH(YEAR(orderHistory[invoice_date]),$D$15,0)),MATCH(ROW(orderHistory[customer]),ROW(orderHistory[customer])),""),ROWS($A$15:A33)+$B$3))),IF($D$15="",INDEX(orderHistory[order_type],SMALL(IF(ISNUMBER(MATCH(orderHistory[customer],$D$9,0)*MATCH(orderHistory[order_type],$D$13,0)),MATCH(ROW(orderHistory[customer]),ROW(orderHistory[customer])),""),ROWS($A$15:A33)+$B$3)),INDEX(orderHistory[order_type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order_type],SMALL(IF(ISNUMBER(MATCH(orderHistory[customer],$D$9,0)*MATCH(orderHistory[status],$D$11,0)),MATCH(ROW(orderHistory[customer]),ROW(orderHistory[customer])),""),ROWS($A$15:A33)+$B$3)),INDEX(orderHistory[order_type],SMALL(IF(ISNUMBER(MATCH(orderHistory[customer],$D$9,0)*MATCH(orderHistory[status],$D$11,0)*MATCH(YEAR(orderHistory[invoice_date]),$D$15,0)),MATCH(ROW(orderHistory[customer]),ROW(orderHistory[customer])),""),ROWS($A$15:A33)+$B$3))),IF($D$15="",INDEX(orderHistory[order_type],SMALL(IF(ISNUMBER(MATCH(orderHistory[customer],$D$9,0)*MATCH(orderHistory[status],$D$11,0)*MATCH(orderHistory[order_type],$D$13,0)),MATCH(ROW(orderHistory[customer]),ROW(orderHistory[customer])),""),ROWS($A$15:A33)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SALE</v>
      </c>
      <c r="O28" s="384">
        <f t="array" ref="O28">IFERROR(IF($D$9="",IF($D$11="",IF($D$13="",IF($D$15="",INDEX(orderHistory[order_date],SMALL(MATCH(ROW(orderHistory[customer]),ROW(orderHistory[customer])),ROWS($A$15:A33)+$B$3)),INDEX(orderHistory[order_date],SMALL(IF(ISNUMBER(MATCH(YEAR(orderHistory[invoice_date]),$D$15,0)),MATCH(ROW(orderHistory[customer]),ROW(orderHistory[customer])),""),ROWS($A$15:A33)+$B$3))),IF($D$15="",INDEX(orderHistory[order_date],SMALL(IF(ISNUMBER(MATCH(orderHistory[order_type],$D$13,0)),MATCH(ROW(orderHistory[customer]),ROW(orderHistory[customer])),""),ROWS($A$15:A33)+$B$3)),INDEX(orderHistory[order_date],SMALL(IF(ISNUMBER(MATCH(orderHistory[order_type],$D$13,0)*MATCH(YEAR(orderHistory[invoice_date]),$D$15,0)),MATCH(ROW(orderHistory[customer]),ROW(orderHistory[customer])),""),ROWS($A$15:A33)+$B$3)))),IF($D$13="",IF($D$15="",INDEX(orderHistory[order_date],SMALL(IF(ISNUMBER(MATCH(orderHistory[status],$D$11,0)),MATCH(ROW(orderHistory[customer]),ROW(orderHistory[customer])),""),ROWS($A$15:A33)+$B$3)),INDEX(orderHistory[order_date],SMALL(IF(ISNUMBER(MATCH(orderHistory[status],$D$11,0)*MATCH(YEAR(orderHistory[invoice_date]),$D$15,0)),MATCH(ROW(orderHistory[customer]),ROW(orderHistory[customer])),""),ROWS($A$15:A33)+$B$3))),IF($D$15="",INDEX(orderHistory[order_date],SMALL(IF(ISNUMBER(MATCH(orderHistory[status],$D$11,0)*MATCH(orderHistory[order_type],$D$13,0)),MATCH(ROW(orderHistory[customer]),ROW(orderHistory[customer])),""),ROWS($A$15:A33)+$B$3)),INDEX(orderHistory[order_date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order_date],SMALL(IF(ISNUMBER(MATCH(orderHistory[customer],$D$9,0)),MATCH(ROW(orderHistory[customer]),ROW(orderHistory[customer])),""),ROWS($A$15:A33)+$B$3)),INDEX(orderHistory[order_date],SMALL(IF(ISNUMBER(MATCH(orderHistory[customer],$D$9,0)*MATCH(YEAR(orderHistory[invoice_date]),$D$15,0)),MATCH(ROW(orderHistory[customer]),ROW(orderHistory[customer])),""),ROWS($A$15:A33)+$B$3))),IF($D$15="",INDEX(orderHistory[order_date],SMALL(IF(ISNUMBER(MATCH(orderHistory[customer],$D$9,0)*MATCH(orderHistory[order_type],$D$13,0)),MATCH(ROW(orderHistory[customer]),ROW(orderHistory[customer])),""),ROWS($A$15:A33)+$B$3)),INDEX(orderHistory[order_date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order_date],SMALL(IF(ISNUMBER(MATCH(orderHistory[customer],$D$9,0)*MATCH(orderHistory[status],$D$11,0)),MATCH(ROW(orderHistory[customer]),ROW(orderHistory[customer])),""),ROWS($A$15:A33)+$B$3)),INDEX(orderHistory[order_date],SMALL(IF(ISNUMBER(MATCH(orderHistory[customer],$D$9,0)*MATCH(orderHistory[status],$D$11,0)*MATCH(YEAR(orderHistory[invoice_date]),$D$15,0)),MATCH(ROW(orderHistory[customer]),ROW(orderHistory[customer])),""),ROWS($A$15:A33)+$B$3))),IF($D$15="",INDEX(orderHistory[order_date],SMALL(IF(ISNUMBER(MATCH(orderHistory[customer],$D$9,0)*MATCH(orderHistory[status],$D$11,0)*MATCH(orderHistory[order_type],$D$13,0)),MATCH(ROW(orderHistory[customer]),ROW(orderHistory[customer])),""),ROWS($A$15:A33)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45488</v>
      </c>
      <c r="P28" s="385" t="str">
        <f t="array" ref="P28">IFERROR(IF($D$9="",IF($D$11="",IF($D$13="",IF($D$15="",INDEX(orderHistory[invoice_no],SMALL(MATCH(ROW(orderHistory[customer]),ROW(orderHistory[customer])),ROWS($A$15:A33)+$B$3)),INDEX(orderHistory[invoice_no],SMALL(IF(ISNUMBER(MATCH(YEAR(orderHistory[invoice_date]),$D$15,0)),MATCH(ROW(orderHistory[customer]),ROW(orderHistory[customer])),""),ROWS($A$15:A33)+$B$3))),IF($D$15="",INDEX(orderHistory[invoice_no],SMALL(IF(ISNUMBER(MATCH(orderHistory[order_type],$D$13,0)),MATCH(ROW(orderHistory[customer]),ROW(orderHistory[customer])),""),ROWS($A$15:A33)+$B$3)),INDEX(orderHistory[invoice_no],SMALL(IF(ISNUMBER(MATCH(orderHistory[order_type],$D$13,0)*MATCH(YEAR(orderHistory[invoice_date]),$D$15,0)),MATCH(ROW(orderHistory[customer]),ROW(orderHistory[customer])),""),ROWS($A$15:A33)+$B$3)))),IF($D$13="",IF($D$15="",INDEX(orderHistory[invoice_no],SMALL(IF(ISNUMBER(MATCH(orderHistory[status],$D$11,0)),MATCH(ROW(orderHistory[customer]),ROW(orderHistory[customer])),""),ROWS($A$15:A33)+$B$3)),INDEX(orderHistory[invoice_no],SMALL(IF(ISNUMBER(MATCH(orderHistory[status],$D$11,0)*MATCH(YEAR(orderHistory[invoice_date]),$D$15,0)),MATCH(ROW(orderHistory[customer]),ROW(orderHistory[customer])),""),ROWS($A$15:A33)+$B$3))),IF($D$15="",INDEX(orderHistory[invoice_no],SMALL(IF(ISNUMBER(MATCH(orderHistory[status],$D$11,0)*MATCH(orderHistory[order_type],$D$13,0)),MATCH(ROW(orderHistory[customer]),ROW(orderHistory[customer])),""),ROWS($A$15:A33)+$B$3)),INDEX(orderHistory[invoice_no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invoice_no],SMALL(IF(ISNUMBER(MATCH(orderHistory[customer],$D$9,0)),MATCH(ROW(orderHistory[customer]),ROW(orderHistory[customer])),""),ROWS($A$15:A33)+$B$3)),INDEX(orderHistory[invoice_no],SMALL(IF(ISNUMBER(MATCH(orderHistory[customer],$D$9,0)*MATCH(YEAR(orderHistory[invoice_date]),$D$15,0)),MATCH(ROW(orderHistory[customer]),ROW(orderHistory[customer])),""),ROWS($A$15:A33)+$B$3))),IF($D$15="",INDEX(orderHistory[invoice_no],SMALL(IF(ISNUMBER(MATCH(orderHistory[customer],$D$9,0)*MATCH(orderHistory[order_type],$D$13,0)),MATCH(ROW(orderHistory[customer]),ROW(orderHistory[customer])),""),ROWS($A$15:A33)+$B$3)),INDEX(orderHistory[invoice_no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invoice_no],SMALL(IF(ISNUMBER(MATCH(orderHistory[customer],$D$9,0)*MATCH(orderHistory[status],$D$11,0)),MATCH(ROW(orderHistory[customer]),ROW(orderHistory[customer])),""),ROWS($A$15:A33)+$B$3)),INDEX(orderHistory[invoice_no],SMALL(IF(ISNUMBER(MATCH(orderHistory[customer],$D$9,0)*MATCH(orderHistory[status],$D$11,0)*MATCH(YEAR(orderHistory[invoice_date]),$D$15,0)),MATCH(ROW(orderHistory[customer]),ROW(orderHistory[customer])),""),ROWS($A$15:A33)+$B$3))),IF($D$15="",INDEX(orderHistory[invoice_no],SMALL(IF(ISNUMBER(MATCH(orderHistory[customer],$D$9,0)*MATCH(orderHistory[status],$D$11,0)*MATCH(orderHistory[order_type],$D$13,0)),MATCH(ROW(orderHistory[customer]),ROW(orderHistory[customer])),""),ROWS($A$15:A33)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241</v>
      </c>
      <c r="Q28" s="386">
        <f t="array" ref="Q28">IFERROR(IF($D$9="",IF($D$11="",IF($D$13="",IF($D$15="",INDEX(orderHistory[invoice_date],SMALL(MATCH(ROW(orderHistory[customer]),ROW(orderHistory[customer])),ROWS($A$15:A33)+$B$3)),INDEX(orderHistory[invoice_date],SMALL(IF(ISNUMBER(MATCH(YEAR(orderHistory[invoice_date]),$D$15,0)),MATCH(ROW(orderHistory[customer]),ROW(orderHistory[customer])),""),ROWS($A$15:A33)+$B$3))),IF($D$15="",INDEX(orderHistory[invoice_date],SMALL(IF(ISNUMBER(MATCH(orderHistory[order_type],$D$13,0)),MATCH(ROW(orderHistory[customer]),ROW(orderHistory[customer])),""),ROWS($A$15:A33)+$B$3)),INDEX(orderHistory[invoice_date],SMALL(IF(ISNUMBER(MATCH(orderHistory[order_type],$D$13,0)*MATCH(YEAR(orderHistory[invoice_date]),$D$15,0)),MATCH(ROW(orderHistory[customer]),ROW(orderHistory[customer])),""),ROWS($A$15:A33)+$B$3)))),IF($D$13="",IF($D$15="",INDEX(orderHistory[invoice_date],SMALL(IF(ISNUMBER(MATCH(orderHistory[status],$D$11,0)),MATCH(ROW(orderHistory[customer]),ROW(orderHistory[customer])),""),ROWS($A$15:A33)+$B$3)),INDEX(orderHistory[invoice_date],SMALL(IF(ISNUMBER(MATCH(orderHistory[status],$D$11,0)*MATCH(YEAR(orderHistory[invoice_date]),$D$15,0)),MATCH(ROW(orderHistory[customer]),ROW(orderHistory[customer])),""),ROWS($A$15:A33)+$B$3))),IF($D$15="",INDEX(orderHistory[invoice_date],SMALL(IF(ISNUMBER(MATCH(orderHistory[status],$D$11,0)*MATCH(orderHistory[order_type],$D$13,0)),MATCH(ROW(orderHistory[customer]),ROW(orderHistory[customer])),""),ROWS($A$15:A33)+$B$3)),INDEX(orderHistory[invoice_date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invoice_date],SMALL(IF(ISNUMBER(MATCH(orderHistory[customer],$D$9,0)),MATCH(ROW(orderHistory[customer]),ROW(orderHistory[customer])),""),ROWS($A$15:A33)+$B$3)),INDEX(orderHistory[invoice_date],SMALL(IF(ISNUMBER(MATCH(orderHistory[customer],$D$9,0)*MATCH(YEAR(orderHistory[invoice_date]),$D$15,0)),MATCH(ROW(orderHistory[customer]),ROW(orderHistory[customer])),""),ROWS($A$15:A33)+$B$3))),IF($D$15="",INDEX(orderHistory[invoice_date],SMALL(IF(ISNUMBER(MATCH(orderHistory[customer],$D$9,0)*MATCH(orderHistory[order_type],$D$13,0)),MATCH(ROW(orderHistory[customer]),ROW(orderHistory[customer])),""),ROWS($A$15:A33)+$B$3)),INDEX(orderHistory[invoice_date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invoice_date],SMALL(IF(ISNUMBER(MATCH(orderHistory[customer],$D$9,0)*MATCH(orderHistory[status],$D$11,0)),MATCH(ROW(orderHistory[customer]),ROW(orderHistory[customer])),""),ROWS($A$15:A33)+$B$3)),INDEX(orderHistory[invoice_date],SMALL(IF(ISNUMBER(MATCH(orderHistory[customer],$D$9,0)*MATCH(orderHistory[status],$D$11,0)*MATCH(YEAR(orderHistory[invoice_date]),$D$15,0)),MATCH(ROW(orderHistory[customer]),ROW(orderHistory[customer])),""),ROWS($A$15:A33)+$B$3))),IF($D$15="",INDEX(orderHistory[invoice_date],SMALL(IF(ISNUMBER(MATCH(orderHistory[customer],$D$9,0)*MATCH(orderHistory[status],$D$11,0)*MATCH(orderHistory[order_type],$D$13,0)),MATCH(ROW(orderHistory[customer]),ROW(orderHistory[customer])),""),ROWS($A$15:A33)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45488</v>
      </c>
      <c r="R28" s="387">
        <f t="array" ref="R28">IFERROR(IF($D$9="",IF($D$11="",IF($D$13="",IF($D$15="",INDEX(orderHistory[inv_amount],SMALL(MATCH(ROW(orderHistory[customer]),ROW(orderHistory[customer])),ROWS($A$15:A33)+$B$3)),INDEX(orderHistory[inv_amount],SMALL(IF(ISNUMBER(MATCH(YEAR(orderHistory[invoice_date]),$D$15,0)),MATCH(ROW(orderHistory[customer]),ROW(orderHistory[customer])),""),ROWS($A$15:A33)+$B$3))),IF($D$15="",INDEX(orderHistory[inv_amount],SMALL(IF(ISNUMBER(MATCH(orderHistory[order_type],$D$13,0)),MATCH(ROW(orderHistory[customer]),ROW(orderHistory[customer])),""),ROWS($A$15:A33)+$B$3)),INDEX(orderHistory[inv_amount],SMALL(IF(ISNUMBER(MATCH(orderHistory[order_type],$D$13,0)*MATCH(YEAR(orderHistory[invoice_date]),$D$15,0)),MATCH(ROW(orderHistory[customer]),ROW(orderHistory[customer])),""),ROWS($A$15:A33)+$B$3)))),IF($D$13="",IF($D$15="",INDEX(orderHistory[inv_amount],SMALL(IF(ISNUMBER(MATCH(orderHistory[status],$D$11,0)),MATCH(ROW(orderHistory[customer]),ROW(orderHistory[customer])),""),ROWS($A$15:A33)+$B$3)),INDEX(orderHistory[inv_amount],SMALL(IF(ISNUMBER(MATCH(orderHistory[status],$D$11,0)*MATCH(YEAR(orderHistory[invoice_date]),$D$15,0)),MATCH(ROW(orderHistory[customer]),ROW(orderHistory[customer])),""),ROWS($A$15:A33)+$B$3))),IF($D$15="",INDEX(orderHistory[inv_amount],SMALL(IF(ISNUMBER(MATCH(orderHistory[status],$D$11,0)*MATCH(orderHistory[order_type],$D$13,0)),MATCH(ROW(orderHistory[customer]),ROW(orderHistory[customer])),""),ROWS($A$15:A33)+$B$3)),INDEX(orderHistory[inv_amount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inv_amount],SMALL(IF(ISNUMBER(MATCH(orderHistory[customer],$D$9,0)),MATCH(ROW(orderHistory[customer]),ROW(orderHistory[customer])),""),ROWS($A$15:A33)+$B$3)),INDEX(orderHistory[inv_amount],SMALL(IF(ISNUMBER(MATCH(orderHistory[customer],$D$9,0)*MATCH(YEAR(orderHistory[invoice_date]),$D$15,0)),MATCH(ROW(orderHistory[customer]),ROW(orderHistory[customer])),""),ROWS($A$15:A33)+$B$3))),IF($D$15="",INDEX(orderHistory[inv_amount],SMALL(IF(ISNUMBER(MATCH(orderHistory[customer],$D$9,0)*MATCH(orderHistory[order_type],$D$13,0)),MATCH(ROW(orderHistory[customer]),ROW(orderHistory[customer])),""),ROWS($A$15:A33)+$B$3)),INDEX(orderHistory[inv_amount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inv_amount],SMALL(IF(ISNUMBER(MATCH(orderHistory[customer],$D$9,0)*MATCH(orderHistory[status],$D$11,0)),MATCH(ROW(orderHistory[customer]),ROW(orderHistory[customer])),""),ROWS($A$15:A33)+$B$3)),INDEX(orderHistory[inv_amount],SMALL(IF(ISNUMBER(MATCH(orderHistory[customer],$D$9,0)*MATCH(orderHistory[status],$D$11,0)*MATCH(YEAR(orderHistory[inv_amount]),$D$15,0)),MATCH(ROW(orderHistory[customer]),ROW(orderHistory[customer])),""),ROWS($A$15:A33)+$B$3))),IF($D$15="",INDEX(orderHistory[inv_amount],SMALL(IF(ISNUMBER(MATCH(orderHistory[customer],$D$9,0)*MATCH(orderHistory[status],$D$11,0)*MATCH(orderHistory[order_type],$D$13,0)),MATCH(ROW(orderHistory[customer]),ROW(orderHistory[customer])),""),ROWS($A$15:A33)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34032</v>
      </c>
      <c r="S28" s="465" t="str">
        <f t="array" ref="S28">IFERROR(IF($D$9="",IF($D$11="",IF($D$13="",IF($D$15="",INDEX(orderHistory[lock_goods],SMALL(MATCH(ROW(orderHistory[customer]),ROW(orderHistory[customer])),ROWS($A$15:A33)+$B$3)),INDEX(orderHistory[lock_goods],SMALL(IF(ISNUMBER(MATCH(YEAR(orderHistory[invoice_date]),$D$15,0)),MATCH(ROW(orderHistory[customer]),ROW(orderHistory[customer])),""),ROWS($A$15:A33)+$B$3))),IF($D$15="",INDEX(orderHistory[lock_goods],SMALL(IF(ISNUMBER(MATCH(orderHistory[order_type],$D$13,0)),MATCH(ROW(orderHistory[customer]),ROW(orderHistory[customer])),""),ROWS($A$15:A33)+$B$3)),INDEX(orderHistory[lock_goods],SMALL(IF(ISNUMBER(MATCH(orderHistory[order_type],$D$13,0)*MATCH(YEAR(orderHistory[invoice_date]),$D$15,0)),MATCH(ROW(orderHistory[customer]),ROW(orderHistory[customer])),""),ROWS($A$15:A33)+$B$3)))),IF($D$13="",IF($D$15="",INDEX(orderHistory[lock_goods],SMALL(IF(ISNUMBER(MATCH(orderHistory[status],$D$11,0)),MATCH(ROW(orderHistory[customer]),ROW(orderHistory[customer])),""),ROWS($A$15:A33)+$B$3)),INDEX(orderHistory[lock_goods],SMALL(IF(ISNUMBER(MATCH(orderHistory[status],$D$11,0)*MATCH(YEAR(orderHistory[invoice_date]),$D$15,0)),MATCH(ROW(orderHistory[customer]),ROW(orderHistory[customer])),""),ROWS($A$15:A33)+$B$3))),IF($D$15="",INDEX(orderHistory[lock_goods],SMALL(IF(ISNUMBER(MATCH(orderHistory[status],$D$11,0)*MATCH(orderHistory[order_type],$D$13,0)),MATCH(ROW(orderHistory[customer]),ROW(orderHistory[customer])),""),ROWS($A$15:A33)+$B$3)),INDEX(orderHistory[lock_goods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lock_goods],SMALL(IF(ISNUMBER(MATCH(orderHistory[customer],$D$9,0)),MATCH(ROW(orderHistory[customer]),ROW(orderHistory[customer])),""),ROWS($A$15:A33)+$B$3)),INDEX(orderHistory[lock_goods],SMALL(IF(ISNUMBER(MATCH(orderHistory[customer],$D$9,0)*MATCH(YEAR(orderHistory[invoice_date]),$D$15,0)),MATCH(ROW(orderHistory[customer]),ROW(orderHistory[customer])),""),ROWS($A$15:A33)+$B$3))),IF($D$15="",INDEX(orderHistory[lock_goods],SMALL(IF(ISNUMBER(MATCH(orderHistory[customer],$D$9,0)*MATCH(orderHistory[order_type],$D$13,0)),MATCH(ROW(orderHistory[customer]),ROW(orderHistory[customer])),""),ROWS($A$15:A33)+$B$3)),INDEX(orderHistory[lock_goods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lock_goods],SMALL(IF(ISNUMBER(MATCH(orderHistory[customer],$D$9,0)*MATCH(orderHistory[status],$D$11,0)),MATCH(ROW(orderHistory[customer]),ROW(orderHistory[customer])),""),ROWS($A$15:A33)+$B$3)),INDEX(orderHistory[lock_goods],SMALL(IF(ISNUMBER(MATCH(orderHistory[customer],$D$9,0)*MATCH(orderHistory[status],$D$11,0)*MATCH(YEAR(orderHistory[payed]),$D$15,0)),MATCH(ROW(orderHistory[customer]),ROW(orderHistory[customer])),""),ROWS($A$15:A33)+$B$3))),IF($D$15="",INDEX(orderHistory[lock_goods],SMALL(IF(ISNUMBER(MATCH(orderHistory[customer],$D$9,0)*MATCH(orderHistory[status],$D$11,0)*MATCH(orderHistory[order_type],$D$13,0)),MATCH(ROW(orderHistory[customer]),ROW(orderHistory[customer])),""),ROWS($A$15:A33)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GOODS SENT</v>
      </c>
      <c r="T28" s="388" t="b">
        <f t="array" ref="T28">IFERROR(IF($D$9="",IF($D$11="",IF($D$13="",IF($D$15="",INDEX(orderHistory[payed],SMALL(MATCH(ROW(orderHistory[customer]),ROW(orderHistory[customer])),ROWS($A$15:A33)+$B$3)),INDEX(orderHistory[payed],SMALL(IF(ISNUMBER(MATCH(YEAR(orderHistory[invoice_date]),$D$15,0)),MATCH(ROW(orderHistory[customer]),ROW(orderHistory[customer])),""),ROWS($A$15:A33)+$B$3))),IF($D$15="",INDEX(orderHistory[payed],SMALL(IF(ISNUMBER(MATCH(orderHistory[order_type],$D$13,0)),MATCH(ROW(orderHistory[customer]),ROW(orderHistory[customer])),""),ROWS($A$15:A33)+$B$3)),INDEX(orderHistory[payed],SMALL(IF(ISNUMBER(MATCH(orderHistory[order_type],$D$13,0)*MATCH(YEAR(orderHistory[invoice_date]),$D$15,0)),MATCH(ROW(orderHistory[customer]),ROW(orderHistory[customer])),""),ROWS($A$15:A33)+$B$3)))),IF($D$13="",IF($D$15="",INDEX(orderHistory[payed],SMALL(IF(ISNUMBER(MATCH(orderHistory[status],$D$11,0)),MATCH(ROW(orderHistory[customer]),ROW(orderHistory[customer])),""),ROWS($A$15:A33)+$B$3)),INDEX(orderHistory[payed],SMALL(IF(ISNUMBER(MATCH(orderHistory[status],$D$11,0)*MATCH(YEAR(orderHistory[invoice_date]),$D$15,0)),MATCH(ROW(orderHistory[customer]),ROW(orderHistory[customer])),""),ROWS($A$15:A33)+$B$3))),IF($D$15="",INDEX(orderHistory[payed],SMALL(IF(ISNUMBER(MATCH(orderHistory[status],$D$11,0)*MATCH(orderHistory[order_type],$D$13,0)),MATCH(ROW(orderHistory[customer]),ROW(orderHistory[customer])),""),ROWS($A$15:A33)+$B$3)),INDEX(orderHistory[payed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payed],SMALL(IF(ISNUMBER(MATCH(orderHistory[customer],$D$9,0)),MATCH(ROW(orderHistory[customer]),ROW(orderHistory[customer])),""),ROWS($A$15:A33)+$B$3)),INDEX(orderHistory[payed],SMALL(IF(ISNUMBER(MATCH(orderHistory[customer],$D$9,0)*MATCH(YEAR(orderHistory[invoice_date]),$D$15,0)),MATCH(ROW(orderHistory[customer]),ROW(orderHistory[customer])),""),ROWS($A$15:A33)+$B$3))),IF($D$15="",INDEX(orderHistory[payed],SMALL(IF(ISNUMBER(MATCH(orderHistory[customer],$D$9,0)*MATCH(orderHistory[order_type],$D$13,0)),MATCH(ROW(orderHistory[customer]),ROW(orderHistory[customer])),""),ROWS($A$15:A33)+$B$3)),INDEX(orderHistory[payed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payed],SMALL(IF(ISNUMBER(MATCH(orderHistory[customer],$D$9,0)*MATCH(orderHistory[status],$D$11,0)),MATCH(ROW(orderHistory[customer]),ROW(orderHistory[customer])),""),ROWS($A$15:A33)+$B$3)),INDEX(orderHistory[payed],SMALL(IF(ISNUMBER(MATCH(orderHistory[customer],$D$9,0)*MATCH(orderHistory[status],$D$11,0)*MATCH(YEAR(orderHistory[payed]),$D$15,0)),MATCH(ROW(orderHistory[customer]),ROW(orderHistory[customer])),""),ROWS($A$15:A33)+$B$3))),IF($D$15="",INDEX(orderHistory[payed],SMALL(IF(ISNUMBER(MATCH(orderHistory[customer],$D$9,0)*MATCH(orderHistory[status],$D$11,0)*MATCH(orderHistory[order_type],$D$13,0)),MATCH(ROW(orderHistory[customer]),ROW(orderHistory[customer])),""),ROWS($A$15:A33)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1</v>
      </c>
      <c r="U28" s="383" t="str">
        <f t="array" ref="U28">IFERROR(IF($D$9="",IF($D$11="",IF($D$13="",IF($D$15="",INDEX(orderHistory[shipping_method],SMALL(MATCH(ROW(orderHistory[customer]),ROW(orderHistory[customer])),ROWS($A$15:A33)+$B$3)),INDEX(orderHistory[shipping_method],SMALL(IF(ISNUMBER(MATCH(YEAR(orderHistory[invoice_date]),$D$15,0)),MATCH(ROW(orderHistory[customer]),ROW(orderHistory[customer])),""),ROWS($A$15:A33)+$B$3))),IF($D$15="",INDEX(orderHistory[shipping_method],SMALL(IF(ISNUMBER(MATCH(orderHistory[order_type],$D$13,0)),MATCH(ROW(orderHistory[customer]),ROW(orderHistory[customer])),""),ROWS($A$15:A33)+$B$3)),INDEX(orderHistory[shipping_method],SMALL(IF(ISNUMBER(MATCH(orderHistory[order_type],$D$13,0)*MATCH(YEAR(orderHistory[invoice_date]),$D$15,0)),MATCH(ROW(orderHistory[customer]),ROW(orderHistory[customer])),""),ROWS($A$15:A33)+$B$3)))),IF($D$13="",IF($D$15="",INDEX(orderHistory[shipping_method],SMALL(IF(ISNUMBER(MATCH(orderHistory[status],$D$11,0)),MATCH(ROW(orderHistory[customer]),ROW(orderHistory[customer])),""),ROWS($A$15:A33)+$B$3)),INDEX(orderHistory[shipping_method],SMALL(IF(ISNUMBER(MATCH(orderHistory[status],$D$11,0)*MATCH(YEAR(orderHistory[invoice_date]),$D$15,0)),MATCH(ROW(orderHistory[customer]),ROW(orderHistory[customer])),""),ROWS($A$15:A33)+$B$3))),IF($D$15="",INDEX(orderHistory[shipping_method],SMALL(IF(ISNUMBER(MATCH(orderHistory[status],$D$11,0)*MATCH(orderHistory[order_type],$D$13,0)),MATCH(ROW(orderHistory[customer]),ROW(orderHistory[customer])),""),ROWS($A$15:A33)+$B$3)),INDEX(orderHistory[shipping_method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shipping_method],SMALL(IF(ISNUMBER(MATCH(orderHistory[customer],$D$9,0)),MATCH(ROW(orderHistory[customer]),ROW(orderHistory[customer])),""),ROWS($A$15:A33)+$B$3)),INDEX(orderHistory[shipping_method],SMALL(IF(ISNUMBER(MATCH(orderHistory[customer],$D$9,0)*MATCH(YEAR(orderHistory[invoice_date]),$D$15,0)),MATCH(ROW(orderHistory[customer]),ROW(orderHistory[customer])),""),ROWS($A$15:A33)+$B$3))),IF($D$15="",INDEX(orderHistory[shipping_method],SMALL(IF(ISNUMBER(MATCH(orderHistory[customer],$D$9,0)*MATCH(orderHistory[order_type],$D$13,0)),MATCH(ROW(orderHistory[customer]),ROW(orderHistory[customer])),""),ROWS($A$15:A33)+$B$3)),INDEX(orderHistory[shipping_method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shipping_method],SMALL(IF(ISNUMBER(MATCH(orderHistory[customer],$D$9,0)*MATCH(orderHistory[status],$D$11,0)),MATCH(ROW(orderHistory[customer]),ROW(orderHistory[customer])),""),ROWS($A$15:A33)+$B$3)),INDEX(orderHistory[shipping_method],SMALL(IF(ISNUMBER(MATCH(orderHistory[customer],$D$9,0)*MATCH(orderHistory[status],$D$11,0)*MATCH(YEAR(orderHistory[shipping_method]),$D$15,0)),MATCH(ROW(orderHistory[customer]),ROW(orderHistory[customer])),""),ROWS($A$15:A33)+$B$3))),IF($D$15="",INDEX(orderHistory[shipping_method],SMALL(IF(ISNUMBER(MATCH(orderHistory[customer],$D$9,0)*MATCH(orderHistory[status],$D$11,0)*MATCH(orderHistory[order_type],$D$13,0)),MATCH(ROW(orderHistory[customer]),ROW(orderHistory[customer])),""),ROWS($A$15:A33)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BY ROAD</v>
      </c>
      <c r="V28" s="388" t="str">
        <f t="array" ref="V28">IFERROR(IF($D$9="",IF($D$11="",IF($D$13="",IF($D$15="",INDEX(orderHistory[status],SMALL(MATCH(ROW(orderHistory[customer]),ROW(orderHistory[customer])),ROWS($A$15:A33)+$B$3)),INDEX(orderHistory[status],SMALL(IF(ISNUMBER(MATCH(YEAR(orderHistory[invoice_date]),$D$15,0)),MATCH(ROW(orderHistory[customer]),ROW(orderHistory[customer])),""),ROWS($A$15:A33)+$B$3))),IF($D$15="",INDEX(orderHistory[status],SMALL(IF(ISNUMBER(MATCH(orderHistory[order_type],$D$13,0)),MATCH(ROW(orderHistory[customer]),ROW(orderHistory[customer])),""),ROWS($A$15:A33)+$B$3)),INDEX(orderHistory[status],SMALL(IF(ISNUMBER(MATCH(orderHistory[order_type],$D$13,0)*MATCH(YEAR(orderHistory[invoice_date]),$D$15,0)),MATCH(ROW(orderHistory[customer]),ROW(orderHistory[customer])),""),ROWS($A$15:A33)+$B$3)))),IF($D$13="",IF($D$15="",INDEX(orderHistory[status],SMALL(IF(ISNUMBER(MATCH(orderHistory[status],$D$11,0)),MATCH(ROW(orderHistory[customer]),ROW(orderHistory[customer])),""),ROWS($A$15:A33)+$B$3)),INDEX(orderHistory[status],SMALL(IF(ISNUMBER(MATCH(orderHistory[status],$D$11,0)*MATCH(YEAR(orderHistory[invoice_date]),$D$15,0)),MATCH(ROW(orderHistory[customer]),ROW(orderHistory[customer])),""),ROWS($A$15:A33)+$B$3))),IF($D$15="",INDEX(orderHistory[status],SMALL(IF(ISNUMBER(MATCH(orderHistory[status],$D$11,0)*MATCH(orderHistory[order_type],$D$13,0)),MATCH(ROW(orderHistory[customer]),ROW(orderHistory[customer])),""),ROWS($A$15:A33)+$B$3)),INDEX(orderHistory[status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status],SMALL(IF(ISNUMBER(MATCH(orderHistory[customer],$D$9,0)),MATCH(ROW(orderHistory[customer]),ROW(orderHistory[customer])),""),ROWS($A$15:A33)+$B$3)),INDEX(orderHistory[status],SMALL(IF(ISNUMBER(MATCH(orderHistory[customer],$D$9,0)*MATCH(YEAR(orderHistory[invoice_date]),$D$15,0)),MATCH(ROW(orderHistory[customer]),ROW(orderHistory[customer])),""),ROWS($A$15:A33)+$B$3))),IF($D$15="",INDEX(orderHistory[status],SMALL(IF(ISNUMBER(MATCH(orderHistory[customer],$D$9,0)*MATCH(orderHistory[order_type],$D$13,0)),MATCH(ROW(orderHistory[customer]),ROW(orderHistory[customer])),""),ROWS($A$15:A33)+$B$3)),INDEX(orderHistory[status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status],SMALL(IF(ISNUMBER(MATCH(orderHistory[customer],$D$9,0)*MATCH(orderHistory[status],$D$11,0)),MATCH(ROW(orderHistory[customer]),ROW(orderHistory[customer])),""),ROWS($A$15:A33)+$B$3)),INDEX(orderHistory[status],SMALL(IF(ISNUMBER(MATCH(orderHistory[customer],$D$9,0)*MATCH(orderHistory[status],$D$11,0)*MATCH(YEAR(orderHistory[status]),$D$15,0)),MATCH(ROW(orderHistory[customer]),ROW(orderHistory[customer])),""),ROWS($A$15:A33)+$B$3))),IF($D$15="",INDEX(orderHistory[status],SMALL(IF(ISNUMBER(MATCH(orderHistory[customer],$D$9,0)*MATCH(orderHistory[status],$D$11,0)*MATCH(orderHistory[order_type],$D$13,0)),MATCH(ROW(orderHistory[customer]),ROW(orderHistory[customer])),""),ROWS($A$15:A33)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SHIPPED</v>
      </c>
      <c r="W28" s="547" t="str">
        <f t="array" ref="W28">IFERROR(IF($D$9="",IF($D$11="",IF($D$13="",IF($D$15="",INDEX(orderHistory[custom_docs],SMALL(MATCH(ROW(orderHistory[customer]),ROW(orderHistory[customer])),ROWS($A$15:A33)+$B$3)),INDEX(orderHistory[custom_docs],SMALL(IF(ISNUMBER(MATCH(YEAR(orderHistory[invoice_date]),$D$15,0)),MATCH(ROW(orderHistory[customer]),ROW(orderHistory[customer])),""),ROWS($A$15:A33)+$B$3))),IF($D$15="",INDEX(orderHistory[custom_docs],SMALL(IF(ISNUMBER(MATCH(orderHistory[order_type],$D$13,0)),MATCH(ROW(orderHistory[customer]),ROW(orderHistory[customer])),""),ROWS($A$15:A33)+$B$3)),INDEX(orderHistory[custom_docs],SMALL(IF(ISNUMBER(MATCH(orderHistory[order_type],$D$13,0)*MATCH(YEAR(orderHistory[invoice_date]),$D$15,0)),MATCH(ROW(orderHistory[customer]),ROW(orderHistory[customer])),""),ROWS($A$15:A33)+$B$3)))),IF($D$13="",IF($D$15="",INDEX(orderHistory[custom_docs],SMALL(IF(ISNUMBER(MATCH(orderHistory[status],$D$11,0)),MATCH(ROW(orderHistory[customer]),ROW(orderHistory[customer])),""),ROWS($A$15:A33)+$B$3)),INDEX(orderHistory[custom_docs],SMALL(IF(ISNUMBER(MATCH(orderHistory[status],$D$11,0)*MATCH(YEAR(orderHistory[invoice_date]),$D$15,0)),MATCH(ROW(orderHistory[customer]),ROW(orderHistory[customer])),""),ROWS($A$15:A33)+$B$3))),IF($D$15="",INDEX(orderHistory[custom_docs],SMALL(IF(ISNUMBER(MATCH(orderHistory[status],$D$11,0)*MATCH(orderHistory[order_type],$D$13,0)),MATCH(ROW(orderHistory[customer]),ROW(orderHistory[customer])),""),ROWS($A$15:A33)+$B$3)),INDEX(orderHistory[custom_docs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custom_docs],SMALL(IF(ISNUMBER(MATCH(orderHistory[customer],$D$9,0)),MATCH(ROW(orderHistory[customer]),ROW(orderHistory[customer])),""),ROWS($A$15:A33)+$B$3)),INDEX(orderHistory[custom_docs],SMALL(IF(ISNUMBER(MATCH(orderHistory[customer],$D$9,0)*MATCH(YEAR(orderHistory[invoice_date]),$D$15,0)),MATCH(ROW(orderHistory[customer]),ROW(orderHistory[customer])),""),ROWS($A$15:A33)+$B$3))),IF($D$15="",INDEX(orderHistory[custom_docs],SMALL(IF(ISNUMBER(MATCH(orderHistory[customer],$D$9,0)*MATCH(orderHistory[order_type],$D$13,0)),MATCH(ROW(orderHistory[customer]),ROW(orderHistory[customer])),""),ROWS($A$15:A33)+$B$3)),INDEX(orderHistory[custom_docs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custom_docs],SMALL(IF(ISNUMBER(MATCH(orderHistory[customer],$D$9,0)*MATCH(orderHistory[status],$D$11,0)),MATCH(ROW(orderHistory[customer]),ROW(orderHistory[customer])),""),ROWS($A$15:A33)+$B$3)),INDEX(orderHistory[custom_docs],SMALL(IF(ISNUMBER(MATCH(orderHistory[customer],$D$9,0)*MATCH(orderHistory[status],$D$11,0)*MATCH(YEAR(orderHistory[status]),$D$15,0)),MATCH(ROW(orderHistory[customer]),ROW(orderHistory[customer])),""),ROWS($A$15:A33)+$B$3))),IF($D$15="",INDEX(orderHistory[custom_docs],SMALL(IF(ISNUMBER(MATCH(orderHistory[customer],$D$9,0)*MATCH(orderHistory[status],$D$11,0)*MATCH(orderHistory[order_type],$D$13,0)),MATCH(ROW(orderHistory[customer]),ROW(orderHistory[customer])),""),ROWS($A$15:A33)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OK</v>
      </c>
      <c r="AQ28" s="308"/>
      <c r="AR28" s="343"/>
      <c r="AS28" s="344"/>
      <c r="AT28" s="345"/>
      <c r="AU28" s="271"/>
      <c r="AW28" s="306"/>
      <c r="BB28" s="838"/>
      <c r="BC28" s="839"/>
      <c r="BD28" s="839"/>
      <c r="BE28" s="839"/>
      <c r="BF28" s="839"/>
      <c r="BG28" s="839"/>
      <c r="BH28" s="840"/>
      <c r="BJ28" s="271"/>
      <c r="BK28" s="296"/>
      <c r="BL28" s="297"/>
      <c r="BM28" s="298"/>
      <c r="BN28" s="297"/>
      <c r="BO28" s="298"/>
      <c r="BZ28" s="412"/>
      <c r="CA28" s="401" t="str">
        <f>IFERROR(IF(BZ28="","",INDEX(bhpc_data[description],MATCH(BZ28,bhpc_data[sku],0))),"")</f>
        <v/>
      </c>
      <c r="CB28" s="403"/>
      <c r="CC28" s="886"/>
      <c r="CD28" s="411"/>
      <c r="CE28" s="890"/>
      <c r="CF28" s="404"/>
      <c r="CG28" s="405" t="str">
        <f>IFERROR(ROUNDUP(CB28/INDEX(bhpc_data[units_per_carton],MATCH(BZ28,bhpc_data[sku],0)),0),"")</f>
        <v/>
      </c>
      <c r="CH28" s="406" t="str">
        <f>IFERROR(ROUNDUP(CD28/INDEX(bhpc_data[units_per_carton],MATCH(BZ28,bhpc_data[sku],0)),0),"")</f>
        <v/>
      </c>
      <c r="CI28" s="406" t="str">
        <f>IFERROR(ROUNDUP(CF28/INDEX(bhpc_data[units_per_carton],MATCH(BZ28,bhpc_data[sku])),0),"")</f>
        <v/>
      </c>
      <c r="CJ28" s="406" t="str">
        <f>IFERROR(((CB28+CD28+CF28)/INDEX(bhpc_data[units_per_carton],MATCH(BZ28,bhpc_data[sku],0)))*INDEX(bhpc_data[net_weight],MATCH(BZ28,bhpc_data[sku],0)),"")</f>
        <v/>
      </c>
      <c r="CK28" s="406" t="str">
        <f>IFERROR(((CB28+CD28+CF28)/INDEX(bhpc_data[units_per_carton],MATCH(BZ28,bhpc_data[sku],0)))*INDEX(bhpc_data[gross_weight],MATCH(BZ28,bhpc_data[sku],0)),"")</f>
        <v/>
      </c>
      <c r="CL28" s="602" t="str">
        <f>IFERROR((CB28+CD28+CF28)/INDEX(bhpc_data[units_per_carton],MATCH(BZ28,bhpc_data[sku],0))*INDEX(bhpc_data[length],MATCH(BZ28,bhpc_data[sku],0))*INDEX(bhpc_data[width],MATCH(BZ28,bhpc_data[sku],0))*INDEX(bhpc_data[height],MATCH(BZ28,bhpc_data[sku],0))/1000000000,"")</f>
        <v/>
      </c>
      <c r="CM28" s="407" t="str">
        <f>IFERROR(INDEX(bhpc_data[category],MATCH(BZ28,bhpc_data[sku],0)),"")</f>
        <v/>
      </c>
      <c r="CN28" s="407" t="str">
        <f>IFERROR(INDEX(bhpc_data[size],MATCH(BZ28,bhpc_data[sku],0)),"")</f>
        <v/>
      </c>
      <c r="CO28" s="408" t="str">
        <f>IFERROR(INDEX(bhpc_data[hs_code],MATCH(BZ28,bhpc_data[sku],0)),"")</f>
        <v/>
      </c>
      <c r="CP28" s="489" t="str">
        <f>IFERROR(INDEX(bhpc_data[sku_geko],MATCH(BZ28,bhpc_data[sku],0)),"")</f>
        <v/>
      </c>
      <c r="CQ28" s="404"/>
      <c r="CR28" s="517" t="str">
        <f>IFERROR(IF(BZ28="","",IF($BX$15="SALE",INDEX(inventory[COSTO UNITARIO],MATCH(BZ28,inventory[SKU],0)),IF($BX$15="SAMPLING",INDEX(inventory[COSTO UNITARIO],MATCH(BZ28,inventory[SKU],0)),""))),"")</f>
        <v/>
      </c>
      <c r="CS28" s="517" t="str">
        <f t="shared" si="5"/>
        <v/>
      </c>
      <c r="CT28" s="896" t="str">
        <f t="shared" si="6"/>
        <v/>
      </c>
      <c r="CU28" s="469" t="str">
        <f t="shared" si="0"/>
        <v/>
      </c>
      <c r="CW28" s="80"/>
      <c r="CX28" s="76"/>
      <c r="CY28" s="76"/>
      <c r="CZ28" s="84"/>
      <c r="DA28" s="76"/>
      <c r="DB28" s="77"/>
      <c r="DH28" s="215"/>
      <c r="EE28" s="445" t="str" cm="1">
        <f t="array" ref="EE28">IFERROR(IF($EC$9="",IF($EC$11="",IF($EC$13="",INDEX(bhpc_data[sku],SMALL(MATCH(ROW(bhpc_data[sku]),ROW(bhpc_data[sku])),ROWS($A$15:A33)+$B$3)),INDEX(bhpc_data[sku],SMALL(IF(ISNUMBER(MATCH(bhpc_data[size],$EC$13,0)),MATCH(ROW(bhpc_data[sku]),ROW(bhpc_data[sku])),""),ROWS($A$15:A33)+$B$3))),IF($EC$13="",INDEX(bhpc_data[sku],SMALL(IF(ISNUMBER(MATCH(bhpc_data[sex],$EC$11,0)),MATCH(ROW(bhpc_data[sku]),ROW(bhpc_data[sku])),""),ROWS($A$15:A33)+$B$3)),INDEX(bhpc_data[sku],SMALL(IF(ISNUMBER(MATCH(bhpc_data[sex],$EC$11,0)*MATCH(bhpc_data[size],$EC$13,0)),MATCH(ROW(bhpc_data[sku]),ROW(bhpc_data[sku])),""),ROWS($A$15:A33)+$B$3)))),IF($EC$11="",IF($EC$13="",INDEX(bhpc_data[sku],SMALL(IF(ISNUMBER(MATCH(bhpc_data[category],$EC$9,0)),MATCH(ROW(bhpc_data[sku]),ROW(bhpc_data[sku])),""),ROWS($A$15:A33)+$B$3)),INDEX(bhpc_data[sku],SMALL(IF(ISNUMBER(MATCH(bhpc_data[category],$EC$9,0)*MATCH(bhpc_data[size],$EC$13,0)),MATCH(ROW(bhpc_data[sku]),ROW(bhpc_data[sku])),""),ROWS($A$15:A33)+$B$3))),IF($EC$13="",INDEX(bhpc_data[sku],SMALL(IF(ISNUMBER(MATCH(bhpc_data[category],$EC$9,0)*MATCH(bhpc_data[sex],$EC$11,0)),MATCH(ROW(bhpc_data[sku]),ROW(bhpc_data[sku])),""),ROWS($A$15:A33)+$B$3)),INDEX(bhpc_data[sku],SMALL(IF(ISNUMBER(MATCH(bhpc_data[category],$EC$9,0)*MATCH(bhpc_data[sex],$EC$11,0)*MATCH(bhpc_data[size],$EC$13,0)),MATCH(ROW(bhpc_data[sku]),ROW(bhpc_data[sku])),""),ROWS($A$15:A33)+$B$3))))),"")</f>
        <v>P05005</v>
      </c>
      <c r="EF28" s="446" t="str" cm="1">
        <f t="array" ref="EF28">IFERROR(IF($EC$9="",IF($EC$11="",IF($EC$13="",INDEX(bhpc_data[description],SMALL(MATCH(ROW(bhpc_data[sku]),ROW(bhpc_data[sku])),ROWS($A$15:A33)+$B$3)),INDEX(bhpc_data[description],SMALL(IF(ISNUMBER(MATCH(bhpc_data[size],$EC$13,0)),MATCH(ROW(bhpc_data[sku]),ROW(bhpc_data[sku])),""),ROWS($A$15:A33)+$B$3))),IF($EC$13="",INDEX(bhpc_data[description],SMALL(IF(ISNUMBER(MATCH(bhpc_data[sex],$EC$11,0)),MATCH(ROW(bhpc_data[sku]),ROW(bhpc_data[sku])),""),ROWS($A$15:A33)+$B$3)),INDEX(bhpc_data[description],SMALL(IF(ISNUMBER(MATCH(bhpc_data[sex],$EC$11,0)*MATCH(bhpc_data[size],$EC$13,0)),MATCH(ROW(bhpc_data[sku]),ROW(bhpc_data[sku])),""),ROWS($A$15:A33)+$B$3)))),IF($EC$11="",IF($EC$13="",INDEX(bhpc_data[description],SMALL(IF(ISNUMBER(MATCH(bhpc_data[category],$EC$9,0)),MATCH(ROW(bhpc_data[sku]),ROW(bhpc_data[sku])),""),ROWS($A$15:A33)+$B$3)),INDEX(bhpc_data[description],SMALL(IF(ISNUMBER(MATCH(bhpc_data[category],$EC$9,0)*MATCH(bhpc_data[size],$EC$13,0)),MATCH(ROW(bhpc_data[sku]),ROW(bhpc_data[sku])),""),ROWS($A$15:A33)+$B$3))),IF($EC$13="",INDEX(bhpc_data[description],SMALL(IF(ISNUMBER(MATCH(bhpc_data[category],$EC$9,0)*MATCH(bhpc_data[sex],$EC$11,0)),MATCH(ROW(bhpc_data[sku]),ROW(bhpc_data[sku])),""),ROWS($A$15:A33)+$B$3)),INDEX(bhpc_data[description],SMALL(IF(ISNUMBER(MATCH(bhpc_data[category],$EC$9,0)*MATCH(bhpc_data[sex],$EC$11,0)*MATCH(bhpc_data[size],$EC$13,0)),MATCH(ROW(bhpc_data[sku]),ROW(bhpc_data[sku])),""),ROWS($A$15:A33)+$B$3))))),"")</f>
        <v>BHPC SPORT MEN 9 EDT 100ML</v>
      </c>
      <c r="EG28" s="447">
        <f>IFERROR(IF('BHPC MANAGER'!$EE28="","",INDEX(inventory[ESISTENZA],MATCH('BHPC MANAGER'!$EE28,inventory[SKU],0))),0)</f>
        <v>8366</v>
      </c>
      <c r="EH28" s="448">
        <v>-3790</v>
      </c>
      <c r="EI28" s="448">
        <f t="shared" si="1"/>
        <v>4576</v>
      </c>
      <c r="EJ28" s="449">
        <v>-7</v>
      </c>
      <c r="EK28" s="450">
        <f t="shared" si="2"/>
        <v>4569</v>
      </c>
      <c r="FF28" s="263"/>
      <c r="FG28" s="263"/>
      <c r="FH28" s="263"/>
      <c r="FI28" s="263"/>
      <c r="FJ28" s="263"/>
      <c r="FK28" s="263"/>
      <c r="FL28" s="263"/>
      <c r="FM28" s="263"/>
      <c r="FN28" s="263"/>
      <c r="FO28" s="263"/>
      <c r="FP28" s="263"/>
      <c r="FQ28" s="263"/>
      <c r="FR28" s="263"/>
      <c r="FS28" s="263"/>
      <c r="FT28" s="263"/>
      <c r="FU28" s="263"/>
      <c r="FV28" s="263"/>
      <c r="FW28" s="263"/>
      <c r="FX28" s="263"/>
      <c r="FY28" s="263"/>
      <c r="FZ28" s="263"/>
      <c r="GA28" s="263"/>
      <c r="GB28" s="263"/>
      <c r="GC28" s="263"/>
      <c r="GD28" s="263"/>
      <c r="GE28" s="263"/>
      <c r="GF28" s="263"/>
      <c r="GG28" s="263"/>
      <c r="GH28" s="263"/>
      <c r="GI28" s="263"/>
      <c r="GJ28" s="263"/>
      <c r="GK28" s="263"/>
      <c r="GL28" s="263"/>
      <c r="GM28" s="263"/>
      <c r="GN28" s="263"/>
      <c r="GO28" s="263"/>
      <c r="GP28" s="263"/>
      <c r="GQ28" s="263"/>
      <c r="GR28" s="263"/>
      <c r="GS28" s="263"/>
      <c r="GT28" s="263"/>
      <c r="GU28" s="263"/>
      <c r="GV28" s="263"/>
      <c r="GW28" s="263"/>
      <c r="GX28" s="263"/>
      <c r="GY28" s="263"/>
      <c r="GZ28" s="263"/>
      <c r="HA28" s="263"/>
      <c r="HB28" s="263"/>
      <c r="HC28" s="263"/>
      <c r="HD28" s="263"/>
      <c r="HE28" s="263"/>
      <c r="HF28" s="263"/>
      <c r="HG28" s="263"/>
      <c r="HH28" s="263"/>
      <c r="HI28" s="263"/>
      <c r="HJ28" s="263"/>
      <c r="HK28" s="263"/>
      <c r="HL28" s="263"/>
      <c r="HM28" s="263"/>
      <c r="HN28" s="263"/>
      <c r="HO28" s="263"/>
      <c r="HP28" s="263"/>
      <c r="HQ28" s="263"/>
      <c r="HR28" s="263"/>
      <c r="HS28" s="263"/>
      <c r="HT28" s="263"/>
    </row>
    <row r="29" spans="1:228" ht="15" customHeight="1" x14ac:dyDescent="0.35">
      <c r="F29" s="91"/>
      <c r="G29" s="809" t="str">
        <f>IFERROR(INDEX(clientData[logistic_address1],MATCH(B6,clientData[cod_cliente],0)),"")</f>
        <v>3RD FLOOR WEST, LANCHESTER</v>
      </c>
      <c r="H29" s="810"/>
      <c r="I29" s="811"/>
      <c r="J29" s="77"/>
      <c r="L29" s="381" t="str">
        <f t="array" ref="L29">IFERROR(IF($D$9="",IF($D$11="",IF($D$13="",IF($D$15="",INDEX(orderHistory[customer],SMALL(MATCH(ROW(orderHistory[customer]),ROW(orderHistory[customer])),ROWS($A$15:A34)+$B$3)),INDEX(orderHistory[customer],SMALL(IF(ISNUMBER(MATCH(YEAR(orderHistory[invoice_date]),$D$15,0)),MATCH(ROW(orderHistory[customer]),ROW(orderHistory[customer])),""),ROWS($A$15:A34)+$B$3))),IF($D$15="",INDEX(orderHistory[customer],SMALL(IF(ISNUMBER(MATCH(orderHistory[order_type],$D$13,0)),MATCH(ROW(orderHistory[customer]),ROW(orderHistory[customer])),""),ROWS($A$15:A34)+$B$3)),INDEX(orderHistory[customer],SMALL(IF(ISNUMBER(MATCH(orderHistory[order_type],$D$13,0)*MATCH(YEAR(orderHistory[invoice_date]),$D$15,0)),MATCH(ROW(orderHistory[customer]),ROW(orderHistory[customer])),""),ROWS($A$15:A34)+$B$3)))),IF($D$13="",IF($D$15="",INDEX(orderHistory[customer],SMALL(IF(ISNUMBER(MATCH(orderHistory[status],$D$11,0)),MATCH(ROW(orderHistory[customer]),ROW(orderHistory[customer])),""),ROWS($A$15:A34)+$B$3)),INDEX(orderHistory[customer],SMALL(IF(ISNUMBER(MATCH(orderHistory[status],$D$11,0)*MATCH(YEAR(orderHistory[invoice_date]),$D$15,0)),MATCH(ROW(orderHistory[customer]),ROW(orderHistory[customer])),""),ROWS($A$15:A34)+$B$3))),IF($D$15="",INDEX(orderHistory[customer],SMALL(IF(ISNUMBER(MATCH(orderHistory[status],$D$11,0)*MATCH(orderHistory[order_type],$D$13,0)),MATCH(ROW(orderHistory[customer]),ROW(orderHistory[customer])),""),ROWS($A$15:A34)+$B$3)),INDEX(orderHistory[customer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customer],SMALL(IF(ISNUMBER(MATCH(orderHistory[customer],$D$9,0)),MATCH(ROW(orderHistory[customer]),ROW(orderHistory[customer])),""),ROWS($A$15:A34)+$B$3)),INDEX(orderHistory[customer],SMALL(IF(ISNUMBER(MATCH(orderHistory[customer],$D$9,0)*MATCH(YEAR(orderHistory[invoice_date]),$D$15,0)),MATCH(ROW(orderHistory[customer]),ROW(orderHistory[customer])),""),ROWS($A$15:A34)+$B$3))),IF($D$15="",INDEX(orderHistory[customer],SMALL(IF(ISNUMBER(MATCH(orderHistory[customer],$D$9,0)*MATCH(orderHistory[order_type],$D$13,0)),MATCH(ROW(orderHistory[customer]),ROW(orderHistory[customer])),""),ROWS($A$15:A34)+$B$3)),INDEX(orderHistory[customer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customer],SMALL(IF(ISNUMBER(MATCH(orderHistory[customer],$D$9,0)*MATCH(orderHistory[status],$D$11,0)),MATCH(ROW(orderHistory[customer]),ROW(orderHistory[customer])),""),ROWS($A$15:A34)+$B$3)),INDEX(orderHistory[customer],SMALL(IF(ISNUMBER(MATCH(orderHistory[customer],$D$9,0)*MATCH(orderHistory[status],$D$11,0)*MATCH(YEAR(orderHistory[invoice_date]),$D$15,0)),MATCH(ROW(orderHistory[customer]),ROW(orderHistory[customer])),""),ROWS($A$15:A34)+$B$3))),IF($D$15="",INDEX(orderHistory[customer],SMALL(IF(ISNUMBER(MATCH(orderHistory[customer],$D$9,0)*MATCH(orderHistory[status],$D$11,0)*MATCH(orderHistory[order_type],$D$13,0)),MATCH(ROW(orderHistory[customer]),ROW(orderHistory[customer])),""),ROWS($A$15:A34)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4BEAUTY4YOU</v>
      </c>
      <c r="M29" s="382">
        <f t="array" ref="M29">IFERROR(IF($D$9="",IF($D$11="",IF($D$13="",IF($D$15="",INDEX(orderHistory[order_no],SMALL(MATCH(ROW(orderHistory[customer]),ROW(orderHistory[customer])),ROWS($A$15:A34)+$B$3)),INDEX(orderHistory[order_no],SMALL(IF(ISNUMBER(MATCH(YEAR(orderHistory[invoice_date]),$D$15,0)),MATCH(ROW(orderHistory[customer]),ROW(orderHistory[customer])),""),ROWS($A$15:A34)+$B$3))),IF($D$15="",INDEX(orderHistory[order_no],SMALL(IF(ISNUMBER(MATCH(orderHistory[order_type],$D$13,0)),MATCH(ROW(orderHistory[customer]),ROW(orderHistory[customer])),""),ROWS($A$15:A34)+$B$3)),INDEX(orderHistory[order_no],SMALL(IF(ISNUMBER(MATCH(orderHistory[order_type],$D$13,0)*MATCH(YEAR(orderHistory[invoice_date]),$D$15,0)),MATCH(ROW(orderHistory[customer]),ROW(orderHistory[customer])),""),ROWS($A$15:A34)+$B$3)))),IF($D$13="",IF($D$15="",INDEX(orderHistory[order_no],SMALL(IF(ISNUMBER(MATCH(orderHistory[status],$D$11,0)),MATCH(ROW(orderHistory[customer]),ROW(orderHistory[customer])),""),ROWS($A$15:A34)+$B$3)),INDEX(orderHistory[order_no],SMALL(IF(ISNUMBER(MATCH(orderHistory[status],$D$11,0)*MATCH(YEAR(orderHistory[invoice_date]),$D$15,0)),MATCH(ROW(orderHistory[customer]),ROW(orderHistory[customer])),""),ROWS($A$15:A34)+$B$3))),IF($D$15="",INDEX(orderHistory[order_no],SMALL(IF(ISNUMBER(MATCH(orderHistory[status],$D$11,0)*MATCH(orderHistory[order_type],$D$13,0)),MATCH(ROW(orderHistory[customer]),ROW(orderHistory[customer])),""),ROWS($A$15:A34)+$B$3)),INDEX(orderHistory[order_no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order_no],SMALL(IF(ISNUMBER(MATCH(orderHistory[customer],$D$9,0)),MATCH(ROW(orderHistory[customer]),ROW(orderHistory[customer])),""),ROWS($A$15:A34)+$B$3)),INDEX(orderHistory[order_no],SMALL(IF(ISNUMBER(MATCH(orderHistory[customer],$D$9,0)*MATCH(YEAR(orderHistory[invoice_date]),$D$15,0)),MATCH(ROW(orderHistory[customer]),ROW(orderHistory[customer])),""),ROWS($A$15:A34)+$B$3))),IF($D$15="",INDEX(orderHistory[order_no],SMALL(IF(ISNUMBER(MATCH(orderHistory[customer],$D$9,0)*MATCH(orderHistory[order_type],$D$13,0)),MATCH(ROW(orderHistory[customer]),ROW(orderHistory[customer])),""),ROWS($A$15:A34)+$B$3)),INDEX(orderHistory[order_no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order_no],SMALL(IF(ISNUMBER(MATCH(orderHistory[customer],$D$9,0)*MATCH(orderHistory[status],$D$11,0)),MATCH(ROW(orderHistory[customer]),ROW(orderHistory[customer])),""),ROWS($A$15:A34)+$B$3)),INDEX(orderHistory[order_no],SMALL(IF(ISNUMBER(MATCH(orderHistory[customer],$D$9,0)*MATCH(orderHistory[status],$D$11,0)*MATCH(YEAR(orderHistory[invoice_date]),$D$15,0)),MATCH(ROW(orderHistory[customer]),ROW(orderHistory[customer])),""),ROWS($A$15:A34)+$B$3))),IF($D$15="",INDEX(orderHistory[order_no],SMALL(IF(ISNUMBER(MATCH(orderHistory[customer],$D$9,0)*MATCH(orderHistory[status],$D$11,0)*MATCH(orderHistory[order_type],$D$13,0)),MATCH(ROW(orderHistory[customer]),ROW(orderHistory[customer])),""),ROWS($A$15:A34)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61</v>
      </c>
      <c r="N29" s="383" t="str">
        <f t="array" ref="N29">IFERROR(IF($D$9="",IF($D$11="",IF($D$13="",IF($D$15="",INDEX(orderHistory[order_type],SMALL(MATCH(ROW(orderHistory[customer]),ROW(orderHistory[customer])),ROWS($A$15:A34)+$B$3)),INDEX(orderHistory[order_type],SMALL(IF(ISNUMBER(MATCH(YEAR(orderHistory[invoice_date]),$D$15,0)),MATCH(ROW(orderHistory[customer]),ROW(orderHistory[customer])),""),ROWS($A$15:A34)+$B$3))),IF($D$15="",INDEX(orderHistory[order_type],SMALL(IF(ISNUMBER(MATCH(orderHistory[order_type],$D$13,0)),MATCH(ROW(orderHistory[customer]),ROW(orderHistory[customer])),""),ROWS($A$15:A34)+$B$3)),INDEX(orderHistory[order_type],SMALL(IF(ISNUMBER(MATCH(orderHistory[order_type],$D$13,0)*MATCH(YEAR(orderHistory[invoice_date]),$D$15,0)),MATCH(ROW(orderHistory[customer]),ROW(orderHistory[customer])),""),ROWS($A$15:A34)+$B$3)))),IF($D$13="",IF($D$15="",INDEX(orderHistory[order_type],SMALL(IF(ISNUMBER(MATCH(orderHistory[status],$D$11,0)),MATCH(ROW(orderHistory[customer]),ROW(orderHistory[customer])),""),ROWS($A$15:A34)+$B$3)),INDEX(orderHistory[order_type],SMALL(IF(ISNUMBER(MATCH(orderHistory[status],$D$11,0)*MATCH(YEAR(orderHistory[invoice_date]),$D$15,0)),MATCH(ROW(orderHistory[customer]),ROW(orderHistory[customer])),""),ROWS($A$15:A34)+$B$3))),IF($D$15="",INDEX(orderHistory[order_type],SMALL(IF(ISNUMBER(MATCH(orderHistory[status],$D$11,0)*MATCH(orderHistory[order_type],$D$13,0)),MATCH(ROW(orderHistory[customer]),ROW(orderHistory[customer])),""),ROWS($A$15:A34)+$B$3)),INDEX(orderHistory[order_type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order_type],SMALL(IF(ISNUMBER(MATCH(orderHistory[customer],$D$9,0)),MATCH(ROW(orderHistory[customer]),ROW(orderHistory[customer])),""),ROWS($A$15:A34)+$B$3)),INDEX(orderHistory[order_type],SMALL(IF(ISNUMBER(MATCH(orderHistory[customer],$D$9,0)*MATCH(YEAR(orderHistory[invoice_date]),$D$15,0)),MATCH(ROW(orderHistory[customer]),ROW(orderHistory[customer])),""),ROWS($A$15:A34)+$B$3))),IF($D$15="",INDEX(orderHistory[order_type],SMALL(IF(ISNUMBER(MATCH(orderHistory[customer],$D$9,0)*MATCH(orderHistory[order_type],$D$13,0)),MATCH(ROW(orderHistory[customer]),ROW(orderHistory[customer])),""),ROWS($A$15:A34)+$B$3)),INDEX(orderHistory[order_type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order_type],SMALL(IF(ISNUMBER(MATCH(orderHistory[customer],$D$9,0)*MATCH(orderHistory[status],$D$11,0)),MATCH(ROW(orderHistory[customer]),ROW(orderHistory[customer])),""),ROWS($A$15:A34)+$B$3)),INDEX(orderHistory[order_type],SMALL(IF(ISNUMBER(MATCH(orderHistory[customer],$D$9,0)*MATCH(orderHistory[status],$D$11,0)*MATCH(YEAR(orderHistory[invoice_date]),$D$15,0)),MATCH(ROW(orderHistory[customer]),ROW(orderHistory[customer])),""),ROWS($A$15:A34)+$B$3))),IF($D$15="",INDEX(orderHistory[order_type],SMALL(IF(ISNUMBER(MATCH(orderHistory[customer],$D$9,0)*MATCH(orderHistory[status],$D$11,0)*MATCH(orderHistory[order_type],$D$13,0)),MATCH(ROW(orderHistory[customer]),ROW(orderHistory[customer])),""),ROWS($A$15:A34)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SALE</v>
      </c>
      <c r="O29" s="384">
        <f t="array" ref="O29">IFERROR(IF($D$9="",IF($D$11="",IF($D$13="",IF($D$15="",INDEX(orderHistory[order_date],SMALL(MATCH(ROW(orderHistory[customer]),ROW(orderHistory[customer])),ROWS($A$15:A34)+$B$3)),INDEX(orderHistory[order_date],SMALL(IF(ISNUMBER(MATCH(YEAR(orderHistory[invoice_date]),$D$15,0)),MATCH(ROW(orderHistory[customer]),ROW(orderHistory[customer])),""),ROWS($A$15:A34)+$B$3))),IF($D$15="",INDEX(orderHistory[order_date],SMALL(IF(ISNUMBER(MATCH(orderHistory[order_type],$D$13,0)),MATCH(ROW(orderHistory[customer]),ROW(orderHistory[customer])),""),ROWS($A$15:A34)+$B$3)),INDEX(orderHistory[order_date],SMALL(IF(ISNUMBER(MATCH(orderHistory[order_type],$D$13,0)*MATCH(YEAR(orderHistory[invoice_date]),$D$15,0)),MATCH(ROW(orderHistory[customer]),ROW(orderHistory[customer])),""),ROWS($A$15:A34)+$B$3)))),IF($D$13="",IF($D$15="",INDEX(orderHistory[order_date],SMALL(IF(ISNUMBER(MATCH(orderHistory[status],$D$11,0)),MATCH(ROW(orderHistory[customer]),ROW(orderHistory[customer])),""),ROWS($A$15:A34)+$B$3)),INDEX(orderHistory[order_date],SMALL(IF(ISNUMBER(MATCH(orderHistory[status],$D$11,0)*MATCH(YEAR(orderHistory[invoice_date]),$D$15,0)),MATCH(ROW(orderHistory[customer]),ROW(orderHistory[customer])),""),ROWS($A$15:A34)+$B$3))),IF($D$15="",INDEX(orderHistory[order_date],SMALL(IF(ISNUMBER(MATCH(orderHistory[status],$D$11,0)*MATCH(orderHistory[order_type],$D$13,0)),MATCH(ROW(orderHistory[customer]),ROW(orderHistory[customer])),""),ROWS($A$15:A34)+$B$3)),INDEX(orderHistory[order_date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order_date],SMALL(IF(ISNUMBER(MATCH(orderHistory[customer],$D$9,0)),MATCH(ROW(orderHistory[customer]),ROW(orderHistory[customer])),""),ROWS($A$15:A34)+$B$3)),INDEX(orderHistory[order_date],SMALL(IF(ISNUMBER(MATCH(orderHistory[customer],$D$9,0)*MATCH(YEAR(orderHistory[invoice_date]),$D$15,0)),MATCH(ROW(orderHistory[customer]),ROW(orderHistory[customer])),""),ROWS($A$15:A34)+$B$3))),IF($D$15="",INDEX(orderHistory[order_date],SMALL(IF(ISNUMBER(MATCH(orderHistory[customer],$D$9,0)*MATCH(orderHistory[order_type],$D$13,0)),MATCH(ROW(orderHistory[customer]),ROW(orderHistory[customer])),""),ROWS($A$15:A34)+$B$3)),INDEX(orderHistory[order_date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order_date],SMALL(IF(ISNUMBER(MATCH(orderHistory[customer],$D$9,0)*MATCH(orderHistory[status],$D$11,0)),MATCH(ROW(orderHistory[customer]),ROW(orderHistory[customer])),""),ROWS($A$15:A34)+$B$3)),INDEX(orderHistory[order_date],SMALL(IF(ISNUMBER(MATCH(orderHistory[customer],$D$9,0)*MATCH(orderHistory[status],$D$11,0)*MATCH(YEAR(orderHistory[invoice_date]),$D$15,0)),MATCH(ROW(orderHistory[customer]),ROW(orderHistory[customer])),""),ROWS($A$15:A34)+$B$3))),IF($D$15="",INDEX(orderHistory[order_date],SMALL(IF(ISNUMBER(MATCH(orderHistory[customer],$D$9,0)*MATCH(orderHistory[status],$D$11,0)*MATCH(orderHistory[order_type],$D$13,0)),MATCH(ROW(orderHistory[customer]),ROW(orderHistory[customer])),""),ROWS($A$15:A34)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45471</v>
      </c>
      <c r="P29" s="385" t="str">
        <f t="array" ref="P29">IFERROR(IF($D$9="",IF($D$11="",IF($D$13="",IF($D$15="",INDEX(orderHistory[invoice_no],SMALL(MATCH(ROW(orderHistory[customer]),ROW(orderHistory[customer])),ROWS($A$15:A34)+$B$3)),INDEX(orderHistory[invoice_no],SMALL(IF(ISNUMBER(MATCH(YEAR(orderHistory[invoice_date]),$D$15,0)),MATCH(ROW(orderHistory[customer]),ROW(orderHistory[customer])),""),ROWS($A$15:A34)+$B$3))),IF($D$15="",INDEX(orderHistory[invoice_no],SMALL(IF(ISNUMBER(MATCH(orderHistory[order_type],$D$13,0)),MATCH(ROW(orderHistory[customer]),ROW(orderHistory[customer])),""),ROWS($A$15:A34)+$B$3)),INDEX(orderHistory[invoice_no],SMALL(IF(ISNUMBER(MATCH(orderHistory[order_type],$D$13,0)*MATCH(YEAR(orderHistory[invoice_date]),$D$15,0)),MATCH(ROW(orderHistory[customer]),ROW(orderHistory[customer])),""),ROWS($A$15:A34)+$B$3)))),IF($D$13="",IF($D$15="",INDEX(orderHistory[invoice_no],SMALL(IF(ISNUMBER(MATCH(orderHistory[status],$D$11,0)),MATCH(ROW(orderHistory[customer]),ROW(orderHistory[customer])),""),ROWS($A$15:A34)+$B$3)),INDEX(orderHistory[invoice_no],SMALL(IF(ISNUMBER(MATCH(orderHistory[status],$D$11,0)*MATCH(YEAR(orderHistory[invoice_date]),$D$15,0)),MATCH(ROW(orderHistory[customer]),ROW(orderHistory[customer])),""),ROWS($A$15:A34)+$B$3))),IF($D$15="",INDEX(orderHistory[invoice_no],SMALL(IF(ISNUMBER(MATCH(orderHistory[status],$D$11,0)*MATCH(orderHistory[order_type],$D$13,0)),MATCH(ROW(orderHistory[customer]),ROW(orderHistory[customer])),""),ROWS($A$15:A34)+$B$3)),INDEX(orderHistory[invoice_no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invoice_no],SMALL(IF(ISNUMBER(MATCH(orderHistory[customer],$D$9,0)),MATCH(ROW(orderHistory[customer]),ROW(orderHistory[customer])),""),ROWS($A$15:A34)+$B$3)),INDEX(orderHistory[invoice_no],SMALL(IF(ISNUMBER(MATCH(orderHistory[customer],$D$9,0)*MATCH(YEAR(orderHistory[invoice_date]),$D$15,0)),MATCH(ROW(orderHistory[customer]),ROW(orderHistory[customer])),""),ROWS($A$15:A34)+$B$3))),IF($D$15="",INDEX(orderHistory[invoice_no],SMALL(IF(ISNUMBER(MATCH(orderHistory[customer],$D$9,0)*MATCH(orderHistory[order_type],$D$13,0)),MATCH(ROW(orderHistory[customer]),ROW(orderHistory[customer])),""),ROWS($A$15:A34)+$B$3)),INDEX(orderHistory[invoice_no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invoice_no],SMALL(IF(ISNUMBER(MATCH(orderHistory[customer],$D$9,0)*MATCH(orderHistory[status],$D$11,0)),MATCH(ROW(orderHistory[customer]),ROW(orderHistory[customer])),""),ROWS($A$15:A34)+$B$3)),INDEX(orderHistory[invoice_no],SMALL(IF(ISNUMBER(MATCH(orderHistory[customer],$D$9,0)*MATCH(orderHistory[status],$D$11,0)*MATCH(YEAR(orderHistory[invoice_date]),$D$15,0)),MATCH(ROW(orderHistory[customer]),ROW(orderHistory[customer])),""),ROWS($A$15:A34)+$B$3))),IF($D$15="",INDEX(orderHistory[invoice_no],SMALL(IF(ISNUMBER(MATCH(orderHistory[customer],$D$9,0)*MATCH(orderHistory[status],$D$11,0)*MATCH(orderHistory[order_type],$D$13,0)),MATCH(ROW(orderHistory[customer]),ROW(orderHistory[customer])),""),ROWS($A$15:A34)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240</v>
      </c>
      <c r="Q29" s="386">
        <f t="array" ref="Q29">IFERROR(IF($D$9="",IF($D$11="",IF($D$13="",IF($D$15="",INDEX(orderHistory[invoice_date],SMALL(MATCH(ROW(orderHistory[customer]),ROW(orderHistory[customer])),ROWS($A$15:A34)+$B$3)),INDEX(orderHistory[invoice_date],SMALL(IF(ISNUMBER(MATCH(YEAR(orderHistory[invoice_date]),$D$15,0)),MATCH(ROW(orderHistory[customer]),ROW(orderHistory[customer])),""),ROWS($A$15:A34)+$B$3))),IF($D$15="",INDEX(orderHistory[invoice_date],SMALL(IF(ISNUMBER(MATCH(orderHistory[order_type],$D$13,0)),MATCH(ROW(orderHistory[customer]),ROW(orderHistory[customer])),""),ROWS($A$15:A34)+$B$3)),INDEX(orderHistory[invoice_date],SMALL(IF(ISNUMBER(MATCH(orderHistory[order_type],$D$13,0)*MATCH(YEAR(orderHistory[invoice_date]),$D$15,0)),MATCH(ROW(orderHistory[customer]),ROW(orderHistory[customer])),""),ROWS($A$15:A34)+$B$3)))),IF($D$13="",IF($D$15="",INDEX(orderHistory[invoice_date],SMALL(IF(ISNUMBER(MATCH(orderHistory[status],$D$11,0)),MATCH(ROW(orderHistory[customer]),ROW(orderHistory[customer])),""),ROWS($A$15:A34)+$B$3)),INDEX(orderHistory[invoice_date],SMALL(IF(ISNUMBER(MATCH(orderHistory[status],$D$11,0)*MATCH(YEAR(orderHistory[invoice_date]),$D$15,0)),MATCH(ROW(orderHistory[customer]),ROW(orderHistory[customer])),""),ROWS($A$15:A34)+$B$3))),IF($D$15="",INDEX(orderHistory[invoice_date],SMALL(IF(ISNUMBER(MATCH(orderHistory[status],$D$11,0)*MATCH(orderHistory[order_type],$D$13,0)),MATCH(ROW(orderHistory[customer]),ROW(orderHistory[customer])),""),ROWS($A$15:A34)+$B$3)),INDEX(orderHistory[invoice_date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invoice_date],SMALL(IF(ISNUMBER(MATCH(orderHistory[customer],$D$9,0)),MATCH(ROW(orderHistory[customer]),ROW(orderHistory[customer])),""),ROWS($A$15:A34)+$B$3)),INDEX(orderHistory[invoice_date],SMALL(IF(ISNUMBER(MATCH(orderHistory[customer],$D$9,0)*MATCH(YEAR(orderHistory[invoice_date]),$D$15,0)),MATCH(ROW(orderHistory[customer]),ROW(orderHistory[customer])),""),ROWS($A$15:A34)+$B$3))),IF($D$15="",INDEX(orderHistory[invoice_date],SMALL(IF(ISNUMBER(MATCH(orderHistory[customer],$D$9,0)*MATCH(orderHistory[order_type],$D$13,0)),MATCH(ROW(orderHistory[customer]),ROW(orderHistory[customer])),""),ROWS($A$15:A34)+$B$3)),INDEX(orderHistory[invoice_date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invoice_date],SMALL(IF(ISNUMBER(MATCH(orderHistory[customer],$D$9,0)*MATCH(orderHistory[status],$D$11,0)),MATCH(ROW(orderHistory[customer]),ROW(orderHistory[customer])),""),ROWS($A$15:A34)+$B$3)),INDEX(orderHistory[invoice_date],SMALL(IF(ISNUMBER(MATCH(orderHistory[customer],$D$9,0)*MATCH(orderHistory[status],$D$11,0)*MATCH(YEAR(orderHistory[invoice_date]),$D$15,0)),MATCH(ROW(orderHistory[customer]),ROW(orderHistory[customer])),""),ROWS($A$15:A34)+$B$3))),IF($D$15="",INDEX(orderHistory[invoice_date],SMALL(IF(ISNUMBER(MATCH(orderHistory[customer],$D$9,0)*MATCH(orderHistory[status],$D$11,0)*MATCH(orderHistory[order_type],$D$13,0)),MATCH(ROW(orderHistory[customer]),ROW(orderHistory[customer])),""),ROWS($A$15:A34)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45488</v>
      </c>
      <c r="R29" s="387">
        <f t="array" ref="R29">IFERROR(IF($D$9="",IF($D$11="",IF($D$13="",IF($D$15="",INDEX(orderHistory[inv_amount],SMALL(MATCH(ROW(orderHistory[customer]),ROW(orderHistory[customer])),ROWS($A$15:A34)+$B$3)),INDEX(orderHistory[inv_amount],SMALL(IF(ISNUMBER(MATCH(YEAR(orderHistory[invoice_date]),$D$15,0)),MATCH(ROW(orderHistory[customer]),ROW(orderHistory[customer])),""),ROWS($A$15:A34)+$B$3))),IF($D$15="",INDEX(orderHistory[inv_amount],SMALL(IF(ISNUMBER(MATCH(orderHistory[order_type],$D$13,0)),MATCH(ROW(orderHistory[customer]),ROW(orderHistory[customer])),""),ROWS($A$15:A34)+$B$3)),INDEX(orderHistory[inv_amount],SMALL(IF(ISNUMBER(MATCH(orderHistory[order_type],$D$13,0)*MATCH(YEAR(orderHistory[invoice_date]),$D$15,0)),MATCH(ROW(orderHistory[customer]),ROW(orderHistory[customer])),""),ROWS($A$15:A34)+$B$3)))),IF($D$13="",IF($D$15="",INDEX(orderHistory[inv_amount],SMALL(IF(ISNUMBER(MATCH(orderHistory[status],$D$11,0)),MATCH(ROW(orderHistory[customer]),ROW(orderHistory[customer])),""),ROWS($A$15:A34)+$B$3)),INDEX(orderHistory[inv_amount],SMALL(IF(ISNUMBER(MATCH(orderHistory[status],$D$11,0)*MATCH(YEAR(orderHistory[invoice_date]),$D$15,0)),MATCH(ROW(orderHistory[customer]),ROW(orderHistory[customer])),""),ROWS($A$15:A34)+$B$3))),IF($D$15="",INDEX(orderHistory[inv_amount],SMALL(IF(ISNUMBER(MATCH(orderHistory[status],$D$11,0)*MATCH(orderHistory[order_type],$D$13,0)),MATCH(ROW(orderHistory[customer]),ROW(orderHistory[customer])),""),ROWS($A$15:A34)+$B$3)),INDEX(orderHistory[inv_amount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inv_amount],SMALL(IF(ISNUMBER(MATCH(orderHistory[customer],$D$9,0)),MATCH(ROW(orderHistory[customer]),ROW(orderHistory[customer])),""),ROWS($A$15:A34)+$B$3)),INDEX(orderHistory[inv_amount],SMALL(IF(ISNUMBER(MATCH(orderHistory[customer],$D$9,0)*MATCH(YEAR(orderHistory[invoice_date]),$D$15,0)),MATCH(ROW(orderHistory[customer]),ROW(orderHistory[customer])),""),ROWS($A$15:A34)+$B$3))),IF($D$15="",INDEX(orderHistory[inv_amount],SMALL(IF(ISNUMBER(MATCH(orderHistory[customer],$D$9,0)*MATCH(orderHistory[order_type],$D$13,0)),MATCH(ROW(orderHistory[customer]),ROW(orderHistory[customer])),""),ROWS($A$15:A34)+$B$3)),INDEX(orderHistory[inv_amount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inv_amount],SMALL(IF(ISNUMBER(MATCH(orderHistory[customer],$D$9,0)*MATCH(orderHistory[status],$D$11,0)),MATCH(ROW(orderHistory[customer]),ROW(orderHistory[customer])),""),ROWS($A$15:A34)+$B$3)),INDEX(orderHistory[inv_amount],SMALL(IF(ISNUMBER(MATCH(orderHistory[customer],$D$9,0)*MATCH(orderHistory[status],$D$11,0)*MATCH(YEAR(orderHistory[inv_amount]),$D$15,0)),MATCH(ROW(orderHistory[customer]),ROW(orderHistory[customer])),""),ROWS($A$15:A34)+$B$3))),IF($D$15="",INDEX(orderHistory[inv_amount],SMALL(IF(ISNUMBER(MATCH(orderHistory[customer],$D$9,0)*MATCH(orderHistory[status],$D$11,0)*MATCH(orderHistory[order_type],$D$13,0)),MATCH(ROW(orderHistory[customer]),ROW(orderHistory[customer])),""),ROWS($A$15:A34)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95586.84</v>
      </c>
      <c r="S29" s="465" t="str">
        <f t="array" ref="S29">IFERROR(IF($D$9="",IF($D$11="",IF($D$13="",IF($D$15="",INDEX(orderHistory[lock_goods],SMALL(MATCH(ROW(orderHistory[customer]),ROW(orderHistory[customer])),ROWS($A$15:A34)+$B$3)),INDEX(orderHistory[lock_goods],SMALL(IF(ISNUMBER(MATCH(YEAR(orderHistory[invoice_date]),$D$15,0)),MATCH(ROW(orderHistory[customer]),ROW(orderHistory[customer])),""),ROWS($A$15:A34)+$B$3))),IF($D$15="",INDEX(orderHistory[lock_goods],SMALL(IF(ISNUMBER(MATCH(orderHistory[order_type],$D$13,0)),MATCH(ROW(orderHistory[customer]),ROW(orderHistory[customer])),""),ROWS($A$15:A34)+$B$3)),INDEX(orderHistory[lock_goods],SMALL(IF(ISNUMBER(MATCH(orderHistory[order_type],$D$13,0)*MATCH(YEAR(orderHistory[invoice_date]),$D$15,0)),MATCH(ROW(orderHistory[customer]),ROW(orderHistory[customer])),""),ROWS($A$15:A34)+$B$3)))),IF($D$13="",IF($D$15="",INDEX(orderHistory[lock_goods],SMALL(IF(ISNUMBER(MATCH(orderHistory[status],$D$11,0)),MATCH(ROW(orderHistory[customer]),ROW(orderHistory[customer])),""),ROWS($A$15:A34)+$B$3)),INDEX(orderHistory[lock_goods],SMALL(IF(ISNUMBER(MATCH(orderHistory[status],$D$11,0)*MATCH(YEAR(orderHistory[invoice_date]),$D$15,0)),MATCH(ROW(orderHistory[customer]),ROW(orderHistory[customer])),""),ROWS($A$15:A34)+$B$3))),IF($D$15="",INDEX(orderHistory[lock_goods],SMALL(IF(ISNUMBER(MATCH(orderHistory[status],$D$11,0)*MATCH(orderHistory[order_type],$D$13,0)),MATCH(ROW(orderHistory[customer]),ROW(orderHistory[customer])),""),ROWS($A$15:A34)+$B$3)),INDEX(orderHistory[lock_goods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lock_goods],SMALL(IF(ISNUMBER(MATCH(orderHistory[customer],$D$9,0)),MATCH(ROW(orderHistory[customer]),ROW(orderHistory[customer])),""),ROWS($A$15:A34)+$B$3)),INDEX(orderHistory[lock_goods],SMALL(IF(ISNUMBER(MATCH(orderHistory[customer],$D$9,0)*MATCH(YEAR(orderHistory[invoice_date]),$D$15,0)),MATCH(ROW(orderHistory[customer]),ROW(orderHistory[customer])),""),ROWS($A$15:A34)+$B$3))),IF($D$15="",INDEX(orderHistory[lock_goods],SMALL(IF(ISNUMBER(MATCH(orderHistory[customer],$D$9,0)*MATCH(orderHistory[order_type],$D$13,0)),MATCH(ROW(orderHistory[customer]),ROW(orderHistory[customer])),""),ROWS($A$15:A34)+$B$3)),INDEX(orderHistory[lock_goods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lock_goods],SMALL(IF(ISNUMBER(MATCH(orderHistory[customer],$D$9,0)*MATCH(orderHistory[status],$D$11,0)),MATCH(ROW(orderHistory[customer]),ROW(orderHistory[customer])),""),ROWS($A$15:A34)+$B$3)),INDEX(orderHistory[lock_goods],SMALL(IF(ISNUMBER(MATCH(orderHistory[customer],$D$9,0)*MATCH(orderHistory[status],$D$11,0)*MATCH(YEAR(orderHistory[payed]),$D$15,0)),MATCH(ROW(orderHistory[customer]),ROW(orderHistory[customer])),""),ROWS($A$15:A34)+$B$3))),IF($D$15="",INDEX(orderHistory[lock_goods],SMALL(IF(ISNUMBER(MATCH(orderHistory[customer],$D$9,0)*MATCH(orderHistory[status],$D$11,0)*MATCH(orderHistory[order_type],$D$13,0)),MATCH(ROW(orderHistory[customer]),ROW(orderHistory[customer])),""),ROWS($A$15:A34)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GOODS SENT</v>
      </c>
      <c r="T29" s="388" t="b">
        <f t="array" ref="T29">IFERROR(IF($D$9="",IF($D$11="",IF($D$13="",IF($D$15="",INDEX(orderHistory[payed],SMALL(MATCH(ROW(orderHistory[customer]),ROW(orderHistory[customer])),ROWS($A$15:A34)+$B$3)),INDEX(orderHistory[payed],SMALL(IF(ISNUMBER(MATCH(YEAR(orderHistory[invoice_date]),$D$15,0)),MATCH(ROW(orderHistory[customer]),ROW(orderHistory[customer])),""),ROWS($A$15:A34)+$B$3))),IF($D$15="",INDEX(orderHistory[payed],SMALL(IF(ISNUMBER(MATCH(orderHistory[order_type],$D$13,0)),MATCH(ROW(orderHistory[customer]),ROW(orderHistory[customer])),""),ROWS($A$15:A34)+$B$3)),INDEX(orderHistory[payed],SMALL(IF(ISNUMBER(MATCH(orderHistory[order_type],$D$13,0)*MATCH(YEAR(orderHistory[invoice_date]),$D$15,0)),MATCH(ROW(orderHistory[customer]),ROW(orderHistory[customer])),""),ROWS($A$15:A34)+$B$3)))),IF($D$13="",IF($D$15="",INDEX(orderHistory[payed],SMALL(IF(ISNUMBER(MATCH(orderHistory[status],$D$11,0)),MATCH(ROW(orderHistory[customer]),ROW(orderHistory[customer])),""),ROWS($A$15:A34)+$B$3)),INDEX(orderHistory[payed],SMALL(IF(ISNUMBER(MATCH(orderHistory[status],$D$11,0)*MATCH(YEAR(orderHistory[invoice_date]),$D$15,0)),MATCH(ROW(orderHistory[customer]),ROW(orderHistory[customer])),""),ROWS($A$15:A34)+$B$3))),IF($D$15="",INDEX(orderHistory[payed],SMALL(IF(ISNUMBER(MATCH(orderHistory[status],$D$11,0)*MATCH(orderHistory[order_type],$D$13,0)),MATCH(ROW(orderHistory[customer]),ROW(orderHistory[customer])),""),ROWS($A$15:A34)+$B$3)),INDEX(orderHistory[payed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payed],SMALL(IF(ISNUMBER(MATCH(orderHistory[customer],$D$9,0)),MATCH(ROW(orderHistory[customer]),ROW(orderHistory[customer])),""),ROWS($A$15:A34)+$B$3)),INDEX(orderHistory[payed],SMALL(IF(ISNUMBER(MATCH(orderHistory[customer],$D$9,0)*MATCH(YEAR(orderHistory[invoice_date]),$D$15,0)),MATCH(ROW(orderHistory[customer]),ROW(orderHistory[customer])),""),ROWS($A$15:A34)+$B$3))),IF($D$15="",INDEX(orderHistory[payed],SMALL(IF(ISNUMBER(MATCH(orderHistory[customer],$D$9,0)*MATCH(orderHistory[order_type],$D$13,0)),MATCH(ROW(orderHistory[customer]),ROW(orderHistory[customer])),""),ROWS($A$15:A34)+$B$3)),INDEX(orderHistory[payed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payed],SMALL(IF(ISNUMBER(MATCH(orderHistory[customer],$D$9,0)*MATCH(orderHistory[status],$D$11,0)),MATCH(ROW(orderHistory[customer]),ROW(orderHistory[customer])),""),ROWS($A$15:A34)+$B$3)),INDEX(orderHistory[payed],SMALL(IF(ISNUMBER(MATCH(orderHistory[customer],$D$9,0)*MATCH(orderHistory[status],$D$11,0)*MATCH(YEAR(orderHistory[payed]),$D$15,0)),MATCH(ROW(orderHistory[customer]),ROW(orderHistory[customer])),""),ROWS($A$15:A34)+$B$3))),IF($D$15="",INDEX(orderHistory[payed],SMALL(IF(ISNUMBER(MATCH(orderHistory[customer],$D$9,0)*MATCH(orderHistory[status],$D$11,0)*MATCH(orderHistory[order_type],$D$13,0)),MATCH(ROW(orderHistory[customer]),ROW(orderHistory[customer])),""),ROWS($A$15:A34)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1</v>
      </c>
      <c r="U29" s="383" t="str">
        <f t="array" ref="U29">IFERROR(IF($D$9="",IF($D$11="",IF($D$13="",IF($D$15="",INDEX(orderHistory[shipping_method],SMALL(MATCH(ROW(orderHistory[customer]),ROW(orderHistory[customer])),ROWS($A$15:A34)+$B$3)),INDEX(orderHistory[shipping_method],SMALL(IF(ISNUMBER(MATCH(YEAR(orderHistory[invoice_date]),$D$15,0)),MATCH(ROW(orderHistory[customer]),ROW(orderHistory[customer])),""),ROWS($A$15:A34)+$B$3))),IF($D$15="",INDEX(orderHistory[shipping_method],SMALL(IF(ISNUMBER(MATCH(orderHistory[order_type],$D$13,0)),MATCH(ROW(orderHistory[customer]),ROW(orderHistory[customer])),""),ROWS($A$15:A34)+$B$3)),INDEX(orderHistory[shipping_method],SMALL(IF(ISNUMBER(MATCH(orderHistory[order_type],$D$13,0)*MATCH(YEAR(orderHistory[invoice_date]),$D$15,0)),MATCH(ROW(orderHistory[customer]),ROW(orderHistory[customer])),""),ROWS($A$15:A34)+$B$3)))),IF($D$13="",IF($D$15="",INDEX(orderHistory[shipping_method],SMALL(IF(ISNUMBER(MATCH(orderHistory[status],$D$11,0)),MATCH(ROW(orderHistory[customer]),ROW(orderHistory[customer])),""),ROWS($A$15:A34)+$B$3)),INDEX(orderHistory[shipping_method],SMALL(IF(ISNUMBER(MATCH(orderHistory[status],$D$11,0)*MATCH(YEAR(orderHistory[invoice_date]),$D$15,0)),MATCH(ROW(orderHistory[customer]),ROW(orderHistory[customer])),""),ROWS($A$15:A34)+$B$3))),IF($D$15="",INDEX(orderHistory[shipping_method],SMALL(IF(ISNUMBER(MATCH(orderHistory[status],$D$11,0)*MATCH(orderHistory[order_type],$D$13,0)),MATCH(ROW(orderHistory[customer]),ROW(orderHistory[customer])),""),ROWS($A$15:A34)+$B$3)),INDEX(orderHistory[shipping_method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shipping_method],SMALL(IF(ISNUMBER(MATCH(orderHistory[customer],$D$9,0)),MATCH(ROW(orderHistory[customer]),ROW(orderHistory[customer])),""),ROWS($A$15:A34)+$B$3)),INDEX(orderHistory[shipping_method],SMALL(IF(ISNUMBER(MATCH(orderHistory[customer],$D$9,0)*MATCH(YEAR(orderHistory[invoice_date]),$D$15,0)),MATCH(ROW(orderHistory[customer]),ROW(orderHistory[customer])),""),ROWS($A$15:A34)+$B$3))),IF($D$15="",INDEX(orderHistory[shipping_method],SMALL(IF(ISNUMBER(MATCH(orderHistory[customer],$D$9,0)*MATCH(orderHistory[order_type],$D$13,0)),MATCH(ROW(orderHistory[customer]),ROW(orderHistory[customer])),""),ROWS($A$15:A34)+$B$3)),INDEX(orderHistory[shipping_method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shipping_method],SMALL(IF(ISNUMBER(MATCH(orderHistory[customer],$D$9,0)*MATCH(orderHistory[status],$D$11,0)),MATCH(ROW(orderHistory[customer]),ROW(orderHistory[customer])),""),ROWS($A$15:A34)+$B$3)),INDEX(orderHistory[shipping_method],SMALL(IF(ISNUMBER(MATCH(orderHistory[customer],$D$9,0)*MATCH(orderHistory[status],$D$11,0)*MATCH(YEAR(orderHistory[shipping_method]),$D$15,0)),MATCH(ROW(orderHistory[customer]),ROW(orderHistory[customer])),""),ROWS($A$15:A34)+$B$3))),IF($D$15="",INDEX(orderHistory[shipping_method],SMALL(IF(ISNUMBER(MATCH(orderHistory[customer],$D$9,0)*MATCH(orderHistory[status],$D$11,0)*MATCH(orderHistory[order_type],$D$13,0)),MATCH(ROW(orderHistory[customer]),ROW(orderHistory[customer])),""),ROWS($A$15:A34)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BY ROAD</v>
      </c>
      <c r="V29" s="388" t="str">
        <f t="array" ref="V29">IFERROR(IF($D$9="",IF($D$11="",IF($D$13="",IF($D$15="",INDEX(orderHistory[status],SMALL(MATCH(ROW(orderHistory[customer]),ROW(orderHistory[customer])),ROWS($A$15:A34)+$B$3)),INDEX(orderHistory[status],SMALL(IF(ISNUMBER(MATCH(YEAR(orderHistory[invoice_date]),$D$15,0)),MATCH(ROW(orderHistory[customer]),ROW(orderHistory[customer])),""),ROWS($A$15:A34)+$B$3))),IF($D$15="",INDEX(orderHistory[status],SMALL(IF(ISNUMBER(MATCH(orderHistory[order_type],$D$13,0)),MATCH(ROW(orderHistory[customer]),ROW(orderHistory[customer])),""),ROWS($A$15:A34)+$B$3)),INDEX(orderHistory[status],SMALL(IF(ISNUMBER(MATCH(orderHistory[order_type],$D$13,0)*MATCH(YEAR(orderHistory[invoice_date]),$D$15,0)),MATCH(ROW(orderHistory[customer]),ROW(orderHistory[customer])),""),ROWS($A$15:A34)+$B$3)))),IF($D$13="",IF($D$15="",INDEX(orderHistory[status],SMALL(IF(ISNUMBER(MATCH(orderHistory[status],$D$11,0)),MATCH(ROW(orderHistory[customer]),ROW(orderHistory[customer])),""),ROWS($A$15:A34)+$B$3)),INDEX(orderHistory[status],SMALL(IF(ISNUMBER(MATCH(orderHistory[status],$D$11,0)*MATCH(YEAR(orderHistory[invoice_date]),$D$15,0)),MATCH(ROW(orderHistory[customer]),ROW(orderHistory[customer])),""),ROWS($A$15:A34)+$B$3))),IF($D$15="",INDEX(orderHistory[status],SMALL(IF(ISNUMBER(MATCH(orderHistory[status],$D$11,0)*MATCH(orderHistory[order_type],$D$13,0)),MATCH(ROW(orderHistory[customer]),ROW(orderHistory[customer])),""),ROWS($A$15:A34)+$B$3)),INDEX(orderHistory[status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status],SMALL(IF(ISNUMBER(MATCH(orderHistory[customer],$D$9,0)),MATCH(ROW(orderHistory[customer]),ROW(orderHistory[customer])),""),ROWS($A$15:A34)+$B$3)),INDEX(orderHistory[status],SMALL(IF(ISNUMBER(MATCH(orderHistory[customer],$D$9,0)*MATCH(YEAR(orderHistory[invoice_date]),$D$15,0)),MATCH(ROW(orderHistory[customer]),ROW(orderHistory[customer])),""),ROWS($A$15:A34)+$B$3))),IF($D$15="",INDEX(orderHistory[status],SMALL(IF(ISNUMBER(MATCH(orderHistory[customer],$D$9,0)*MATCH(orderHistory[order_type],$D$13,0)),MATCH(ROW(orderHistory[customer]),ROW(orderHistory[customer])),""),ROWS($A$15:A34)+$B$3)),INDEX(orderHistory[status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status],SMALL(IF(ISNUMBER(MATCH(orderHistory[customer],$D$9,0)*MATCH(orderHistory[status],$D$11,0)),MATCH(ROW(orderHistory[customer]),ROW(orderHistory[customer])),""),ROWS($A$15:A34)+$B$3)),INDEX(orderHistory[status],SMALL(IF(ISNUMBER(MATCH(orderHistory[customer],$D$9,0)*MATCH(orderHistory[status],$D$11,0)*MATCH(YEAR(orderHistory[status]),$D$15,0)),MATCH(ROW(orderHistory[customer]),ROW(orderHistory[customer])),""),ROWS($A$15:A34)+$B$3))),IF($D$15="",INDEX(orderHistory[status],SMALL(IF(ISNUMBER(MATCH(orderHistory[customer],$D$9,0)*MATCH(orderHistory[status],$D$11,0)*MATCH(orderHistory[order_type],$D$13,0)),MATCH(ROW(orderHistory[customer]),ROW(orderHistory[customer])),""),ROWS($A$15:A34)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SHIPPED</v>
      </c>
      <c r="W29" s="547" t="str">
        <f t="array" ref="W29">IFERROR(IF($D$9="",IF($D$11="",IF($D$13="",IF($D$15="",INDEX(orderHistory[custom_docs],SMALL(MATCH(ROW(orderHistory[customer]),ROW(orderHistory[customer])),ROWS($A$15:A34)+$B$3)),INDEX(orderHistory[custom_docs],SMALL(IF(ISNUMBER(MATCH(YEAR(orderHistory[invoice_date]),$D$15,0)),MATCH(ROW(orderHistory[customer]),ROW(orderHistory[customer])),""),ROWS($A$15:A34)+$B$3))),IF($D$15="",INDEX(orderHistory[custom_docs],SMALL(IF(ISNUMBER(MATCH(orderHistory[order_type],$D$13,0)),MATCH(ROW(orderHistory[customer]),ROW(orderHistory[customer])),""),ROWS($A$15:A34)+$B$3)),INDEX(orderHistory[custom_docs],SMALL(IF(ISNUMBER(MATCH(orderHistory[order_type],$D$13,0)*MATCH(YEAR(orderHistory[invoice_date]),$D$15,0)),MATCH(ROW(orderHistory[customer]),ROW(orderHistory[customer])),""),ROWS($A$15:A34)+$B$3)))),IF($D$13="",IF($D$15="",INDEX(orderHistory[custom_docs],SMALL(IF(ISNUMBER(MATCH(orderHistory[status],$D$11,0)),MATCH(ROW(orderHistory[customer]),ROW(orderHistory[customer])),""),ROWS($A$15:A34)+$B$3)),INDEX(orderHistory[custom_docs],SMALL(IF(ISNUMBER(MATCH(orderHistory[status],$D$11,0)*MATCH(YEAR(orderHistory[invoice_date]),$D$15,0)),MATCH(ROW(orderHistory[customer]),ROW(orderHistory[customer])),""),ROWS($A$15:A34)+$B$3))),IF($D$15="",INDEX(orderHistory[custom_docs],SMALL(IF(ISNUMBER(MATCH(orderHistory[status],$D$11,0)*MATCH(orderHistory[order_type],$D$13,0)),MATCH(ROW(orderHistory[customer]),ROW(orderHistory[customer])),""),ROWS($A$15:A34)+$B$3)),INDEX(orderHistory[custom_docs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custom_docs],SMALL(IF(ISNUMBER(MATCH(orderHistory[customer],$D$9,0)),MATCH(ROW(orderHistory[customer]),ROW(orderHistory[customer])),""),ROWS($A$15:A34)+$B$3)),INDEX(orderHistory[custom_docs],SMALL(IF(ISNUMBER(MATCH(orderHistory[customer],$D$9,0)*MATCH(YEAR(orderHistory[invoice_date]),$D$15,0)),MATCH(ROW(orderHistory[customer]),ROW(orderHistory[customer])),""),ROWS($A$15:A34)+$B$3))),IF($D$15="",INDEX(orderHistory[custom_docs],SMALL(IF(ISNUMBER(MATCH(orderHistory[customer],$D$9,0)*MATCH(orderHistory[order_type],$D$13,0)),MATCH(ROW(orderHistory[customer]),ROW(orderHistory[customer])),""),ROWS($A$15:A34)+$B$3)),INDEX(orderHistory[custom_docs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custom_docs],SMALL(IF(ISNUMBER(MATCH(orderHistory[customer],$D$9,0)*MATCH(orderHistory[status],$D$11,0)),MATCH(ROW(orderHistory[customer]),ROW(orderHistory[customer])),""),ROWS($A$15:A34)+$B$3)),INDEX(orderHistory[custom_docs],SMALL(IF(ISNUMBER(MATCH(orderHistory[customer],$D$9,0)*MATCH(orderHistory[status],$D$11,0)*MATCH(YEAR(orderHistory[status]),$D$15,0)),MATCH(ROW(orderHistory[customer]),ROW(orderHistory[customer])),""),ROWS($A$15:A34)+$B$3))),IF($D$15="",INDEX(orderHistory[custom_docs],SMALL(IF(ISNUMBER(MATCH(orderHistory[customer],$D$9,0)*MATCH(orderHistory[status],$D$11,0)*MATCH(orderHistory[order_type],$D$13,0)),MATCH(ROW(orderHistory[customer]),ROW(orderHistory[customer])),""),ROWS($A$15:A34)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OK</v>
      </c>
      <c r="AQ29" s="308"/>
      <c r="AR29" s="343"/>
      <c r="AS29" s="346"/>
      <c r="AT29" s="347"/>
      <c r="AU29" s="271"/>
      <c r="AW29" s="306"/>
      <c r="AX29" s="827"/>
      <c r="AY29" s="828"/>
      <c r="BB29" s="838"/>
      <c r="BC29" s="839"/>
      <c r="BD29" s="839"/>
      <c r="BE29" s="839"/>
      <c r="BF29" s="839"/>
      <c r="BG29" s="839"/>
      <c r="BH29" s="840"/>
      <c r="BJ29" s="271"/>
      <c r="BK29" s="296"/>
      <c r="BL29" s="297"/>
      <c r="BM29" s="298"/>
      <c r="BN29" s="297"/>
      <c r="BO29" s="298"/>
      <c r="BZ29" s="414"/>
      <c r="CA29" s="401" t="str">
        <f>IFERROR(IF(BZ29="","",INDEX(bhpc_data[description],MATCH(BZ29,bhpc_data[sku],0))),"")</f>
        <v/>
      </c>
      <c r="CB29" s="402"/>
      <c r="CC29" s="886"/>
      <c r="CD29" s="411"/>
      <c r="CE29" s="890"/>
      <c r="CF29" s="404"/>
      <c r="CG29" s="405" t="str">
        <f>IFERROR(ROUNDUP(CB29/INDEX(bhpc_data[units_per_carton],MATCH(BZ29,bhpc_data[sku],0)),0),"")</f>
        <v/>
      </c>
      <c r="CH29" s="406" t="str">
        <f>IFERROR(ROUNDUP(CD29/INDEX(bhpc_data[units_per_carton],MATCH(BZ29,bhpc_data[sku],0)),0),"")</f>
        <v/>
      </c>
      <c r="CI29" s="406" t="str">
        <f>IFERROR(ROUNDUP(CF29/INDEX(bhpc_data[units_per_carton],MATCH(BZ29,bhpc_data[sku])),0),"")</f>
        <v/>
      </c>
      <c r="CJ29" s="406" t="str">
        <f>IFERROR(((CB29+CD29+CF29)/INDEX(bhpc_data[units_per_carton],MATCH(BZ29,bhpc_data[sku],0)))*INDEX(bhpc_data[net_weight],MATCH(BZ29,bhpc_data[sku],0)),"")</f>
        <v/>
      </c>
      <c r="CK29" s="406" t="str">
        <f>IFERROR(((CB29+CD29+CF29)/INDEX(bhpc_data[units_per_carton],MATCH(BZ29,bhpc_data[sku],0)))*INDEX(bhpc_data[gross_weight],MATCH(BZ29,bhpc_data[sku],0)),"")</f>
        <v/>
      </c>
      <c r="CL29" s="602" t="str">
        <f>IFERROR((CB29+CD29+CF29)/INDEX(bhpc_data[units_per_carton],MATCH(BZ29,bhpc_data[sku],0))*INDEX(bhpc_data[length],MATCH(BZ29,bhpc_data[sku],0))*INDEX(bhpc_data[width],MATCH(BZ29,bhpc_data[sku],0))*INDEX(bhpc_data[height],MATCH(BZ29,bhpc_data[sku],0))/1000000000,"")</f>
        <v/>
      </c>
      <c r="CM29" s="407" t="str">
        <f>IFERROR(INDEX(bhpc_data[category],MATCH(BZ29,bhpc_data[sku],0)),"")</f>
        <v/>
      </c>
      <c r="CN29" s="407" t="str">
        <f>IFERROR(INDEX(bhpc_data[size],MATCH(BZ29,bhpc_data[sku],0)),"")</f>
        <v/>
      </c>
      <c r="CO29" s="408" t="str">
        <f>IFERROR(INDEX(bhpc_data[hs_code],MATCH(BZ29,bhpc_data[sku],0)),"")</f>
        <v/>
      </c>
      <c r="CP29" s="489" t="str">
        <f>IFERROR(INDEX(bhpc_data[sku_geko],MATCH(BZ29,bhpc_data[sku],0)),"")</f>
        <v/>
      </c>
      <c r="CQ29" s="404"/>
      <c r="CR29" s="517" t="str">
        <f>IFERROR(IF(BZ29="","",IF($BX$15="SALE",INDEX(inventory[COSTO UNITARIO],MATCH(BZ29,inventory[SKU],0)),IF($BX$15="SAMPLING",INDEX(inventory[COSTO UNITARIO],MATCH(BZ29,inventory[SKU],0)),""))),"")</f>
        <v/>
      </c>
      <c r="CS29" s="517" t="str">
        <f t="shared" si="5"/>
        <v/>
      </c>
      <c r="CT29" s="896" t="str">
        <f t="shared" si="6"/>
        <v/>
      </c>
      <c r="CU29" s="469" t="str">
        <f t="shared" si="0"/>
        <v/>
      </c>
      <c r="CW29" s="80"/>
      <c r="CX29" s="84" t="s">
        <v>1006</v>
      </c>
      <c r="CY29" s="458" t="str">
        <f>IF(INDEX(orderHistory[status],MATCH($BX$11,orderHistory[order_no],0))=0,"",INDEX(orderHistory[status],MATCH($BX$11,orderHistory[order_no],0)))</f>
        <v>SHIPPED</v>
      </c>
      <c r="CZ29" s="112"/>
      <c r="DA29" s="112"/>
      <c r="DB29" s="77"/>
      <c r="DH29" s="215"/>
      <c r="EE29" s="439" t="str" cm="1">
        <f t="array" ref="EE29">IFERROR(IF($EC$9="",IF($EC$11="",IF($EC$13="",INDEX(bhpc_data[sku],SMALL(MATCH(ROW(bhpc_data[sku]),ROW(bhpc_data[sku])),ROWS($A$15:A34)+$B$3)),INDEX(bhpc_data[sku],SMALL(IF(ISNUMBER(MATCH(bhpc_data[size],$EC$13,0)),MATCH(ROW(bhpc_data[sku]),ROW(bhpc_data[sku])),""),ROWS($A$15:A34)+$B$3))),IF($EC$13="",INDEX(bhpc_data[sku],SMALL(IF(ISNUMBER(MATCH(bhpc_data[sex],$EC$11,0)),MATCH(ROW(bhpc_data[sku]),ROW(bhpc_data[sku])),""),ROWS($A$15:A34)+$B$3)),INDEX(bhpc_data[sku],SMALL(IF(ISNUMBER(MATCH(bhpc_data[sex],$EC$11,0)*MATCH(bhpc_data[size],$EC$13,0)),MATCH(ROW(bhpc_data[sku]),ROW(bhpc_data[sku])),""),ROWS($A$15:A34)+$B$3)))),IF($EC$11="",IF($EC$13="",INDEX(bhpc_data[sku],SMALL(IF(ISNUMBER(MATCH(bhpc_data[category],$EC$9,0)),MATCH(ROW(bhpc_data[sku]),ROW(bhpc_data[sku])),""),ROWS($A$15:A34)+$B$3)),INDEX(bhpc_data[sku],SMALL(IF(ISNUMBER(MATCH(bhpc_data[category],$EC$9,0)*MATCH(bhpc_data[size],$EC$13,0)),MATCH(ROW(bhpc_data[sku]),ROW(bhpc_data[sku])),""),ROWS($A$15:A34)+$B$3))),IF($EC$13="",INDEX(bhpc_data[sku],SMALL(IF(ISNUMBER(MATCH(bhpc_data[category],$EC$9,0)*MATCH(bhpc_data[sex],$EC$11,0)),MATCH(ROW(bhpc_data[sku]),ROW(bhpc_data[sku])),""),ROWS($A$15:A34)+$B$3)),INDEX(bhpc_data[sku],SMALL(IF(ISNUMBER(MATCH(bhpc_data[category],$EC$9,0)*MATCH(bhpc_data[sex],$EC$11,0)*MATCH(bhpc_data[size],$EC$13,0)),MATCH(ROW(bhpc_data[sku]),ROW(bhpc_data[sku])),""),ROWS($A$15:A34)+$B$3))))),"")</f>
        <v>P05006</v>
      </c>
      <c r="EF29" s="440" t="str" cm="1">
        <f t="array" ref="EF29">IFERROR(IF($EC$9="",IF($EC$11="",IF($EC$13="",INDEX(bhpc_data[description],SMALL(MATCH(ROW(bhpc_data[sku]),ROW(bhpc_data[sku])),ROWS($A$15:A34)+$B$3)),INDEX(bhpc_data[description],SMALL(IF(ISNUMBER(MATCH(bhpc_data[size],$EC$13,0)),MATCH(ROW(bhpc_data[sku]),ROW(bhpc_data[sku])),""),ROWS($A$15:A34)+$B$3))),IF($EC$13="",INDEX(bhpc_data[description],SMALL(IF(ISNUMBER(MATCH(bhpc_data[sex],$EC$11,0)),MATCH(ROW(bhpc_data[sku]),ROW(bhpc_data[sku])),""),ROWS($A$15:A34)+$B$3)),INDEX(bhpc_data[description],SMALL(IF(ISNUMBER(MATCH(bhpc_data[sex],$EC$11,0)*MATCH(bhpc_data[size],$EC$13,0)),MATCH(ROW(bhpc_data[sku]),ROW(bhpc_data[sku])),""),ROWS($A$15:A34)+$B$3)))),IF($EC$11="",IF($EC$13="",INDEX(bhpc_data[description],SMALL(IF(ISNUMBER(MATCH(bhpc_data[category],$EC$9,0)),MATCH(ROW(bhpc_data[sku]),ROW(bhpc_data[sku])),""),ROWS($A$15:A34)+$B$3)),INDEX(bhpc_data[description],SMALL(IF(ISNUMBER(MATCH(bhpc_data[category],$EC$9,0)*MATCH(bhpc_data[size],$EC$13,0)),MATCH(ROW(bhpc_data[sku]),ROW(bhpc_data[sku])),""),ROWS($A$15:A34)+$B$3))),IF($EC$13="",INDEX(bhpc_data[description],SMALL(IF(ISNUMBER(MATCH(bhpc_data[category],$EC$9,0)*MATCH(bhpc_data[sex],$EC$11,0)),MATCH(ROW(bhpc_data[sku]),ROW(bhpc_data[sku])),""),ROWS($A$15:A34)+$B$3)),INDEX(bhpc_data[description],SMALL(IF(ISNUMBER(MATCH(bhpc_data[category],$EC$9,0)*MATCH(bhpc_data[sex],$EC$11,0)*MATCH(bhpc_data[size],$EC$13,0)),MATCH(ROW(bhpc_data[sku]),ROW(bhpc_data[sku])),""),ROWS($A$15:A34)+$B$3))))),"")</f>
        <v>BHPC SPORT MEN 8 EDT 100ML</v>
      </c>
      <c r="EG29" s="441">
        <f>IFERROR(IF('BHPC MANAGER'!$EE29="","",INDEX(inventory[ESISTENZA],MATCH('BHPC MANAGER'!$EE29,inventory[SKU],0))),0)</f>
        <v>8794</v>
      </c>
      <c r="EH29" s="442">
        <v>-3497</v>
      </c>
      <c r="EI29" s="442">
        <f t="shared" si="1"/>
        <v>5297</v>
      </c>
      <c r="EJ29" s="443">
        <v>-8</v>
      </c>
      <c r="EK29" s="444">
        <f t="shared" si="2"/>
        <v>5289</v>
      </c>
      <c r="FF29" s="263"/>
      <c r="FG29" s="263"/>
      <c r="FH29" s="263"/>
      <c r="FI29" s="263"/>
      <c r="FJ29" s="263"/>
      <c r="FK29" s="263"/>
      <c r="FL29" s="263"/>
      <c r="FM29" s="263"/>
      <c r="FN29" s="263"/>
      <c r="FO29" s="263"/>
      <c r="FP29" s="263"/>
      <c r="FQ29" s="263"/>
      <c r="FR29" s="263"/>
      <c r="FS29" s="263"/>
      <c r="FT29" s="263"/>
      <c r="FU29" s="263"/>
      <c r="FV29" s="263"/>
      <c r="FW29" s="263"/>
      <c r="FX29" s="263"/>
      <c r="FY29" s="263"/>
      <c r="FZ29" s="263"/>
      <c r="GA29" s="263"/>
      <c r="GB29" s="263"/>
      <c r="GC29" s="263"/>
      <c r="GD29" s="263"/>
      <c r="GE29" s="263"/>
      <c r="GF29" s="263"/>
      <c r="GG29" s="263"/>
      <c r="GH29" s="263"/>
      <c r="GI29" s="263"/>
      <c r="GJ29" s="263"/>
      <c r="GK29" s="263"/>
      <c r="GL29" s="263"/>
      <c r="GM29" s="263"/>
      <c r="GN29" s="263"/>
      <c r="GO29" s="263"/>
      <c r="GP29" s="263"/>
      <c r="GQ29" s="263"/>
      <c r="GR29" s="263"/>
      <c r="GS29" s="263"/>
      <c r="GT29" s="263"/>
      <c r="GU29" s="263"/>
      <c r="GV29" s="263"/>
      <c r="GW29" s="263"/>
      <c r="GX29" s="263"/>
      <c r="GY29" s="263"/>
      <c r="GZ29" s="263"/>
      <c r="HA29" s="263"/>
      <c r="HB29" s="263"/>
      <c r="HC29" s="263"/>
      <c r="HD29" s="263"/>
      <c r="HE29" s="263"/>
      <c r="HF29" s="263"/>
      <c r="HG29" s="263"/>
      <c r="HH29" s="263"/>
      <c r="HI29" s="263"/>
      <c r="HJ29" s="263"/>
      <c r="HK29" s="263"/>
      <c r="HL29" s="263"/>
      <c r="HM29" s="263"/>
      <c r="HN29" s="263"/>
      <c r="HO29" s="263"/>
      <c r="HP29" s="263"/>
      <c r="HQ29" s="263"/>
      <c r="HR29" s="263"/>
      <c r="HS29" s="263"/>
      <c r="HT29" s="263"/>
    </row>
    <row r="30" spans="1:228" ht="15" customHeight="1" x14ac:dyDescent="0.35">
      <c r="F30" s="91"/>
      <c r="G30" s="812" t="str">
        <f>IFERROR(INDEX(clientData[logistic_address2],MATCH($B$6,clientData[cod_cliente],0)),"")</f>
        <v>TRAFALGAR PLACE, BRIGHTON,</v>
      </c>
      <c r="H30" s="813"/>
      <c r="I30" s="814"/>
      <c r="J30" s="77"/>
      <c r="L30" s="381" t="str">
        <f t="array" ref="L30">IFERROR(IF($D$9="",IF($D$11="",IF($D$13="",IF($D$15="",INDEX(orderHistory[customer],SMALL(MATCH(ROW(orderHistory[customer]),ROW(orderHistory[customer])),ROWS($A$15:A35)+$B$3)),INDEX(orderHistory[customer],SMALL(IF(ISNUMBER(MATCH(YEAR(orderHistory[invoice_date]),$D$15,0)),MATCH(ROW(orderHistory[customer]),ROW(orderHistory[customer])),""),ROWS($A$15:A35)+$B$3))),IF($D$15="",INDEX(orderHistory[customer],SMALL(IF(ISNUMBER(MATCH(orderHistory[order_type],$D$13,0)),MATCH(ROW(orderHistory[customer]),ROW(orderHistory[customer])),""),ROWS($A$15:A35)+$B$3)),INDEX(orderHistory[customer],SMALL(IF(ISNUMBER(MATCH(orderHistory[order_type],$D$13,0)*MATCH(YEAR(orderHistory[invoice_date]),$D$15,0)),MATCH(ROW(orderHistory[customer]),ROW(orderHistory[customer])),""),ROWS($A$15:A35)+$B$3)))),IF($D$13="",IF($D$15="",INDEX(orderHistory[customer],SMALL(IF(ISNUMBER(MATCH(orderHistory[status],$D$11,0)),MATCH(ROW(orderHistory[customer]),ROW(orderHistory[customer])),""),ROWS($A$15:A35)+$B$3)),INDEX(orderHistory[customer],SMALL(IF(ISNUMBER(MATCH(orderHistory[status],$D$11,0)*MATCH(YEAR(orderHistory[invoice_date]),$D$15,0)),MATCH(ROW(orderHistory[customer]),ROW(orderHistory[customer])),""),ROWS($A$15:A35)+$B$3))),IF($D$15="",INDEX(orderHistory[customer],SMALL(IF(ISNUMBER(MATCH(orderHistory[status],$D$11,0)*MATCH(orderHistory[order_type],$D$13,0)),MATCH(ROW(orderHistory[customer]),ROW(orderHistory[customer])),""),ROWS($A$15:A35)+$B$3)),INDEX(orderHistory[customer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customer],SMALL(IF(ISNUMBER(MATCH(orderHistory[customer],$D$9,0)),MATCH(ROW(orderHistory[customer]),ROW(orderHistory[customer])),""),ROWS($A$15:A35)+$B$3)),INDEX(orderHistory[customer],SMALL(IF(ISNUMBER(MATCH(orderHistory[customer],$D$9,0)*MATCH(YEAR(orderHistory[invoice_date]),$D$15,0)),MATCH(ROW(orderHistory[customer]),ROW(orderHistory[customer])),""),ROWS($A$15:A35)+$B$3))),IF($D$15="",INDEX(orderHistory[customer],SMALL(IF(ISNUMBER(MATCH(orderHistory[customer],$D$9,0)*MATCH(orderHistory[order_type],$D$13,0)),MATCH(ROW(orderHistory[customer]),ROW(orderHistory[customer])),""),ROWS($A$15:A35)+$B$3)),INDEX(orderHistory[customer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customer],SMALL(IF(ISNUMBER(MATCH(orderHistory[customer],$D$9,0)*MATCH(orderHistory[status],$D$11,0)),MATCH(ROW(orderHistory[customer]),ROW(orderHistory[customer])),""),ROWS($A$15:A35)+$B$3)),INDEX(orderHistory[customer],SMALL(IF(ISNUMBER(MATCH(orderHistory[customer],$D$9,0)*MATCH(orderHistory[status],$D$11,0)*MATCH(YEAR(orderHistory[invoice_date]),$D$15,0)),MATCH(ROW(orderHistory[customer]),ROW(orderHistory[customer])),""),ROWS($A$15:A35)+$B$3))),IF($D$15="",INDEX(orderHistory[customer],SMALL(IF(ISNUMBER(MATCH(orderHistory[customer],$D$9,0)*MATCH(orderHistory[status],$D$11,0)*MATCH(orderHistory[order_type],$D$13,0)),MATCH(ROW(orderHistory[customer]),ROW(orderHistory[customer])),""),ROWS($A$15:A35)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LUXUM BEAUTY - HAMBURG</v>
      </c>
      <c r="M30" s="382">
        <f t="array" ref="M30">IFERROR(IF($D$9="",IF($D$11="",IF($D$13="",IF($D$15="",INDEX(orderHistory[order_no],SMALL(MATCH(ROW(orderHistory[customer]),ROW(orderHistory[customer])),ROWS($A$15:A35)+$B$3)),INDEX(orderHistory[order_no],SMALL(IF(ISNUMBER(MATCH(YEAR(orderHistory[invoice_date]),$D$15,0)),MATCH(ROW(orderHistory[customer]),ROW(orderHistory[customer])),""),ROWS($A$15:A35)+$B$3))),IF($D$15="",INDEX(orderHistory[order_no],SMALL(IF(ISNUMBER(MATCH(orderHistory[order_type],$D$13,0)),MATCH(ROW(orderHistory[customer]),ROW(orderHistory[customer])),""),ROWS($A$15:A35)+$B$3)),INDEX(orderHistory[order_no],SMALL(IF(ISNUMBER(MATCH(orderHistory[order_type],$D$13,0)*MATCH(YEAR(orderHistory[invoice_date]),$D$15,0)),MATCH(ROW(orderHistory[customer]),ROW(orderHistory[customer])),""),ROWS($A$15:A35)+$B$3)))),IF($D$13="",IF($D$15="",INDEX(orderHistory[order_no],SMALL(IF(ISNUMBER(MATCH(orderHistory[status],$D$11,0)),MATCH(ROW(orderHistory[customer]),ROW(orderHistory[customer])),""),ROWS($A$15:A35)+$B$3)),INDEX(orderHistory[order_no],SMALL(IF(ISNUMBER(MATCH(orderHistory[status],$D$11,0)*MATCH(YEAR(orderHistory[invoice_date]),$D$15,0)),MATCH(ROW(orderHistory[customer]),ROW(orderHistory[customer])),""),ROWS($A$15:A35)+$B$3))),IF($D$15="",INDEX(orderHistory[order_no],SMALL(IF(ISNUMBER(MATCH(orderHistory[status],$D$11,0)*MATCH(orderHistory[order_type],$D$13,0)),MATCH(ROW(orderHistory[customer]),ROW(orderHistory[customer])),""),ROWS($A$15:A35)+$B$3)),INDEX(orderHistory[order_no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order_no],SMALL(IF(ISNUMBER(MATCH(orderHistory[customer],$D$9,0)),MATCH(ROW(orderHistory[customer]),ROW(orderHistory[customer])),""),ROWS($A$15:A35)+$B$3)),INDEX(orderHistory[order_no],SMALL(IF(ISNUMBER(MATCH(orderHistory[customer],$D$9,0)*MATCH(YEAR(orderHistory[invoice_date]),$D$15,0)),MATCH(ROW(orderHistory[customer]),ROW(orderHistory[customer])),""),ROWS($A$15:A35)+$B$3))),IF($D$15="",INDEX(orderHistory[order_no],SMALL(IF(ISNUMBER(MATCH(orderHistory[customer],$D$9,0)*MATCH(orderHistory[order_type],$D$13,0)),MATCH(ROW(orderHistory[customer]),ROW(orderHistory[customer])),""),ROWS($A$15:A35)+$B$3)),INDEX(orderHistory[order_no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order_no],SMALL(IF(ISNUMBER(MATCH(orderHistory[customer],$D$9,0)*MATCH(orderHistory[status],$D$11,0)),MATCH(ROW(orderHistory[customer]),ROW(orderHistory[customer])),""),ROWS($A$15:A35)+$B$3)),INDEX(orderHistory[order_no],SMALL(IF(ISNUMBER(MATCH(orderHistory[customer],$D$9,0)*MATCH(orderHistory[status],$D$11,0)*MATCH(YEAR(orderHistory[invoice_date]),$D$15,0)),MATCH(ROW(orderHistory[customer]),ROW(orderHistory[customer])),""),ROWS($A$15:A35)+$B$3))),IF($D$15="",INDEX(orderHistory[order_no],SMALL(IF(ISNUMBER(MATCH(orderHistory[customer],$D$9,0)*MATCH(orderHistory[status],$D$11,0)*MATCH(orderHistory[order_type],$D$13,0)),MATCH(ROW(orderHistory[customer]),ROW(orderHistory[customer])),""),ROWS($A$15:A35)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65</v>
      </c>
      <c r="N30" s="383" t="str">
        <f t="array" ref="N30">IFERROR(IF($D$9="",IF($D$11="",IF($D$13="",IF($D$15="",INDEX(orderHistory[order_type],SMALL(MATCH(ROW(orderHistory[customer]),ROW(orderHistory[customer])),ROWS($A$15:A35)+$B$3)),INDEX(orderHistory[order_type],SMALL(IF(ISNUMBER(MATCH(YEAR(orderHistory[invoice_date]),$D$15,0)),MATCH(ROW(orderHistory[customer]),ROW(orderHistory[customer])),""),ROWS($A$15:A35)+$B$3))),IF($D$15="",INDEX(orderHistory[order_type],SMALL(IF(ISNUMBER(MATCH(orderHistory[order_type],$D$13,0)),MATCH(ROW(orderHistory[customer]),ROW(orderHistory[customer])),""),ROWS($A$15:A35)+$B$3)),INDEX(orderHistory[order_type],SMALL(IF(ISNUMBER(MATCH(orderHistory[order_type],$D$13,0)*MATCH(YEAR(orderHistory[invoice_date]),$D$15,0)),MATCH(ROW(orderHistory[customer]),ROW(orderHistory[customer])),""),ROWS($A$15:A35)+$B$3)))),IF($D$13="",IF($D$15="",INDEX(orderHistory[order_type],SMALL(IF(ISNUMBER(MATCH(orderHistory[status],$D$11,0)),MATCH(ROW(orderHistory[customer]),ROW(orderHistory[customer])),""),ROWS($A$15:A35)+$B$3)),INDEX(orderHistory[order_type],SMALL(IF(ISNUMBER(MATCH(orderHistory[status],$D$11,0)*MATCH(YEAR(orderHistory[invoice_date]),$D$15,0)),MATCH(ROW(orderHistory[customer]),ROW(orderHistory[customer])),""),ROWS($A$15:A35)+$B$3))),IF($D$15="",INDEX(orderHistory[order_type],SMALL(IF(ISNUMBER(MATCH(orderHistory[status],$D$11,0)*MATCH(orderHistory[order_type],$D$13,0)),MATCH(ROW(orderHistory[customer]),ROW(orderHistory[customer])),""),ROWS($A$15:A35)+$B$3)),INDEX(orderHistory[order_type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order_type],SMALL(IF(ISNUMBER(MATCH(orderHistory[customer],$D$9,0)),MATCH(ROW(orderHistory[customer]),ROW(orderHistory[customer])),""),ROWS($A$15:A35)+$B$3)),INDEX(orderHistory[order_type],SMALL(IF(ISNUMBER(MATCH(orderHistory[customer],$D$9,0)*MATCH(YEAR(orderHistory[invoice_date]),$D$15,0)),MATCH(ROW(orderHistory[customer]),ROW(orderHistory[customer])),""),ROWS($A$15:A35)+$B$3))),IF($D$15="",INDEX(orderHistory[order_type],SMALL(IF(ISNUMBER(MATCH(orderHistory[customer],$D$9,0)*MATCH(orderHistory[order_type],$D$13,0)),MATCH(ROW(orderHistory[customer]),ROW(orderHistory[customer])),""),ROWS($A$15:A35)+$B$3)),INDEX(orderHistory[order_type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order_type],SMALL(IF(ISNUMBER(MATCH(orderHistory[customer],$D$9,0)*MATCH(orderHistory[status],$D$11,0)),MATCH(ROW(orderHistory[customer]),ROW(orderHistory[customer])),""),ROWS($A$15:A35)+$B$3)),INDEX(orderHistory[order_type],SMALL(IF(ISNUMBER(MATCH(orderHistory[customer],$D$9,0)*MATCH(orderHistory[status],$D$11,0)*MATCH(YEAR(orderHistory[invoice_date]),$D$15,0)),MATCH(ROW(orderHistory[customer]),ROW(orderHistory[customer])),""),ROWS($A$15:A35)+$B$3))),IF($D$15="",INDEX(orderHistory[order_type],SMALL(IF(ISNUMBER(MATCH(orderHistory[customer],$D$9,0)*MATCH(orderHistory[status],$D$11,0)*MATCH(orderHistory[order_type],$D$13,0)),MATCH(ROW(orderHistory[customer]),ROW(orderHistory[customer])),""),ROWS($A$15:A35)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SALE</v>
      </c>
      <c r="O30" s="384">
        <f t="array" ref="O30">IFERROR(IF($D$9="",IF($D$11="",IF($D$13="",IF($D$15="",INDEX(orderHistory[order_date],SMALL(MATCH(ROW(orderHistory[customer]),ROW(orderHistory[customer])),ROWS($A$15:A35)+$B$3)),INDEX(orderHistory[order_date],SMALL(IF(ISNUMBER(MATCH(YEAR(orderHistory[invoice_date]),$D$15,0)),MATCH(ROW(orderHistory[customer]),ROW(orderHistory[customer])),""),ROWS($A$15:A35)+$B$3))),IF($D$15="",INDEX(orderHistory[order_date],SMALL(IF(ISNUMBER(MATCH(orderHistory[order_type],$D$13,0)),MATCH(ROW(orderHistory[customer]),ROW(orderHistory[customer])),""),ROWS($A$15:A35)+$B$3)),INDEX(orderHistory[order_date],SMALL(IF(ISNUMBER(MATCH(orderHistory[order_type],$D$13,0)*MATCH(YEAR(orderHistory[invoice_date]),$D$15,0)),MATCH(ROW(orderHistory[customer]),ROW(orderHistory[customer])),""),ROWS($A$15:A35)+$B$3)))),IF($D$13="",IF($D$15="",INDEX(orderHistory[order_date],SMALL(IF(ISNUMBER(MATCH(orderHistory[status],$D$11,0)),MATCH(ROW(orderHistory[customer]),ROW(orderHistory[customer])),""),ROWS($A$15:A35)+$B$3)),INDEX(orderHistory[order_date],SMALL(IF(ISNUMBER(MATCH(orderHistory[status],$D$11,0)*MATCH(YEAR(orderHistory[invoice_date]),$D$15,0)),MATCH(ROW(orderHistory[customer]),ROW(orderHistory[customer])),""),ROWS($A$15:A35)+$B$3))),IF($D$15="",INDEX(orderHistory[order_date],SMALL(IF(ISNUMBER(MATCH(orderHistory[status],$D$11,0)*MATCH(orderHistory[order_type],$D$13,0)),MATCH(ROW(orderHistory[customer]),ROW(orderHistory[customer])),""),ROWS($A$15:A35)+$B$3)),INDEX(orderHistory[order_date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order_date],SMALL(IF(ISNUMBER(MATCH(orderHistory[customer],$D$9,0)),MATCH(ROW(orderHistory[customer]),ROW(orderHistory[customer])),""),ROWS($A$15:A35)+$B$3)),INDEX(orderHistory[order_date],SMALL(IF(ISNUMBER(MATCH(orderHistory[customer],$D$9,0)*MATCH(YEAR(orderHistory[invoice_date]),$D$15,0)),MATCH(ROW(orderHistory[customer]),ROW(orderHistory[customer])),""),ROWS($A$15:A35)+$B$3))),IF($D$15="",INDEX(orderHistory[order_date],SMALL(IF(ISNUMBER(MATCH(orderHistory[customer],$D$9,0)*MATCH(orderHistory[order_type],$D$13,0)),MATCH(ROW(orderHistory[customer]),ROW(orderHistory[customer])),""),ROWS($A$15:A35)+$B$3)),INDEX(orderHistory[order_date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order_date],SMALL(IF(ISNUMBER(MATCH(orderHistory[customer],$D$9,0)*MATCH(orderHistory[status],$D$11,0)),MATCH(ROW(orderHistory[customer]),ROW(orderHistory[customer])),""),ROWS($A$15:A35)+$B$3)),INDEX(orderHistory[order_date],SMALL(IF(ISNUMBER(MATCH(orderHistory[customer],$D$9,0)*MATCH(orderHistory[status],$D$11,0)*MATCH(YEAR(orderHistory[invoice_date]),$D$15,0)),MATCH(ROW(orderHistory[customer]),ROW(orderHistory[customer])),""),ROWS($A$15:A35)+$B$3))),IF($D$15="",INDEX(orderHistory[order_date],SMALL(IF(ISNUMBER(MATCH(orderHistory[customer],$D$9,0)*MATCH(orderHistory[status],$D$11,0)*MATCH(orderHistory[order_type],$D$13,0)),MATCH(ROW(orderHistory[customer]),ROW(orderHistory[customer])),""),ROWS($A$15:A35)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45474</v>
      </c>
      <c r="P30" s="385" t="str">
        <f t="array" ref="P30">IFERROR(IF($D$9="",IF($D$11="",IF($D$13="",IF($D$15="",INDEX(orderHistory[invoice_no],SMALL(MATCH(ROW(orderHistory[customer]),ROW(orderHistory[customer])),ROWS($A$15:A35)+$B$3)),INDEX(orderHistory[invoice_no],SMALL(IF(ISNUMBER(MATCH(YEAR(orderHistory[invoice_date]),$D$15,0)),MATCH(ROW(orderHistory[customer]),ROW(orderHistory[customer])),""),ROWS($A$15:A35)+$B$3))),IF($D$15="",INDEX(orderHistory[invoice_no],SMALL(IF(ISNUMBER(MATCH(orderHistory[order_type],$D$13,0)),MATCH(ROW(orderHistory[customer]),ROW(orderHistory[customer])),""),ROWS($A$15:A35)+$B$3)),INDEX(orderHistory[invoice_no],SMALL(IF(ISNUMBER(MATCH(orderHistory[order_type],$D$13,0)*MATCH(YEAR(orderHistory[invoice_date]),$D$15,0)),MATCH(ROW(orderHistory[customer]),ROW(orderHistory[customer])),""),ROWS($A$15:A35)+$B$3)))),IF($D$13="",IF($D$15="",INDEX(orderHistory[invoice_no],SMALL(IF(ISNUMBER(MATCH(orderHistory[status],$D$11,0)),MATCH(ROW(orderHistory[customer]),ROW(orderHistory[customer])),""),ROWS($A$15:A35)+$B$3)),INDEX(orderHistory[invoice_no],SMALL(IF(ISNUMBER(MATCH(orderHistory[status],$D$11,0)*MATCH(YEAR(orderHistory[invoice_date]),$D$15,0)),MATCH(ROW(orderHistory[customer]),ROW(orderHistory[customer])),""),ROWS($A$15:A35)+$B$3))),IF($D$15="",INDEX(orderHistory[invoice_no],SMALL(IF(ISNUMBER(MATCH(orderHistory[status],$D$11,0)*MATCH(orderHistory[order_type],$D$13,0)),MATCH(ROW(orderHistory[customer]),ROW(orderHistory[customer])),""),ROWS($A$15:A35)+$B$3)),INDEX(orderHistory[invoice_no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invoice_no],SMALL(IF(ISNUMBER(MATCH(orderHistory[customer],$D$9,0)),MATCH(ROW(orderHistory[customer]),ROW(orderHistory[customer])),""),ROWS($A$15:A35)+$B$3)),INDEX(orderHistory[invoice_no],SMALL(IF(ISNUMBER(MATCH(orderHistory[customer],$D$9,0)*MATCH(YEAR(orderHistory[invoice_date]),$D$15,0)),MATCH(ROW(orderHistory[customer]),ROW(orderHistory[customer])),""),ROWS($A$15:A35)+$B$3))),IF($D$15="",INDEX(orderHistory[invoice_no],SMALL(IF(ISNUMBER(MATCH(orderHistory[customer],$D$9,0)*MATCH(orderHistory[order_type],$D$13,0)),MATCH(ROW(orderHistory[customer]),ROW(orderHistory[customer])),""),ROWS($A$15:A35)+$B$3)),INDEX(orderHistory[invoice_no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invoice_no],SMALL(IF(ISNUMBER(MATCH(orderHistory[customer],$D$9,0)*MATCH(orderHistory[status],$D$11,0)),MATCH(ROW(orderHistory[customer]),ROW(orderHistory[customer])),""),ROWS($A$15:A35)+$B$3)),INDEX(orderHistory[invoice_no],SMALL(IF(ISNUMBER(MATCH(orderHistory[customer],$D$9,0)*MATCH(orderHistory[status],$D$11,0)*MATCH(YEAR(orderHistory[invoice_date]),$D$15,0)),MATCH(ROW(orderHistory[customer]),ROW(orderHistory[customer])),""),ROWS($A$15:A35)+$B$3))),IF($D$15="",INDEX(orderHistory[invoice_no],SMALL(IF(ISNUMBER(MATCH(orderHistory[customer],$D$9,0)*MATCH(orderHistory[status],$D$11,0)*MATCH(orderHistory[order_type],$D$13,0)),MATCH(ROW(orderHistory[customer]),ROW(orderHistory[customer])),""),ROWS($A$15:A35)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213</v>
      </c>
      <c r="Q30" s="386" t="str">
        <f t="array" ref="Q30">IFERROR(IF($D$9="",IF($D$11="",IF($D$13="",IF($D$15="",INDEX(orderHistory[invoice_date],SMALL(MATCH(ROW(orderHistory[customer]),ROW(orderHistory[customer])),ROWS($A$15:A35)+$B$3)),INDEX(orderHistory[invoice_date],SMALL(IF(ISNUMBER(MATCH(YEAR(orderHistory[invoice_date]),$D$15,0)),MATCH(ROW(orderHistory[customer]),ROW(orderHistory[customer])),""),ROWS($A$15:A35)+$B$3))),IF($D$15="",INDEX(orderHistory[invoice_date],SMALL(IF(ISNUMBER(MATCH(orderHistory[order_type],$D$13,0)),MATCH(ROW(orderHistory[customer]),ROW(orderHistory[customer])),""),ROWS($A$15:A35)+$B$3)),INDEX(orderHistory[invoice_date],SMALL(IF(ISNUMBER(MATCH(orderHistory[order_type],$D$13,0)*MATCH(YEAR(orderHistory[invoice_date]),$D$15,0)),MATCH(ROW(orderHistory[customer]),ROW(orderHistory[customer])),""),ROWS($A$15:A35)+$B$3)))),IF($D$13="",IF($D$15="",INDEX(orderHistory[invoice_date],SMALL(IF(ISNUMBER(MATCH(orderHistory[status],$D$11,0)),MATCH(ROW(orderHistory[customer]),ROW(orderHistory[customer])),""),ROWS($A$15:A35)+$B$3)),INDEX(orderHistory[invoice_date],SMALL(IF(ISNUMBER(MATCH(orderHistory[status],$D$11,0)*MATCH(YEAR(orderHistory[invoice_date]),$D$15,0)),MATCH(ROW(orderHistory[customer]),ROW(orderHistory[customer])),""),ROWS($A$15:A35)+$B$3))),IF($D$15="",INDEX(orderHistory[invoice_date],SMALL(IF(ISNUMBER(MATCH(orderHistory[status],$D$11,0)*MATCH(orderHistory[order_type],$D$13,0)),MATCH(ROW(orderHistory[customer]),ROW(orderHistory[customer])),""),ROWS($A$15:A35)+$B$3)),INDEX(orderHistory[invoice_date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invoice_date],SMALL(IF(ISNUMBER(MATCH(orderHistory[customer],$D$9,0)),MATCH(ROW(orderHistory[customer]),ROW(orderHistory[customer])),""),ROWS($A$15:A35)+$B$3)),INDEX(orderHistory[invoice_date],SMALL(IF(ISNUMBER(MATCH(orderHistory[customer],$D$9,0)*MATCH(YEAR(orderHistory[invoice_date]),$D$15,0)),MATCH(ROW(orderHistory[customer]),ROW(orderHistory[customer])),""),ROWS($A$15:A35)+$B$3))),IF($D$15="",INDEX(orderHistory[invoice_date],SMALL(IF(ISNUMBER(MATCH(orderHistory[customer],$D$9,0)*MATCH(orderHistory[order_type],$D$13,0)),MATCH(ROW(orderHistory[customer]),ROW(orderHistory[customer])),""),ROWS($A$15:A35)+$B$3)),INDEX(orderHistory[invoice_date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invoice_date],SMALL(IF(ISNUMBER(MATCH(orderHistory[customer],$D$9,0)*MATCH(orderHistory[status],$D$11,0)),MATCH(ROW(orderHistory[customer]),ROW(orderHistory[customer])),""),ROWS($A$15:A35)+$B$3)),INDEX(orderHistory[invoice_date],SMALL(IF(ISNUMBER(MATCH(orderHistory[customer],$D$9,0)*MATCH(orderHistory[status],$D$11,0)*MATCH(YEAR(orderHistory[invoice_date]),$D$15,0)),MATCH(ROW(orderHistory[customer]),ROW(orderHistory[customer])),""),ROWS($A$15:A35)+$B$3))),IF($D$15="",INDEX(orderHistory[invoice_date],SMALL(IF(ISNUMBER(MATCH(orderHistory[customer],$D$9,0)*MATCH(orderHistory[status],$D$11,0)*MATCH(orderHistory[order_type],$D$13,0)),MATCH(ROW(orderHistory[customer]),ROW(orderHistory[customer])),""),ROWS($A$15:A35)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24/06/2024</v>
      </c>
      <c r="R30" s="387">
        <f t="array" ref="R30">IFERROR(IF($D$9="",IF($D$11="",IF($D$13="",IF($D$15="",INDEX(orderHistory[inv_amount],SMALL(MATCH(ROW(orderHistory[customer]),ROW(orderHistory[customer])),ROWS($A$15:A35)+$B$3)),INDEX(orderHistory[inv_amount],SMALL(IF(ISNUMBER(MATCH(YEAR(orderHistory[invoice_date]),$D$15,0)),MATCH(ROW(orderHistory[customer]),ROW(orderHistory[customer])),""),ROWS($A$15:A35)+$B$3))),IF($D$15="",INDEX(orderHistory[inv_amount],SMALL(IF(ISNUMBER(MATCH(orderHistory[order_type],$D$13,0)),MATCH(ROW(orderHistory[customer]),ROW(orderHistory[customer])),""),ROWS($A$15:A35)+$B$3)),INDEX(orderHistory[inv_amount],SMALL(IF(ISNUMBER(MATCH(orderHistory[order_type],$D$13,0)*MATCH(YEAR(orderHistory[invoice_date]),$D$15,0)),MATCH(ROW(orderHistory[customer]),ROW(orderHistory[customer])),""),ROWS($A$15:A35)+$B$3)))),IF($D$13="",IF($D$15="",INDEX(orderHistory[inv_amount],SMALL(IF(ISNUMBER(MATCH(orderHistory[status],$D$11,0)),MATCH(ROW(orderHistory[customer]),ROW(orderHistory[customer])),""),ROWS($A$15:A35)+$B$3)),INDEX(orderHistory[inv_amount],SMALL(IF(ISNUMBER(MATCH(orderHistory[status],$D$11,0)*MATCH(YEAR(orderHistory[invoice_date]),$D$15,0)),MATCH(ROW(orderHistory[customer]),ROW(orderHistory[customer])),""),ROWS($A$15:A35)+$B$3))),IF($D$15="",INDEX(orderHistory[inv_amount],SMALL(IF(ISNUMBER(MATCH(orderHistory[status],$D$11,0)*MATCH(orderHistory[order_type],$D$13,0)),MATCH(ROW(orderHistory[customer]),ROW(orderHistory[customer])),""),ROWS($A$15:A35)+$B$3)),INDEX(orderHistory[inv_amount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inv_amount],SMALL(IF(ISNUMBER(MATCH(orderHistory[customer],$D$9,0)),MATCH(ROW(orderHistory[customer]),ROW(orderHistory[customer])),""),ROWS($A$15:A35)+$B$3)),INDEX(orderHistory[inv_amount],SMALL(IF(ISNUMBER(MATCH(orderHistory[customer],$D$9,0)*MATCH(YEAR(orderHistory[invoice_date]),$D$15,0)),MATCH(ROW(orderHistory[customer]),ROW(orderHistory[customer])),""),ROWS($A$15:A35)+$B$3))),IF($D$15="",INDEX(orderHistory[inv_amount],SMALL(IF(ISNUMBER(MATCH(orderHistory[customer],$D$9,0)*MATCH(orderHistory[order_type],$D$13,0)),MATCH(ROW(orderHistory[customer]),ROW(orderHistory[customer])),""),ROWS($A$15:A35)+$B$3)),INDEX(orderHistory[inv_amount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inv_amount],SMALL(IF(ISNUMBER(MATCH(orderHistory[customer],$D$9,0)*MATCH(orderHistory[status],$D$11,0)),MATCH(ROW(orderHistory[customer]),ROW(orderHistory[customer])),""),ROWS($A$15:A35)+$B$3)),INDEX(orderHistory[inv_amount],SMALL(IF(ISNUMBER(MATCH(orderHistory[customer],$D$9,0)*MATCH(orderHistory[status],$D$11,0)*MATCH(YEAR(orderHistory[inv_amount]),$D$15,0)),MATCH(ROW(orderHistory[customer]),ROW(orderHistory[customer])),""),ROWS($A$15:A35)+$B$3))),IF($D$15="",INDEX(orderHistory[inv_amount],SMALL(IF(ISNUMBER(MATCH(orderHistory[customer],$D$9,0)*MATCH(orderHistory[status],$D$11,0)*MATCH(orderHistory[order_type],$D$13,0)),MATCH(ROW(orderHistory[customer]),ROW(orderHistory[customer])),""),ROWS($A$15:A35)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10918.75</v>
      </c>
      <c r="S30" s="465" t="str">
        <f t="array" ref="S30">IFERROR(IF($D$9="",IF($D$11="",IF($D$13="",IF($D$15="",INDEX(orderHistory[lock_goods],SMALL(MATCH(ROW(orderHistory[customer]),ROW(orderHistory[customer])),ROWS($A$15:A35)+$B$3)),INDEX(orderHistory[lock_goods],SMALL(IF(ISNUMBER(MATCH(YEAR(orderHistory[invoice_date]),$D$15,0)),MATCH(ROW(orderHistory[customer]),ROW(orderHistory[customer])),""),ROWS($A$15:A35)+$B$3))),IF($D$15="",INDEX(orderHistory[lock_goods],SMALL(IF(ISNUMBER(MATCH(orderHistory[order_type],$D$13,0)),MATCH(ROW(orderHistory[customer]),ROW(orderHistory[customer])),""),ROWS($A$15:A35)+$B$3)),INDEX(orderHistory[lock_goods],SMALL(IF(ISNUMBER(MATCH(orderHistory[order_type],$D$13,0)*MATCH(YEAR(orderHistory[invoice_date]),$D$15,0)),MATCH(ROW(orderHistory[customer]),ROW(orderHistory[customer])),""),ROWS($A$15:A35)+$B$3)))),IF($D$13="",IF($D$15="",INDEX(orderHistory[lock_goods],SMALL(IF(ISNUMBER(MATCH(orderHistory[status],$D$11,0)),MATCH(ROW(orderHistory[customer]),ROW(orderHistory[customer])),""),ROWS($A$15:A35)+$B$3)),INDEX(orderHistory[lock_goods],SMALL(IF(ISNUMBER(MATCH(orderHistory[status],$D$11,0)*MATCH(YEAR(orderHistory[invoice_date]),$D$15,0)),MATCH(ROW(orderHistory[customer]),ROW(orderHistory[customer])),""),ROWS($A$15:A35)+$B$3))),IF($D$15="",INDEX(orderHistory[lock_goods],SMALL(IF(ISNUMBER(MATCH(orderHistory[status],$D$11,0)*MATCH(orderHistory[order_type],$D$13,0)),MATCH(ROW(orderHistory[customer]),ROW(orderHistory[customer])),""),ROWS($A$15:A35)+$B$3)),INDEX(orderHistory[lock_goods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lock_goods],SMALL(IF(ISNUMBER(MATCH(orderHistory[customer],$D$9,0)),MATCH(ROW(orderHistory[customer]),ROW(orderHistory[customer])),""),ROWS($A$15:A35)+$B$3)),INDEX(orderHistory[lock_goods],SMALL(IF(ISNUMBER(MATCH(orderHistory[customer],$D$9,0)*MATCH(YEAR(orderHistory[invoice_date]),$D$15,0)),MATCH(ROW(orderHistory[customer]),ROW(orderHistory[customer])),""),ROWS($A$15:A35)+$B$3))),IF($D$15="",INDEX(orderHistory[lock_goods],SMALL(IF(ISNUMBER(MATCH(orderHistory[customer],$D$9,0)*MATCH(orderHistory[order_type],$D$13,0)),MATCH(ROW(orderHistory[customer]),ROW(orderHistory[customer])),""),ROWS($A$15:A35)+$B$3)),INDEX(orderHistory[lock_goods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lock_goods],SMALL(IF(ISNUMBER(MATCH(orderHistory[customer],$D$9,0)*MATCH(orderHistory[status],$D$11,0)),MATCH(ROW(orderHistory[customer]),ROW(orderHistory[customer])),""),ROWS($A$15:A35)+$B$3)),INDEX(orderHistory[lock_goods],SMALL(IF(ISNUMBER(MATCH(orderHistory[customer],$D$9,0)*MATCH(orderHistory[status],$D$11,0)*MATCH(YEAR(orderHistory[payed]),$D$15,0)),MATCH(ROW(orderHistory[customer]),ROW(orderHistory[customer])),""),ROWS($A$15:A35)+$B$3))),IF($D$15="",INDEX(orderHistory[lock_goods],SMALL(IF(ISNUMBER(MATCH(orderHistory[customer],$D$9,0)*MATCH(orderHistory[status],$D$11,0)*MATCH(orderHistory[order_type],$D$13,0)),MATCH(ROW(orderHistory[customer]),ROW(orderHistory[customer])),""),ROWS($A$15:A35)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GOODS SENT</v>
      </c>
      <c r="T30" s="388" t="b">
        <f t="array" ref="T30">IFERROR(IF($D$9="",IF($D$11="",IF($D$13="",IF($D$15="",INDEX(orderHistory[payed],SMALL(MATCH(ROW(orderHistory[customer]),ROW(orderHistory[customer])),ROWS($A$15:A35)+$B$3)),INDEX(orderHistory[payed],SMALL(IF(ISNUMBER(MATCH(YEAR(orderHistory[invoice_date]),$D$15,0)),MATCH(ROW(orderHistory[customer]),ROW(orderHistory[customer])),""),ROWS($A$15:A35)+$B$3))),IF($D$15="",INDEX(orderHistory[payed],SMALL(IF(ISNUMBER(MATCH(orderHistory[order_type],$D$13,0)),MATCH(ROW(orderHistory[customer]),ROW(orderHistory[customer])),""),ROWS($A$15:A35)+$B$3)),INDEX(orderHistory[payed],SMALL(IF(ISNUMBER(MATCH(orderHistory[order_type],$D$13,0)*MATCH(YEAR(orderHistory[invoice_date]),$D$15,0)),MATCH(ROW(orderHistory[customer]),ROW(orderHistory[customer])),""),ROWS($A$15:A35)+$B$3)))),IF($D$13="",IF($D$15="",INDEX(orderHistory[payed],SMALL(IF(ISNUMBER(MATCH(orderHistory[status],$D$11,0)),MATCH(ROW(orderHistory[customer]),ROW(orderHistory[customer])),""),ROWS($A$15:A35)+$B$3)),INDEX(orderHistory[payed],SMALL(IF(ISNUMBER(MATCH(orderHistory[status],$D$11,0)*MATCH(YEAR(orderHistory[invoice_date]),$D$15,0)),MATCH(ROW(orderHistory[customer]),ROW(orderHistory[customer])),""),ROWS($A$15:A35)+$B$3))),IF($D$15="",INDEX(orderHistory[payed],SMALL(IF(ISNUMBER(MATCH(orderHistory[status],$D$11,0)*MATCH(orderHistory[order_type],$D$13,0)),MATCH(ROW(orderHistory[customer]),ROW(orderHistory[customer])),""),ROWS($A$15:A35)+$B$3)),INDEX(orderHistory[payed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payed],SMALL(IF(ISNUMBER(MATCH(orderHistory[customer],$D$9,0)),MATCH(ROW(orderHistory[customer]),ROW(orderHistory[customer])),""),ROWS($A$15:A35)+$B$3)),INDEX(orderHistory[payed],SMALL(IF(ISNUMBER(MATCH(orderHistory[customer],$D$9,0)*MATCH(YEAR(orderHistory[invoice_date]),$D$15,0)),MATCH(ROW(orderHistory[customer]),ROW(orderHistory[customer])),""),ROWS($A$15:A35)+$B$3))),IF($D$15="",INDEX(orderHistory[payed],SMALL(IF(ISNUMBER(MATCH(orderHistory[customer],$D$9,0)*MATCH(orderHistory[order_type],$D$13,0)),MATCH(ROW(orderHistory[customer]),ROW(orderHistory[customer])),""),ROWS($A$15:A35)+$B$3)),INDEX(orderHistory[payed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payed],SMALL(IF(ISNUMBER(MATCH(orderHistory[customer],$D$9,0)*MATCH(orderHistory[status],$D$11,0)),MATCH(ROW(orderHistory[customer]),ROW(orderHistory[customer])),""),ROWS($A$15:A35)+$B$3)),INDEX(orderHistory[payed],SMALL(IF(ISNUMBER(MATCH(orderHistory[customer],$D$9,0)*MATCH(orderHistory[status],$D$11,0)*MATCH(YEAR(orderHistory[payed]),$D$15,0)),MATCH(ROW(orderHistory[customer]),ROW(orderHistory[customer])),""),ROWS($A$15:A35)+$B$3))),IF($D$15="",INDEX(orderHistory[payed],SMALL(IF(ISNUMBER(MATCH(orderHistory[customer],$D$9,0)*MATCH(orderHistory[status],$D$11,0)*MATCH(orderHistory[order_type],$D$13,0)),MATCH(ROW(orderHistory[customer]),ROW(orderHistory[customer])),""),ROWS($A$15:A35)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1</v>
      </c>
      <c r="U30" s="383" t="str">
        <f t="array" ref="U30">IFERROR(IF($D$9="",IF($D$11="",IF($D$13="",IF($D$15="",INDEX(orderHistory[shipping_method],SMALL(MATCH(ROW(orderHistory[customer]),ROW(orderHistory[customer])),ROWS($A$15:A35)+$B$3)),INDEX(orderHistory[shipping_method],SMALL(IF(ISNUMBER(MATCH(YEAR(orderHistory[invoice_date]),$D$15,0)),MATCH(ROW(orderHistory[customer]),ROW(orderHistory[customer])),""),ROWS($A$15:A35)+$B$3))),IF($D$15="",INDEX(orderHistory[shipping_method],SMALL(IF(ISNUMBER(MATCH(orderHistory[order_type],$D$13,0)),MATCH(ROW(orderHistory[customer]),ROW(orderHistory[customer])),""),ROWS($A$15:A35)+$B$3)),INDEX(orderHistory[shipping_method],SMALL(IF(ISNUMBER(MATCH(orderHistory[order_type],$D$13,0)*MATCH(YEAR(orderHistory[invoice_date]),$D$15,0)),MATCH(ROW(orderHistory[customer]),ROW(orderHistory[customer])),""),ROWS($A$15:A35)+$B$3)))),IF($D$13="",IF($D$15="",INDEX(orderHistory[shipping_method],SMALL(IF(ISNUMBER(MATCH(orderHistory[status],$D$11,0)),MATCH(ROW(orderHistory[customer]),ROW(orderHistory[customer])),""),ROWS($A$15:A35)+$B$3)),INDEX(orderHistory[shipping_method],SMALL(IF(ISNUMBER(MATCH(orderHistory[status],$D$11,0)*MATCH(YEAR(orderHistory[invoice_date]),$D$15,0)),MATCH(ROW(orderHistory[customer]),ROW(orderHistory[customer])),""),ROWS($A$15:A35)+$B$3))),IF($D$15="",INDEX(orderHistory[shipping_method],SMALL(IF(ISNUMBER(MATCH(orderHistory[status],$D$11,0)*MATCH(orderHistory[order_type],$D$13,0)),MATCH(ROW(orderHistory[customer]),ROW(orderHistory[customer])),""),ROWS($A$15:A35)+$B$3)),INDEX(orderHistory[shipping_method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shipping_method],SMALL(IF(ISNUMBER(MATCH(orderHistory[customer],$D$9,0)),MATCH(ROW(orderHistory[customer]),ROW(orderHistory[customer])),""),ROWS($A$15:A35)+$B$3)),INDEX(orderHistory[shipping_method],SMALL(IF(ISNUMBER(MATCH(orderHistory[customer],$D$9,0)*MATCH(YEAR(orderHistory[invoice_date]),$D$15,0)),MATCH(ROW(orderHistory[customer]),ROW(orderHistory[customer])),""),ROWS($A$15:A35)+$B$3))),IF($D$15="",INDEX(orderHistory[shipping_method],SMALL(IF(ISNUMBER(MATCH(orderHistory[customer],$D$9,0)*MATCH(orderHistory[order_type],$D$13,0)),MATCH(ROW(orderHistory[customer]),ROW(orderHistory[customer])),""),ROWS($A$15:A35)+$B$3)),INDEX(orderHistory[shipping_method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shipping_method],SMALL(IF(ISNUMBER(MATCH(orderHistory[customer],$D$9,0)*MATCH(orderHistory[status],$D$11,0)),MATCH(ROW(orderHistory[customer]),ROW(orderHistory[customer])),""),ROWS($A$15:A35)+$B$3)),INDEX(orderHistory[shipping_method],SMALL(IF(ISNUMBER(MATCH(orderHistory[customer],$D$9,0)*MATCH(orderHistory[status],$D$11,0)*MATCH(YEAR(orderHistory[shipping_method]),$D$15,0)),MATCH(ROW(orderHistory[customer]),ROW(orderHistory[customer])),""),ROWS($A$15:A35)+$B$3))),IF($D$15="",INDEX(orderHistory[shipping_method],SMALL(IF(ISNUMBER(MATCH(orderHistory[customer],$D$9,0)*MATCH(orderHistory[status],$D$11,0)*MATCH(orderHistory[order_type],$D$13,0)),MATCH(ROW(orderHistory[customer]),ROW(orderHistory[customer])),""),ROWS($A$15:A35)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BY ROAD</v>
      </c>
      <c r="V30" s="388" t="str">
        <f t="array" ref="V30">IFERROR(IF($D$9="",IF($D$11="",IF($D$13="",IF($D$15="",INDEX(orderHistory[status],SMALL(MATCH(ROW(orderHistory[customer]),ROW(orderHistory[customer])),ROWS($A$15:A35)+$B$3)),INDEX(orderHistory[status],SMALL(IF(ISNUMBER(MATCH(YEAR(orderHistory[invoice_date]),$D$15,0)),MATCH(ROW(orderHistory[customer]),ROW(orderHistory[customer])),""),ROWS($A$15:A35)+$B$3))),IF($D$15="",INDEX(orderHistory[status],SMALL(IF(ISNUMBER(MATCH(orderHistory[order_type],$D$13,0)),MATCH(ROW(orderHistory[customer]),ROW(orderHistory[customer])),""),ROWS($A$15:A35)+$B$3)),INDEX(orderHistory[status],SMALL(IF(ISNUMBER(MATCH(orderHistory[order_type],$D$13,0)*MATCH(YEAR(orderHistory[invoice_date]),$D$15,0)),MATCH(ROW(orderHistory[customer]),ROW(orderHistory[customer])),""),ROWS($A$15:A35)+$B$3)))),IF($D$13="",IF($D$15="",INDEX(orderHistory[status],SMALL(IF(ISNUMBER(MATCH(orderHistory[status],$D$11,0)),MATCH(ROW(orderHistory[customer]),ROW(orderHistory[customer])),""),ROWS($A$15:A35)+$B$3)),INDEX(orderHistory[status],SMALL(IF(ISNUMBER(MATCH(orderHistory[status],$D$11,0)*MATCH(YEAR(orderHistory[invoice_date]),$D$15,0)),MATCH(ROW(orderHistory[customer]),ROW(orderHistory[customer])),""),ROWS($A$15:A35)+$B$3))),IF($D$15="",INDEX(orderHistory[status],SMALL(IF(ISNUMBER(MATCH(orderHistory[status],$D$11,0)*MATCH(orderHistory[order_type],$D$13,0)),MATCH(ROW(orderHistory[customer]),ROW(orderHistory[customer])),""),ROWS($A$15:A35)+$B$3)),INDEX(orderHistory[status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status],SMALL(IF(ISNUMBER(MATCH(orderHistory[customer],$D$9,0)),MATCH(ROW(orderHistory[customer]),ROW(orderHistory[customer])),""),ROWS($A$15:A35)+$B$3)),INDEX(orderHistory[status],SMALL(IF(ISNUMBER(MATCH(orderHistory[customer],$D$9,0)*MATCH(YEAR(orderHistory[invoice_date]),$D$15,0)),MATCH(ROW(orderHistory[customer]),ROW(orderHistory[customer])),""),ROWS($A$15:A35)+$B$3))),IF($D$15="",INDEX(orderHistory[status],SMALL(IF(ISNUMBER(MATCH(orderHistory[customer],$D$9,0)*MATCH(orderHistory[order_type],$D$13,0)),MATCH(ROW(orderHistory[customer]),ROW(orderHistory[customer])),""),ROWS($A$15:A35)+$B$3)),INDEX(orderHistory[status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status],SMALL(IF(ISNUMBER(MATCH(orderHistory[customer],$D$9,0)*MATCH(orderHistory[status],$D$11,0)),MATCH(ROW(orderHistory[customer]),ROW(orderHistory[customer])),""),ROWS($A$15:A35)+$B$3)),INDEX(orderHistory[status],SMALL(IF(ISNUMBER(MATCH(orderHistory[customer],$D$9,0)*MATCH(orderHistory[status],$D$11,0)*MATCH(YEAR(orderHistory[status]),$D$15,0)),MATCH(ROW(orderHistory[customer]),ROW(orderHistory[customer])),""),ROWS($A$15:A35)+$B$3))),IF($D$15="",INDEX(orderHistory[status],SMALL(IF(ISNUMBER(MATCH(orderHistory[customer],$D$9,0)*MATCH(orderHistory[status],$D$11,0)*MATCH(orderHistory[order_type],$D$13,0)),MATCH(ROW(orderHistory[customer]),ROW(orderHistory[customer])),""),ROWS($A$15:A35)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SHIPPED</v>
      </c>
      <c r="W30" s="547" t="str">
        <f t="array" ref="W30">IFERROR(IF($D$9="",IF($D$11="",IF($D$13="",IF($D$15="",INDEX(orderHistory[custom_docs],SMALL(MATCH(ROW(orderHistory[customer]),ROW(orderHistory[customer])),ROWS($A$15:A35)+$B$3)),INDEX(orderHistory[custom_docs],SMALL(IF(ISNUMBER(MATCH(YEAR(orderHistory[invoice_date]),$D$15,0)),MATCH(ROW(orderHistory[customer]),ROW(orderHistory[customer])),""),ROWS($A$15:A35)+$B$3))),IF($D$15="",INDEX(orderHistory[custom_docs],SMALL(IF(ISNUMBER(MATCH(orderHistory[order_type],$D$13,0)),MATCH(ROW(orderHistory[customer]),ROW(orderHistory[customer])),""),ROWS($A$15:A35)+$B$3)),INDEX(orderHistory[custom_docs],SMALL(IF(ISNUMBER(MATCH(orderHistory[order_type],$D$13,0)*MATCH(YEAR(orderHistory[invoice_date]),$D$15,0)),MATCH(ROW(orderHistory[customer]),ROW(orderHistory[customer])),""),ROWS($A$15:A35)+$B$3)))),IF($D$13="",IF($D$15="",INDEX(orderHistory[custom_docs],SMALL(IF(ISNUMBER(MATCH(orderHistory[status],$D$11,0)),MATCH(ROW(orderHistory[customer]),ROW(orderHistory[customer])),""),ROWS($A$15:A35)+$B$3)),INDEX(orderHistory[custom_docs],SMALL(IF(ISNUMBER(MATCH(orderHistory[status],$D$11,0)*MATCH(YEAR(orderHistory[invoice_date]),$D$15,0)),MATCH(ROW(orderHistory[customer]),ROW(orderHistory[customer])),""),ROWS($A$15:A35)+$B$3))),IF($D$15="",INDEX(orderHistory[custom_docs],SMALL(IF(ISNUMBER(MATCH(orderHistory[status],$D$11,0)*MATCH(orderHistory[order_type],$D$13,0)),MATCH(ROW(orderHistory[customer]),ROW(orderHistory[customer])),""),ROWS($A$15:A35)+$B$3)),INDEX(orderHistory[custom_docs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custom_docs],SMALL(IF(ISNUMBER(MATCH(orderHistory[customer],$D$9,0)),MATCH(ROW(orderHistory[customer]),ROW(orderHistory[customer])),""),ROWS($A$15:A35)+$B$3)),INDEX(orderHistory[custom_docs],SMALL(IF(ISNUMBER(MATCH(orderHistory[customer],$D$9,0)*MATCH(YEAR(orderHistory[invoice_date]),$D$15,0)),MATCH(ROW(orderHistory[customer]),ROW(orderHistory[customer])),""),ROWS($A$15:A35)+$B$3))),IF($D$15="",INDEX(orderHistory[custom_docs],SMALL(IF(ISNUMBER(MATCH(orderHistory[customer],$D$9,0)*MATCH(orderHistory[order_type],$D$13,0)),MATCH(ROW(orderHistory[customer]),ROW(orderHistory[customer])),""),ROWS($A$15:A35)+$B$3)),INDEX(orderHistory[custom_docs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custom_docs],SMALL(IF(ISNUMBER(MATCH(orderHistory[customer],$D$9,0)*MATCH(orderHistory[status],$D$11,0)),MATCH(ROW(orderHistory[customer]),ROW(orderHistory[customer])),""),ROWS($A$15:A35)+$B$3)),INDEX(orderHistory[custom_docs],SMALL(IF(ISNUMBER(MATCH(orderHistory[customer],$D$9,0)*MATCH(orderHistory[status],$D$11,0)*MATCH(YEAR(orderHistory[status]),$D$15,0)),MATCH(ROW(orderHistory[customer]),ROW(orderHistory[customer])),""),ROWS($A$15:A35)+$B$3))),IF($D$15="",INDEX(orderHistory[custom_docs],SMALL(IF(ISNUMBER(MATCH(orderHistory[customer],$D$9,0)*MATCH(orderHistory[status],$D$11,0)*MATCH(orderHistory[order_type],$D$13,0)),MATCH(ROW(orderHistory[customer]),ROW(orderHistory[customer])),""),ROWS($A$15:A35)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OK</v>
      </c>
      <c r="AQ30" s="308"/>
      <c r="AR30" s="348"/>
      <c r="AS30" s="349"/>
      <c r="AT30" s="350"/>
      <c r="AU30" s="271"/>
      <c r="AW30" s="306"/>
      <c r="BB30" s="841"/>
      <c r="BC30" s="842"/>
      <c r="BD30" s="842"/>
      <c r="BE30" s="842"/>
      <c r="BF30" s="842"/>
      <c r="BG30" s="842"/>
      <c r="BH30" s="843"/>
      <c r="BJ30" s="271"/>
      <c r="BK30" s="296"/>
      <c r="BL30" s="297"/>
      <c r="BM30" s="298"/>
      <c r="BN30" s="297"/>
      <c r="BO30" s="298"/>
      <c r="BZ30" s="412"/>
      <c r="CA30" s="401" t="str">
        <f>IFERROR(IF(BZ30="","",INDEX(bhpc_data[description],MATCH(BZ30,bhpc_data[sku],0))),"")</f>
        <v/>
      </c>
      <c r="CB30" s="402"/>
      <c r="CC30" s="885"/>
      <c r="CD30" s="411"/>
      <c r="CE30" s="890"/>
      <c r="CF30" s="404"/>
      <c r="CG30" s="405" t="str">
        <f>IFERROR(ROUNDUP(CB30/INDEX(bhpc_data[units_per_carton],MATCH(BZ30,bhpc_data[sku],0)),0),"")</f>
        <v/>
      </c>
      <c r="CH30" s="406" t="str">
        <f>IFERROR(ROUNDUP(CD30/INDEX(bhpc_data[units_per_carton],MATCH(BZ30,bhpc_data[sku],0)),0),"")</f>
        <v/>
      </c>
      <c r="CI30" s="406" t="str">
        <f>IFERROR(ROUNDUP(CF30/INDEX(bhpc_data[units_per_carton],MATCH(BZ30,bhpc_data[sku])),0),"")</f>
        <v/>
      </c>
      <c r="CJ30" s="406" t="str">
        <f>IFERROR(((CB30+CD30+CF30)/INDEX(bhpc_data[units_per_carton],MATCH(BZ30,bhpc_data[sku],0)))*INDEX(bhpc_data[net_weight],MATCH(BZ30,bhpc_data[sku],0)),"")</f>
        <v/>
      </c>
      <c r="CK30" s="406" t="str">
        <f>IFERROR(((CB30+CD30+CF30)/INDEX(bhpc_data[units_per_carton],MATCH(BZ30,bhpc_data[sku],0)))*INDEX(bhpc_data[gross_weight],MATCH(BZ30,bhpc_data[sku],0)),"")</f>
        <v/>
      </c>
      <c r="CL30" s="602" t="str">
        <f>IFERROR((CB30+CD30+CF30)/INDEX(bhpc_data[units_per_carton],MATCH(BZ30,bhpc_data[sku],0))*INDEX(bhpc_data[length],MATCH(BZ30,bhpc_data[sku],0))*INDEX(bhpc_data[width],MATCH(BZ30,bhpc_data[sku],0))*INDEX(bhpc_data[height],MATCH(BZ30,bhpc_data[sku],0))/1000000000,"")</f>
        <v/>
      </c>
      <c r="CM30" s="407" t="str">
        <f>IFERROR(INDEX(bhpc_data[category],MATCH(BZ30,bhpc_data[sku],0)),"")</f>
        <v/>
      </c>
      <c r="CN30" s="407" t="str">
        <f>IFERROR(INDEX(bhpc_data[size],MATCH(BZ30,bhpc_data[sku],0)),"")</f>
        <v/>
      </c>
      <c r="CO30" s="408" t="str">
        <f>IFERROR(INDEX(bhpc_data[hs_code],MATCH(BZ30,bhpc_data[sku],0)),"")</f>
        <v/>
      </c>
      <c r="CP30" s="489" t="str">
        <f>IFERROR(INDEX(bhpc_data[sku_geko],MATCH(BZ30,bhpc_data[sku],0)),"")</f>
        <v/>
      </c>
      <c r="CQ30" s="404"/>
      <c r="CR30" s="516" t="str">
        <f>IFERROR(IF(BZ30="","",IF($BX$15="SALE",INDEX(inventory[COSTO UNITARIO],MATCH(BZ30,inventory[SKU],0)),IF($BX$15="SAMPLING",INDEX(inventory[COSTO UNITARIO],MATCH(BZ30,inventory[SKU],0)),""))),"")</f>
        <v/>
      </c>
      <c r="CS30" s="516" t="str">
        <f t="shared" si="5"/>
        <v/>
      </c>
      <c r="CT30" s="896" t="str">
        <f t="shared" si="6"/>
        <v/>
      </c>
      <c r="CU30" s="469" t="str">
        <f t="shared" si="0"/>
        <v/>
      </c>
      <c r="CW30" s="80"/>
      <c r="CX30" s="432" t="s">
        <v>1016</v>
      </c>
      <c r="CY30" s="457" t="str">
        <f>IF(INDEX(orderHistory[produced],MATCH($BX$11,orderHistory[order_no],0))=0,"",INDEX(orderHistory[produced],MATCH($BX$11,orderHistory[order_no],0)))</f>
        <v/>
      </c>
      <c r="CZ30" s="112"/>
      <c r="DA30" s="112"/>
      <c r="DB30" s="77"/>
      <c r="DH30" s="215"/>
      <c r="EE30" s="445" t="str" cm="1">
        <f t="array" ref="EE30">IFERROR(IF($EC$9="",IF($EC$11="",IF($EC$13="",INDEX(bhpc_data[sku],SMALL(MATCH(ROW(bhpc_data[sku]),ROW(bhpc_data[sku])),ROWS($A$15:A35)+$B$3)),INDEX(bhpc_data[sku],SMALL(IF(ISNUMBER(MATCH(bhpc_data[size],$EC$13,0)),MATCH(ROW(bhpc_data[sku]),ROW(bhpc_data[sku])),""),ROWS($A$15:A35)+$B$3))),IF($EC$13="",INDEX(bhpc_data[sku],SMALL(IF(ISNUMBER(MATCH(bhpc_data[sex],$EC$11,0)),MATCH(ROW(bhpc_data[sku]),ROW(bhpc_data[sku])),""),ROWS($A$15:A35)+$B$3)),INDEX(bhpc_data[sku],SMALL(IF(ISNUMBER(MATCH(bhpc_data[sex],$EC$11,0)*MATCH(bhpc_data[size],$EC$13,0)),MATCH(ROW(bhpc_data[sku]),ROW(bhpc_data[sku])),""),ROWS($A$15:A35)+$B$3)))),IF($EC$11="",IF($EC$13="",INDEX(bhpc_data[sku],SMALL(IF(ISNUMBER(MATCH(bhpc_data[category],$EC$9,0)),MATCH(ROW(bhpc_data[sku]),ROW(bhpc_data[sku])),""),ROWS($A$15:A35)+$B$3)),INDEX(bhpc_data[sku],SMALL(IF(ISNUMBER(MATCH(bhpc_data[category],$EC$9,0)*MATCH(bhpc_data[size],$EC$13,0)),MATCH(ROW(bhpc_data[sku]),ROW(bhpc_data[sku])),""),ROWS($A$15:A35)+$B$3))),IF($EC$13="",INDEX(bhpc_data[sku],SMALL(IF(ISNUMBER(MATCH(bhpc_data[category],$EC$9,0)*MATCH(bhpc_data[sex],$EC$11,0)),MATCH(ROW(bhpc_data[sku]),ROW(bhpc_data[sku])),""),ROWS($A$15:A35)+$B$3)),INDEX(bhpc_data[sku],SMALL(IF(ISNUMBER(MATCH(bhpc_data[category],$EC$9,0)*MATCH(bhpc_data[sex],$EC$11,0)*MATCH(bhpc_data[size],$EC$13,0)),MATCH(ROW(bhpc_data[sku]),ROW(bhpc_data[sku])),""),ROWS($A$15:A35)+$B$3))))),"")</f>
        <v>P05007</v>
      </c>
      <c r="EF30" s="446" t="str" cm="1">
        <f t="array" ref="EF30">IFERROR(IF($EC$9="",IF($EC$11="",IF($EC$13="",INDEX(bhpc_data[description],SMALL(MATCH(ROW(bhpc_data[sku]),ROW(bhpc_data[sku])),ROWS($A$15:A35)+$B$3)),INDEX(bhpc_data[description],SMALL(IF(ISNUMBER(MATCH(bhpc_data[size],$EC$13,0)),MATCH(ROW(bhpc_data[sku]),ROW(bhpc_data[sku])),""),ROWS($A$15:A35)+$B$3))),IF($EC$13="",INDEX(bhpc_data[description],SMALL(IF(ISNUMBER(MATCH(bhpc_data[sex],$EC$11,0)),MATCH(ROW(bhpc_data[sku]),ROW(bhpc_data[sku])),""),ROWS($A$15:A35)+$B$3)),INDEX(bhpc_data[description],SMALL(IF(ISNUMBER(MATCH(bhpc_data[sex],$EC$11,0)*MATCH(bhpc_data[size],$EC$13,0)),MATCH(ROW(bhpc_data[sku]),ROW(bhpc_data[sku])),""),ROWS($A$15:A35)+$B$3)))),IF($EC$11="",IF($EC$13="",INDEX(bhpc_data[description],SMALL(IF(ISNUMBER(MATCH(bhpc_data[category],$EC$9,0)),MATCH(ROW(bhpc_data[sku]),ROW(bhpc_data[sku])),""),ROWS($A$15:A35)+$B$3)),INDEX(bhpc_data[description],SMALL(IF(ISNUMBER(MATCH(bhpc_data[category],$EC$9,0)*MATCH(bhpc_data[size],$EC$13,0)),MATCH(ROW(bhpc_data[sku]),ROW(bhpc_data[sku])),""),ROWS($A$15:A35)+$B$3))),IF($EC$13="",INDEX(bhpc_data[description],SMALL(IF(ISNUMBER(MATCH(bhpc_data[category],$EC$9,0)*MATCH(bhpc_data[sex],$EC$11,0)),MATCH(ROW(bhpc_data[sku]),ROW(bhpc_data[sku])),""),ROWS($A$15:A35)+$B$3)),INDEX(bhpc_data[description],SMALL(IF(ISNUMBER(MATCH(bhpc_data[category],$EC$9,0)*MATCH(bhpc_data[sex],$EC$11,0)*MATCH(bhpc_data[size],$EC$13,0)),MATCH(ROW(bhpc_data[sku]),ROW(bhpc_data[sku])),""),ROWS($A$15:A35)+$B$3))))),"")</f>
        <v>BHPC SPORT MEN 2 EDT 100ML</v>
      </c>
      <c r="EG30" s="447">
        <f>IFERROR(IF('BHPC MANAGER'!$EE30="","",INDEX(inventory[ESISTENZA],MATCH('BHPC MANAGER'!$EE30,inventory[SKU],0))),0)</f>
        <v>9057</v>
      </c>
      <c r="EH30" s="448">
        <v>-4611</v>
      </c>
      <c r="EI30" s="448">
        <f t="shared" si="1"/>
        <v>4446</v>
      </c>
      <c r="EJ30" s="449">
        <v>-7</v>
      </c>
      <c r="EK30" s="450">
        <f t="shared" si="2"/>
        <v>4439</v>
      </c>
      <c r="FF30" s="263"/>
      <c r="FG30" s="263"/>
      <c r="FH30" s="263"/>
      <c r="FI30" s="263"/>
      <c r="FJ30" s="263"/>
      <c r="FK30" s="263"/>
      <c r="FL30" s="263"/>
      <c r="FM30" s="263"/>
      <c r="FN30" s="263"/>
      <c r="FO30" s="263"/>
      <c r="FP30" s="263"/>
      <c r="FQ30" s="263"/>
      <c r="FR30" s="263"/>
      <c r="FS30" s="263"/>
      <c r="FT30" s="263"/>
      <c r="FU30" s="263"/>
      <c r="FV30" s="263"/>
      <c r="FW30" s="263"/>
      <c r="FX30" s="263"/>
      <c r="FY30" s="263"/>
      <c r="FZ30" s="263"/>
      <c r="GA30" s="263"/>
      <c r="GB30" s="263"/>
      <c r="GC30" s="263"/>
      <c r="GD30" s="263"/>
      <c r="GE30" s="263"/>
      <c r="GF30" s="263"/>
      <c r="GG30" s="263"/>
      <c r="GH30" s="263"/>
      <c r="GI30" s="263"/>
      <c r="GJ30" s="263"/>
      <c r="GK30" s="263"/>
      <c r="GL30" s="263"/>
      <c r="GM30" s="263"/>
      <c r="GN30" s="263"/>
      <c r="GO30" s="263"/>
      <c r="GP30" s="263"/>
      <c r="GQ30" s="263"/>
      <c r="GR30" s="263"/>
      <c r="GS30" s="263"/>
      <c r="GT30" s="263"/>
      <c r="GU30" s="263"/>
      <c r="GV30" s="263"/>
      <c r="GW30" s="263"/>
      <c r="GX30" s="263"/>
      <c r="GY30" s="263"/>
      <c r="GZ30" s="263"/>
      <c r="HA30" s="263"/>
      <c r="HB30" s="263"/>
      <c r="HC30" s="263"/>
      <c r="HD30" s="263"/>
      <c r="HE30" s="263"/>
      <c r="HF30" s="263"/>
      <c r="HG30" s="263"/>
      <c r="HH30" s="263"/>
      <c r="HI30" s="263"/>
      <c r="HJ30" s="263"/>
      <c r="HK30" s="263"/>
      <c r="HL30" s="263"/>
      <c r="HM30" s="263"/>
      <c r="HN30" s="263"/>
      <c r="HO30" s="263"/>
      <c r="HP30" s="263"/>
      <c r="HQ30" s="263"/>
      <c r="HR30" s="263"/>
      <c r="HS30" s="263"/>
      <c r="HT30" s="263"/>
    </row>
    <row r="31" spans="1:228" ht="15" customHeight="1" x14ac:dyDescent="0.35">
      <c r="F31" s="91"/>
      <c r="G31" s="76" t="s">
        <v>997</v>
      </c>
      <c r="H31" s="76"/>
      <c r="I31" s="76"/>
      <c r="J31" s="77"/>
      <c r="L31" s="381" t="str">
        <f t="array" ref="L31">IFERROR(IF($D$9="",IF($D$11="",IF($D$13="",IF($D$15="",INDEX(orderHistory[customer],SMALL(MATCH(ROW(orderHistory[customer]),ROW(orderHistory[customer])),ROWS($A$15:A36)+$B$3)),INDEX(orderHistory[customer],SMALL(IF(ISNUMBER(MATCH(YEAR(orderHistory[invoice_date]),$D$15,0)),MATCH(ROW(orderHistory[customer]),ROW(orderHistory[customer])),""),ROWS($A$15:A36)+$B$3))),IF($D$15="",INDEX(orderHistory[customer],SMALL(IF(ISNUMBER(MATCH(orderHistory[order_type],$D$13,0)),MATCH(ROW(orderHistory[customer]),ROW(orderHistory[customer])),""),ROWS($A$15:A36)+$B$3)),INDEX(orderHistory[customer],SMALL(IF(ISNUMBER(MATCH(orderHistory[order_type],$D$13,0)*MATCH(YEAR(orderHistory[invoice_date]),$D$15,0)),MATCH(ROW(orderHistory[customer]),ROW(orderHistory[customer])),""),ROWS($A$15:A36)+$B$3)))),IF($D$13="",IF($D$15="",INDEX(orderHistory[customer],SMALL(IF(ISNUMBER(MATCH(orderHistory[status],$D$11,0)),MATCH(ROW(orderHistory[customer]),ROW(orderHistory[customer])),""),ROWS($A$15:A36)+$B$3)),INDEX(orderHistory[customer],SMALL(IF(ISNUMBER(MATCH(orderHistory[status],$D$11,0)*MATCH(YEAR(orderHistory[invoice_date]),$D$15,0)),MATCH(ROW(orderHistory[customer]),ROW(orderHistory[customer])),""),ROWS($A$15:A36)+$B$3))),IF($D$15="",INDEX(orderHistory[customer],SMALL(IF(ISNUMBER(MATCH(orderHistory[status],$D$11,0)*MATCH(orderHistory[order_type],$D$13,0)),MATCH(ROW(orderHistory[customer]),ROW(orderHistory[customer])),""),ROWS($A$15:A36)+$B$3)),INDEX(orderHistory[customer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customer],SMALL(IF(ISNUMBER(MATCH(orderHistory[customer],$D$9,0)),MATCH(ROW(orderHistory[customer]),ROW(orderHistory[customer])),""),ROWS($A$15:A36)+$B$3)),INDEX(orderHistory[customer],SMALL(IF(ISNUMBER(MATCH(orderHistory[customer],$D$9,0)*MATCH(YEAR(orderHistory[invoice_date]),$D$15,0)),MATCH(ROW(orderHistory[customer]),ROW(orderHistory[customer])),""),ROWS($A$15:A36)+$B$3))),IF($D$15="",INDEX(orderHistory[customer],SMALL(IF(ISNUMBER(MATCH(orderHistory[customer],$D$9,0)*MATCH(orderHistory[order_type],$D$13,0)),MATCH(ROW(orderHistory[customer]),ROW(orderHistory[customer])),""),ROWS($A$15:A36)+$B$3)),INDEX(orderHistory[customer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customer],SMALL(IF(ISNUMBER(MATCH(orderHistory[customer],$D$9,0)*MATCH(orderHistory[status],$D$11,0)),MATCH(ROW(orderHistory[customer]),ROW(orderHistory[customer])),""),ROWS($A$15:A36)+$B$3)),INDEX(orderHistory[customer],SMALL(IF(ISNUMBER(MATCH(orderHistory[customer],$D$9,0)*MATCH(orderHistory[status],$D$11,0)*MATCH(YEAR(orderHistory[invoice_date]),$D$15,0)),MATCH(ROW(orderHistory[customer]),ROW(orderHistory[customer])),""),ROWS($A$15:A36)+$B$3))),IF($D$15="",INDEX(orderHistory[customer],SMALL(IF(ISNUMBER(MATCH(orderHistory[customer],$D$9,0)*MATCH(orderHistory[status],$D$11,0)*MATCH(orderHistory[order_type],$D$13,0)),MATCH(ROW(orderHistory[customer]),ROW(orderHistory[customer])),""),ROWS($A$15:A36)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BHPC DUBAI</v>
      </c>
      <c r="M31" s="382">
        <f t="array" ref="M31">IFERROR(IF($D$9="",IF($D$11="",IF($D$13="",IF($D$15="",INDEX(orderHistory[order_no],SMALL(MATCH(ROW(orderHistory[customer]),ROW(orderHistory[customer])),ROWS($A$15:A36)+$B$3)),INDEX(orderHistory[order_no],SMALL(IF(ISNUMBER(MATCH(YEAR(orderHistory[invoice_date]),$D$15,0)),MATCH(ROW(orderHistory[customer]),ROW(orderHistory[customer])),""),ROWS($A$15:A36)+$B$3))),IF($D$15="",INDEX(orderHistory[order_no],SMALL(IF(ISNUMBER(MATCH(orderHistory[order_type],$D$13,0)),MATCH(ROW(orderHistory[customer]),ROW(orderHistory[customer])),""),ROWS($A$15:A36)+$B$3)),INDEX(orderHistory[order_no],SMALL(IF(ISNUMBER(MATCH(orderHistory[order_type],$D$13,0)*MATCH(YEAR(orderHistory[invoice_date]),$D$15,0)),MATCH(ROW(orderHistory[customer]),ROW(orderHistory[customer])),""),ROWS($A$15:A36)+$B$3)))),IF($D$13="",IF($D$15="",INDEX(orderHistory[order_no],SMALL(IF(ISNUMBER(MATCH(orderHistory[status],$D$11,0)),MATCH(ROW(orderHistory[customer]),ROW(orderHistory[customer])),""),ROWS($A$15:A36)+$B$3)),INDEX(orderHistory[order_no],SMALL(IF(ISNUMBER(MATCH(orderHistory[status],$D$11,0)*MATCH(YEAR(orderHistory[invoice_date]),$D$15,0)),MATCH(ROW(orderHistory[customer]),ROW(orderHistory[customer])),""),ROWS($A$15:A36)+$B$3))),IF($D$15="",INDEX(orderHistory[order_no],SMALL(IF(ISNUMBER(MATCH(orderHistory[status],$D$11,0)*MATCH(orderHistory[order_type],$D$13,0)),MATCH(ROW(orderHistory[customer]),ROW(orderHistory[customer])),""),ROWS($A$15:A36)+$B$3)),INDEX(orderHistory[order_no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order_no],SMALL(IF(ISNUMBER(MATCH(orderHistory[customer],$D$9,0)),MATCH(ROW(orderHistory[customer]),ROW(orderHistory[customer])),""),ROWS($A$15:A36)+$B$3)),INDEX(orderHistory[order_no],SMALL(IF(ISNUMBER(MATCH(orderHistory[customer],$D$9,0)*MATCH(YEAR(orderHistory[invoice_date]),$D$15,0)),MATCH(ROW(orderHistory[customer]),ROW(orderHistory[customer])),""),ROWS($A$15:A36)+$B$3))),IF($D$15="",INDEX(orderHistory[order_no],SMALL(IF(ISNUMBER(MATCH(orderHistory[customer],$D$9,0)*MATCH(orderHistory[order_type],$D$13,0)),MATCH(ROW(orderHistory[customer]),ROW(orderHistory[customer])),""),ROWS($A$15:A36)+$B$3)),INDEX(orderHistory[order_no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order_no],SMALL(IF(ISNUMBER(MATCH(orderHistory[customer],$D$9,0)*MATCH(orderHistory[status],$D$11,0)),MATCH(ROW(orderHistory[customer]),ROW(orderHistory[customer])),""),ROWS($A$15:A36)+$B$3)),INDEX(orderHistory[order_no],SMALL(IF(ISNUMBER(MATCH(orderHistory[customer],$D$9,0)*MATCH(orderHistory[status],$D$11,0)*MATCH(YEAR(orderHistory[invoice_date]),$D$15,0)),MATCH(ROW(orderHistory[customer]),ROW(orderHistory[customer])),""),ROWS($A$15:A36)+$B$3))),IF($D$15="",INDEX(orderHistory[order_no],SMALL(IF(ISNUMBER(MATCH(orderHistory[customer],$D$9,0)*MATCH(orderHistory[status],$D$11,0)*MATCH(orderHistory[order_type],$D$13,0)),MATCH(ROW(orderHistory[customer]),ROW(orderHistory[customer])),""),ROWS($A$15:A36)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51</v>
      </c>
      <c r="N31" s="383" t="str">
        <f t="array" ref="N31">IFERROR(IF($D$9="",IF($D$11="",IF($D$13="",IF($D$15="",INDEX(orderHistory[order_type],SMALL(MATCH(ROW(orderHistory[customer]),ROW(orderHistory[customer])),ROWS($A$15:A36)+$B$3)),INDEX(orderHistory[order_type],SMALL(IF(ISNUMBER(MATCH(YEAR(orderHistory[invoice_date]),$D$15,0)),MATCH(ROW(orderHistory[customer]),ROW(orderHistory[customer])),""),ROWS($A$15:A36)+$B$3))),IF($D$15="",INDEX(orderHistory[order_type],SMALL(IF(ISNUMBER(MATCH(orderHistory[order_type],$D$13,0)),MATCH(ROW(orderHistory[customer]),ROW(orderHistory[customer])),""),ROWS($A$15:A36)+$B$3)),INDEX(orderHistory[order_type],SMALL(IF(ISNUMBER(MATCH(orderHistory[order_type],$D$13,0)*MATCH(YEAR(orderHistory[invoice_date]),$D$15,0)),MATCH(ROW(orderHistory[customer]),ROW(orderHistory[customer])),""),ROWS($A$15:A36)+$B$3)))),IF($D$13="",IF($D$15="",INDEX(orderHistory[order_type],SMALL(IF(ISNUMBER(MATCH(orderHistory[status],$D$11,0)),MATCH(ROW(orderHistory[customer]),ROW(orderHistory[customer])),""),ROWS($A$15:A36)+$B$3)),INDEX(orderHistory[order_type],SMALL(IF(ISNUMBER(MATCH(orderHistory[status],$D$11,0)*MATCH(YEAR(orderHistory[invoice_date]),$D$15,0)),MATCH(ROW(orderHistory[customer]),ROW(orderHistory[customer])),""),ROWS($A$15:A36)+$B$3))),IF($D$15="",INDEX(orderHistory[order_type],SMALL(IF(ISNUMBER(MATCH(orderHistory[status],$D$11,0)*MATCH(orderHistory[order_type],$D$13,0)),MATCH(ROW(orderHistory[customer]),ROW(orderHistory[customer])),""),ROWS($A$15:A36)+$B$3)),INDEX(orderHistory[order_type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order_type],SMALL(IF(ISNUMBER(MATCH(orderHistory[customer],$D$9,0)),MATCH(ROW(orderHistory[customer]),ROW(orderHistory[customer])),""),ROWS($A$15:A36)+$B$3)),INDEX(orderHistory[order_type],SMALL(IF(ISNUMBER(MATCH(orderHistory[customer],$D$9,0)*MATCH(YEAR(orderHistory[invoice_date]),$D$15,0)),MATCH(ROW(orderHistory[customer]),ROW(orderHistory[customer])),""),ROWS($A$15:A36)+$B$3))),IF($D$15="",INDEX(orderHistory[order_type],SMALL(IF(ISNUMBER(MATCH(orderHistory[customer],$D$9,0)*MATCH(orderHistory[order_type],$D$13,0)),MATCH(ROW(orderHistory[customer]),ROW(orderHistory[customer])),""),ROWS($A$15:A36)+$B$3)),INDEX(orderHistory[order_type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order_type],SMALL(IF(ISNUMBER(MATCH(orderHistory[customer],$D$9,0)*MATCH(orderHistory[status],$D$11,0)),MATCH(ROW(orderHistory[customer]),ROW(orderHistory[customer])),""),ROWS($A$15:A36)+$B$3)),INDEX(orderHistory[order_type],SMALL(IF(ISNUMBER(MATCH(orderHistory[customer],$D$9,0)*MATCH(orderHistory[status],$D$11,0)*MATCH(YEAR(orderHistory[invoice_date]),$D$15,0)),MATCH(ROW(orderHistory[customer]),ROW(orderHistory[customer])),""),ROWS($A$15:A36)+$B$3))),IF($D$15="",INDEX(orderHistory[order_type],SMALL(IF(ISNUMBER(MATCH(orderHistory[customer],$D$9,0)*MATCH(orderHistory[status],$D$11,0)*MATCH(orderHistory[order_type],$D$13,0)),MATCH(ROW(orderHistory[customer]),ROW(orderHistory[customer])),""),ROWS($A$15:A36)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SALE</v>
      </c>
      <c r="O31" s="384">
        <f t="array" ref="O31">IFERROR(IF($D$9="",IF($D$11="",IF($D$13="",IF($D$15="",INDEX(orderHistory[order_date],SMALL(MATCH(ROW(orderHistory[customer]),ROW(orderHistory[customer])),ROWS($A$15:A36)+$B$3)),INDEX(orderHistory[order_date],SMALL(IF(ISNUMBER(MATCH(YEAR(orderHistory[invoice_date]),$D$15,0)),MATCH(ROW(orderHistory[customer]),ROW(orderHistory[customer])),""),ROWS($A$15:A36)+$B$3))),IF($D$15="",INDEX(orderHistory[order_date],SMALL(IF(ISNUMBER(MATCH(orderHistory[order_type],$D$13,0)),MATCH(ROW(orderHistory[customer]),ROW(orderHistory[customer])),""),ROWS($A$15:A36)+$B$3)),INDEX(orderHistory[order_date],SMALL(IF(ISNUMBER(MATCH(orderHistory[order_type],$D$13,0)*MATCH(YEAR(orderHistory[invoice_date]),$D$15,0)),MATCH(ROW(orderHistory[customer]),ROW(orderHistory[customer])),""),ROWS($A$15:A36)+$B$3)))),IF($D$13="",IF($D$15="",INDEX(orderHistory[order_date],SMALL(IF(ISNUMBER(MATCH(orderHistory[status],$D$11,0)),MATCH(ROW(orderHistory[customer]),ROW(orderHistory[customer])),""),ROWS($A$15:A36)+$B$3)),INDEX(orderHistory[order_date],SMALL(IF(ISNUMBER(MATCH(orderHistory[status],$D$11,0)*MATCH(YEAR(orderHistory[invoice_date]),$D$15,0)),MATCH(ROW(orderHistory[customer]),ROW(orderHistory[customer])),""),ROWS($A$15:A36)+$B$3))),IF($D$15="",INDEX(orderHistory[order_date],SMALL(IF(ISNUMBER(MATCH(orderHistory[status],$D$11,0)*MATCH(orderHistory[order_type],$D$13,0)),MATCH(ROW(orderHistory[customer]),ROW(orderHistory[customer])),""),ROWS($A$15:A36)+$B$3)),INDEX(orderHistory[order_date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order_date],SMALL(IF(ISNUMBER(MATCH(orderHistory[customer],$D$9,0)),MATCH(ROW(orderHistory[customer]),ROW(orderHistory[customer])),""),ROWS($A$15:A36)+$B$3)),INDEX(orderHistory[order_date],SMALL(IF(ISNUMBER(MATCH(orderHistory[customer],$D$9,0)*MATCH(YEAR(orderHistory[invoice_date]),$D$15,0)),MATCH(ROW(orderHistory[customer]),ROW(orderHistory[customer])),""),ROWS($A$15:A36)+$B$3))),IF($D$15="",INDEX(orderHistory[order_date],SMALL(IF(ISNUMBER(MATCH(orderHistory[customer],$D$9,0)*MATCH(orderHistory[order_type],$D$13,0)),MATCH(ROW(orderHistory[customer]),ROW(orderHistory[customer])),""),ROWS($A$15:A36)+$B$3)),INDEX(orderHistory[order_date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order_date],SMALL(IF(ISNUMBER(MATCH(orderHistory[customer],$D$9,0)*MATCH(orderHistory[status],$D$11,0)),MATCH(ROW(orderHistory[customer]),ROW(orderHistory[customer])),""),ROWS($A$15:A36)+$B$3)),INDEX(orderHistory[order_date],SMALL(IF(ISNUMBER(MATCH(orderHistory[customer],$D$9,0)*MATCH(orderHistory[status],$D$11,0)*MATCH(YEAR(orderHistory[invoice_date]),$D$15,0)),MATCH(ROW(orderHistory[customer]),ROW(orderHistory[customer])),""),ROWS($A$15:A36)+$B$3))),IF($D$15="",INDEX(orderHistory[order_date],SMALL(IF(ISNUMBER(MATCH(orderHistory[customer],$D$9,0)*MATCH(orderHistory[status],$D$11,0)*MATCH(orderHistory[order_type],$D$13,0)),MATCH(ROW(orderHistory[customer]),ROW(orderHistory[customer])),""),ROWS($A$15:A36)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45433</v>
      </c>
      <c r="P31" s="385" t="str">
        <f t="array" ref="P31">IFERROR(IF($D$9="",IF($D$11="",IF($D$13="",IF($D$15="",INDEX(orderHistory[invoice_no],SMALL(MATCH(ROW(orderHistory[customer]),ROW(orderHistory[customer])),ROWS($A$15:A36)+$B$3)),INDEX(orderHistory[invoice_no],SMALL(IF(ISNUMBER(MATCH(YEAR(orderHistory[invoice_date]),$D$15,0)),MATCH(ROW(orderHistory[customer]),ROW(orderHistory[customer])),""),ROWS($A$15:A36)+$B$3))),IF($D$15="",INDEX(orderHistory[invoice_no],SMALL(IF(ISNUMBER(MATCH(orderHistory[order_type],$D$13,0)),MATCH(ROW(orderHistory[customer]),ROW(orderHistory[customer])),""),ROWS($A$15:A36)+$B$3)),INDEX(orderHistory[invoice_no],SMALL(IF(ISNUMBER(MATCH(orderHistory[order_type],$D$13,0)*MATCH(YEAR(orderHistory[invoice_date]),$D$15,0)),MATCH(ROW(orderHistory[customer]),ROW(orderHistory[customer])),""),ROWS($A$15:A36)+$B$3)))),IF($D$13="",IF($D$15="",INDEX(orderHistory[invoice_no],SMALL(IF(ISNUMBER(MATCH(orderHistory[status],$D$11,0)),MATCH(ROW(orderHistory[customer]),ROW(orderHistory[customer])),""),ROWS($A$15:A36)+$B$3)),INDEX(orderHistory[invoice_no],SMALL(IF(ISNUMBER(MATCH(orderHistory[status],$D$11,0)*MATCH(YEAR(orderHistory[invoice_date]),$D$15,0)),MATCH(ROW(orderHistory[customer]),ROW(orderHistory[customer])),""),ROWS($A$15:A36)+$B$3))),IF($D$15="",INDEX(orderHistory[invoice_no],SMALL(IF(ISNUMBER(MATCH(orderHistory[status],$D$11,0)*MATCH(orderHistory[order_type],$D$13,0)),MATCH(ROW(orderHistory[customer]),ROW(orderHistory[customer])),""),ROWS($A$15:A36)+$B$3)),INDEX(orderHistory[invoice_no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invoice_no],SMALL(IF(ISNUMBER(MATCH(orderHistory[customer],$D$9,0)),MATCH(ROW(orderHistory[customer]),ROW(orderHistory[customer])),""),ROWS($A$15:A36)+$B$3)),INDEX(orderHistory[invoice_no],SMALL(IF(ISNUMBER(MATCH(orderHistory[customer],$D$9,0)*MATCH(YEAR(orderHistory[invoice_date]),$D$15,0)),MATCH(ROW(orderHistory[customer]),ROW(orderHistory[customer])),""),ROWS($A$15:A36)+$B$3))),IF($D$15="",INDEX(orderHistory[invoice_no],SMALL(IF(ISNUMBER(MATCH(orderHistory[customer],$D$9,0)*MATCH(orderHistory[order_type],$D$13,0)),MATCH(ROW(orderHistory[customer]),ROW(orderHistory[customer])),""),ROWS($A$15:A36)+$B$3)),INDEX(orderHistory[invoice_no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invoice_no],SMALL(IF(ISNUMBER(MATCH(orderHistory[customer],$D$9,0)*MATCH(orderHistory[status],$D$11,0)),MATCH(ROW(orderHistory[customer]),ROW(orderHistory[customer])),""),ROWS($A$15:A36)+$B$3)),INDEX(orderHistory[invoice_no],SMALL(IF(ISNUMBER(MATCH(orderHistory[customer],$D$9,0)*MATCH(orderHistory[status],$D$11,0)*MATCH(YEAR(orderHistory[invoice_date]),$D$15,0)),MATCH(ROW(orderHistory[customer]),ROW(orderHistory[customer])),""),ROWS($A$15:A36)+$B$3))),IF($D$15="",INDEX(orderHistory[invoice_no],SMALL(IF(ISNUMBER(MATCH(orderHistory[customer],$D$9,0)*MATCH(orderHistory[status],$D$11,0)*MATCH(orderHistory[order_type],$D$13,0)),MATCH(ROW(orderHistory[customer]),ROW(orderHistory[customer])),""),ROWS($A$15:A36)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190</v>
      </c>
      <c r="Q31" s="386">
        <f t="array" ref="Q31">IFERROR(IF($D$9="",IF($D$11="",IF($D$13="",IF($D$15="",INDEX(orderHistory[invoice_date],SMALL(MATCH(ROW(orderHistory[customer]),ROW(orderHistory[customer])),ROWS($A$15:A36)+$B$3)),INDEX(orderHistory[invoice_date],SMALL(IF(ISNUMBER(MATCH(YEAR(orderHistory[invoice_date]),$D$15,0)),MATCH(ROW(orderHistory[customer]),ROW(orderHistory[customer])),""),ROWS($A$15:A36)+$B$3))),IF($D$15="",INDEX(orderHistory[invoice_date],SMALL(IF(ISNUMBER(MATCH(orderHistory[order_type],$D$13,0)),MATCH(ROW(orderHistory[customer]),ROW(orderHistory[customer])),""),ROWS($A$15:A36)+$B$3)),INDEX(orderHistory[invoice_date],SMALL(IF(ISNUMBER(MATCH(orderHistory[order_type],$D$13,0)*MATCH(YEAR(orderHistory[invoice_date]),$D$15,0)),MATCH(ROW(orderHistory[customer]),ROW(orderHistory[customer])),""),ROWS($A$15:A36)+$B$3)))),IF($D$13="",IF($D$15="",INDEX(orderHistory[invoice_date],SMALL(IF(ISNUMBER(MATCH(orderHistory[status],$D$11,0)),MATCH(ROW(orderHistory[customer]),ROW(orderHistory[customer])),""),ROWS($A$15:A36)+$B$3)),INDEX(orderHistory[invoice_date],SMALL(IF(ISNUMBER(MATCH(orderHistory[status],$D$11,0)*MATCH(YEAR(orderHistory[invoice_date]),$D$15,0)),MATCH(ROW(orderHistory[customer]),ROW(orderHistory[customer])),""),ROWS($A$15:A36)+$B$3))),IF($D$15="",INDEX(orderHistory[invoice_date],SMALL(IF(ISNUMBER(MATCH(orderHistory[status],$D$11,0)*MATCH(orderHistory[order_type],$D$13,0)),MATCH(ROW(orderHistory[customer]),ROW(orderHistory[customer])),""),ROWS($A$15:A36)+$B$3)),INDEX(orderHistory[invoice_date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invoice_date],SMALL(IF(ISNUMBER(MATCH(orderHistory[customer],$D$9,0)),MATCH(ROW(orderHistory[customer]),ROW(orderHistory[customer])),""),ROWS($A$15:A36)+$B$3)),INDEX(orderHistory[invoice_date],SMALL(IF(ISNUMBER(MATCH(orderHistory[customer],$D$9,0)*MATCH(YEAR(orderHistory[invoice_date]),$D$15,0)),MATCH(ROW(orderHistory[customer]),ROW(orderHistory[customer])),""),ROWS($A$15:A36)+$B$3))),IF($D$15="",INDEX(orderHistory[invoice_date],SMALL(IF(ISNUMBER(MATCH(orderHistory[customer],$D$9,0)*MATCH(orderHistory[order_type],$D$13,0)),MATCH(ROW(orderHistory[customer]),ROW(orderHistory[customer])),""),ROWS($A$15:A36)+$B$3)),INDEX(orderHistory[invoice_date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invoice_date],SMALL(IF(ISNUMBER(MATCH(orderHistory[customer],$D$9,0)*MATCH(orderHistory[status],$D$11,0)),MATCH(ROW(orderHistory[customer]),ROW(orderHistory[customer])),""),ROWS($A$15:A36)+$B$3)),INDEX(orderHistory[invoice_date],SMALL(IF(ISNUMBER(MATCH(orderHistory[customer],$D$9,0)*MATCH(orderHistory[status],$D$11,0)*MATCH(YEAR(orderHistory[invoice_date]),$D$15,0)),MATCH(ROW(orderHistory[customer]),ROW(orderHistory[customer])),""),ROWS($A$15:A36)+$B$3))),IF($D$15="",INDEX(orderHistory[invoice_date],SMALL(IF(ISNUMBER(MATCH(orderHistory[customer],$D$9,0)*MATCH(orderHistory[status],$D$11,0)*MATCH(orderHistory[order_type],$D$13,0)),MATCH(ROW(orderHistory[customer]),ROW(orderHistory[customer])),""),ROWS($A$15:A36)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45448</v>
      </c>
      <c r="R31" s="387">
        <f t="array" ref="R31">IFERROR(IF($D$9="",IF($D$11="",IF($D$13="",IF($D$15="",INDEX(orderHistory[inv_amount],SMALL(MATCH(ROW(orderHistory[customer]),ROW(orderHistory[customer])),ROWS($A$15:A36)+$B$3)),INDEX(orderHistory[inv_amount],SMALL(IF(ISNUMBER(MATCH(YEAR(orderHistory[invoice_date]),$D$15,0)),MATCH(ROW(orderHistory[customer]),ROW(orderHistory[customer])),""),ROWS($A$15:A36)+$B$3))),IF($D$15="",INDEX(orderHistory[inv_amount],SMALL(IF(ISNUMBER(MATCH(orderHistory[order_type],$D$13,0)),MATCH(ROW(orderHistory[customer]),ROW(orderHistory[customer])),""),ROWS($A$15:A36)+$B$3)),INDEX(orderHistory[inv_amount],SMALL(IF(ISNUMBER(MATCH(orderHistory[order_type],$D$13,0)*MATCH(YEAR(orderHistory[invoice_date]),$D$15,0)),MATCH(ROW(orderHistory[customer]),ROW(orderHistory[customer])),""),ROWS($A$15:A36)+$B$3)))),IF($D$13="",IF($D$15="",INDEX(orderHistory[inv_amount],SMALL(IF(ISNUMBER(MATCH(orderHistory[status],$D$11,0)),MATCH(ROW(orderHistory[customer]),ROW(orderHistory[customer])),""),ROWS($A$15:A36)+$B$3)),INDEX(orderHistory[inv_amount],SMALL(IF(ISNUMBER(MATCH(orderHistory[status],$D$11,0)*MATCH(YEAR(orderHistory[invoice_date]),$D$15,0)),MATCH(ROW(orderHistory[customer]),ROW(orderHistory[customer])),""),ROWS($A$15:A36)+$B$3))),IF($D$15="",INDEX(orderHistory[inv_amount],SMALL(IF(ISNUMBER(MATCH(orderHistory[status],$D$11,0)*MATCH(orderHistory[order_type],$D$13,0)),MATCH(ROW(orderHistory[customer]),ROW(orderHistory[customer])),""),ROWS($A$15:A36)+$B$3)),INDEX(orderHistory[inv_amount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inv_amount],SMALL(IF(ISNUMBER(MATCH(orderHistory[customer],$D$9,0)),MATCH(ROW(orderHistory[customer]),ROW(orderHistory[customer])),""),ROWS($A$15:A36)+$B$3)),INDEX(orderHistory[inv_amount],SMALL(IF(ISNUMBER(MATCH(orderHistory[customer],$D$9,0)*MATCH(YEAR(orderHistory[invoice_date]),$D$15,0)),MATCH(ROW(orderHistory[customer]),ROW(orderHistory[customer])),""),ROWS($A$15:A36)+$B$3))),IF($D$15="",INDEX(orderHistory[inv_amount],SMALL(IF(ISNUMBER(MATCH(orderHistory[customer],$D$9,0)*MATCH(orderHistory[order_type],$D$13,0)),MATCH(ROW(orderHistory[customer]),ROW(orderHistory[customer])),""),ROWS($A$15:A36)+$B$3)),INDEX(orderHistory[inv_amount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inv_amount],SMALL(IF(ISNUMBER(MATCH(orderHistory[customer],$D$9,0)*MATCH(orderHistory[status],$D$11,0)),MATCH(ROW(orderHistory[customer]),ROW(orderHistory[customer])),""),ROWS($A$15:A36)+$B$3)),INDEX(orderHistory[inv_amount],SMALL(IF(ISNUMBER(MATCH(orderHistory[customer],$D$9,0)*MATCH(orderHistory[status],$D$11,0)*MATCH(YEAR(orderHistory[inv_amount]),$D$15,0)),MATCH(ROW(orderHistory[customer]),ROW(orderHistory[customer])),""),ROWS($A$15:A36)+$B$3))),IF($D$15="",INDEX(orderHistory[inv_amount],SMALL(IF(ISNUMBER(MATCH(orderHistory[customer],$D$9,0)*MATCH(orderHistory[status],$D$11,0)*MATCH(orderHistory[order_type],$D$13,0)),MATCH(ROW(orderHistory[customer]),ROW(orderHistory[customer])),""),ROWS($A$15:A36)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54711.03</v>
      </c>
      <c r="S31" s="465" t="str">
        <f t="array" ref="S31">IFERROR(IF($D$9="",IF($D$11="",IF($D$13="",IF($D$15="",INDEX(orderHistory[lock_goods],SMALL(MATCH(ROW(orderHistory[customer]),ROW(orderHistory[customer])),ROWS($A$15:A36)+$B$3)),INDEX(orderHistory[lock_goods],SMALL(IF(ISNUMBER(MATCH(YEAR(orderHistory[invoice_date]),$D$15,0)),MATCH(ROW(orderHistory[customer]),ROW(orderHistory[customer])),""),ROWS($A$15:A36)+$B$3))),IF($D$15="",INDEX(orderHistory[lock_goods],SMALL(IF(ISNUMBER(MATCH(orderHistory[order_type],$D$13,0)),MATCH(ROW(orderHistory[customer]),ROW(orderHistory[customer])),""),ROWS($A$15:A36)+$B$3)),INDEX(orderHistory[lock_goods],SMALL(IF(ISNUMBER(MATCH(orderHistory[order_type],$D$13,0)*MATCH(YEAR(orderHistory[invoice_date]),$D$15,0)),MATCH(ROW(orderHistory[customer]),ROW(orderHistory[customer])),""),ROWS($A$15:A36)+$B$3)))),IF($D$13="",IF($D$15="",INDEX(orderHistory[lock_goods],SMALL(IF(ISNUMBER(MATCH(orderHistory[status],$D$11,0)),MATCH(ROW(orderHistory[customer]),ROW(orderHistory[customer])),""),ROWS($A$15:A36)+$B$3)),INDEX(orderHistory[lock_goods],SMALL(IF(ISNUMBER(MATCH(orderHistory[status],$D$11,0)*MATCH(YEAR(orderHistory[invoice_date]),$D$15,0)),MATCH(ROW(orderHistory[customer]),ROW(orderHistory[customer])),""),ROWS($A$15:A36)+$B$3))),IF($D$15="",INDEX(orderHistory[lock_goods],SMALL(IF(ISNUMBER(MATCH(orderHistory[status],$D$11,0)*MATCH(orderHistory[order_type],$D$13,0)),MATCH(ROW(orderHistory[customer]),ROW(orderHistory[customer])),""),ROWS($A$15:A36)+$B$3)),INDEX(orderHistory[lock_goods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lock_goods],SMALL(IF(ISNUMBER(MATCH(orderHistory[customer],$D$9,0)),MATCH(ROW(orderHistory[customer]),ROW(orderHistory[customer])),""),ROWS($A$15:A36)+$B$3)),INDEX(orderHistory[lock_goods],SMALL(IF(ISNUMBER(MATCH(orderHistory[customer],$D$9,0)*MATCH(YEAR(orderHistory[invoice_date]),$D$15,0)),MATCH(ROW(orderHistory[customer]),ROW(orderHistory[customer])),""),ROWS($A$15:A36)+$B$3))),IF($D$15="",INDEX(orderHistory[lock_goods],SMALL(IF(ISNUMBER(MATCH(orderHistory[customer],$D$9,0)*MATCH(orderHistory[order_type],$D$13,0)),MATCH(ROW(orderHistory[customer]),ROW(orderHistory[customer])),""),ROWS($A$15:A36)+$B$3)),INDEX(orderHistory[lock_goods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lock_goods],SMALL(IF(ISNUMBER(MATCH(orderHistory[customer],$D$9,0)*MATCH(orderHistory[status],$D$11,0)),MATCH(ROW(orderHistory[customer]),ROW(orderHistory[customer])),""),ROWS($A$15:A36)+$B$3)),INDEX(orderHistory[lock_goods],SMALL(IF(ISNUMBER(MATCH(orderHistory[customer],$D$9,0)*MATCH(orderHistory[status],$D$11,0)*MATCH(YEAR(orderHistory[payed]),$D$15,0)),MATCH(ROW(orderHistory[customer]),ROW(orderHistory[customer])),""),ROWS($A$15:A36)+$B$3))),IF($D$15="",INDEX(orderHistory[lock_goods],SMALL(IF(ISNUMBER(MATCH(orderHistory[customer],$D$9,0)*MATCH(orderHistory[status],$D$11,0)*MATCH(orderHistory[order_type],$D$13,0)),MATCH(ROW(orderHistory[customer]),ROW(orderHistory[customer])),""),ROWS($A$15:A36)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GOODS SENT</v>
      </c>
      <c r="T31" s="388" t="b">
        <f t="array" ref="T31">IFERROR(IF($D$9="",IF($D$11="",IF($D$13="",IF($D$15="",INDEX(orderHistory[payed],SMALL(MATCH(ROW(orderHistory[customer]),ROW(orderHistory[customer])),ROWS($A$15:A36)+$B$3)),INDEX(orderHistory[payed],SMALL(IF(ISNUMBER(MATCH(YEAR(orderHistory[invoice_date]),$D$15,0)),MATCH(ROW(orderHistory[customer]),ROW(orderHistory[customer])),""),ROWS($A$15:A36)+$B$3))),IF($D$15="",INDEX(orderHistory[payed],SMALL(IF(ISNUMBER(MATCH(orderHistory[order_type],$D$13,0)),MATCH(ROW(orderHistory[customer]),ROW(orderHistory[customer])),""),ROWS($A$15:A36)+$B$3)),INDEX(orderHistory[payed],SMALL(IF(ISNUMBER(MATCH(orderHistory[order_type],$D$13,0)*MATCH(YEAR(orderHistory[invoice_date]),$D$15,0)),MATCH(ROW(orderHistory[customer]),ROW(orderHistory[customer])),""),ROWS($A$15:A36)+$B$3)))),IF($D$13="",IF($D$15="",INDEX(orderHistory[payed],SMALL(IF(ISNUMBER(MATCH(orderHistory[status],$D$11,0)),MATCH(ROW(orderHistory[customer]),ROW(orderHistory[customer])),""),ROWS($A$15:A36)+$B$3)),INDEX(orderHistory[payed],SMALL(IF(ISNUMBER(MATCH(orderHistory[status],$D$11,0)*MATCH(YEAR(orderHistory[invoice_date]),$D$15,0)),MATCH(ROW(orderHistory[customer]),ROW(orderHistory[customer])),""),ROWS($A$15:A36)+$B$3))),IF($D$15="",INDEX(orderHistory[payed],SMALL(IF(ISNUMBER(MATCH(orderHistory[status],$D$11,0)*MATCH(orderHistory[order_type],$D$13,0)),MATCH(ROW(orderHistory[customer]),ROW(orderHistory[customer])),""),ROWS($A$15:A36)+$B$3)),INDEX(orderHistory[payed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payed],SMALL(IF(ISNUMBER(MATCH(orderHistory[customer],$D$9,0)),MATCH(ROW(orderHistory[customer]),ROW(orderHistory[customer])),""),ROWS($A$15:A36)+$B$3)),INDEX(orderHistory[payed],SMALL(IF(ISNUMBER(MATCH(orderHistory[customer],$D$9,0)*MATCH(YEAR(orderHistory[invoice_date]),$D$15,0)),MATCH(ROW(orderHistory[customer]),ROW(orderHistory[customer])),""),ROWS($A$15:A36)+$B$3))),IF($D$15="",INDEX(orderHistory[payed],SMALL(IF(ISNUMBER(MATCH(orderHistory[customer],$D$9,0)*MATCH(orderHistory[order_type],$D$13,0)),MATCH(ROW(orderHistory[customer]),ROW(orderHistory[customer])),""),ROWS($A$15:A36)+$B$3)),INDEX(orderHistory[payed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payed],SMALL(IF(ISNUMBER(MATCH(orderHistory[customer],$D$9,0)*MATCH(orderHistory[status],$D$11,0)),MATCH(ROW(orderHistory[customer]),ROW(orderHistory[customer])),""),ROWS($A$15:A36)+$B$3)),INDEX(orderHistory[payed],SMALL(IF(ISNUMBER(MATCH(orderHistory[customer],$D$9,0)*MATCH(orderHistory[status],$D$11,0)*MATCH(YEAR(orderHistory[payed]),$D$15,0)),MATCH(ROW(orderHistory[customer]),ROW(orderHistory[customer])),""),ROWS($A$15:A36)+$B$3))),IF($D$15="",INDEX(orderHistory[payed],SMALL(IF(ISNUMBER(MATCH(orderHistory[customer],$D$9,0)*MATCH(orderHistory[status],$D$11,0)*MATCH(orderHistory[order_type],$D$13,0)),MATCH(ROW(orderHistory[customer]),ROW(orderHistory[customer])),""),ROWS($A$15:A36)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0</v>
      </c>
      <c r="U31" s="383" t="str">
        <f t="array" ref="U31">IFERROR(IF($D$9="",IF($D$11="",IF($D$13="",IF($D$15="",INDEX(orderHistory[shipping_method],SMALL(MATCH(ROW(orderHistory[customer]),ROW(orderHistory[customer])),ROWS($A$15:A36)+$B$3)),INDEX(orderHistory[shipping_method],SMALL(IF(ISNUMBER(MATCH(YEAR(orderHistory[invoice_date]),$D$15,0)),MATCH(ROW(orderHistory[customer]),ROW(orderHistory[customer])),""),ROWS($A$15:A36)+$B$3))),IF($D$15="",INDEX(orderHistory[shipping_method],SMALL(IF(ISNUMBER(MATCH(orderHistory[order_type],$D$13,0)),MATCH(ROW(orderHistory[customer]),ROW(orderHistory[customer])),""),ROWS($A$15:A36)+$B$3)),INDEX(orderHistory[shipping_method],SMALL(IF(ISNUMBER(MATCH(orderHistory[order_type],$D$13,0)*MATCH(YEAR(orderHistory[invoice_date]),$D$15,0)),MATCH(ROW(orderHistory[customer]),ROW(orderHistory[customer])),""),ROWS($A$15:A36)+$B$3)))),IF($D$13="",IF($D$15="",INDEX(orderHistory[shipping_method],SMALL(IF(ISNUMBER(MATCH(orderHistory[status],$D$11,0)),MATCH(ROW(orderHistory[customer]),ROW(orderHistory[customer])),""),ROWS($A$15:A36)+$B$3)),INDEX(orderHistory[shipping_method],SMALL(IF(ISNUMBER(MATCH(orderHistory[status],$D$11,0)*MATCH(YEAR(orderHistory[invoice_date]),$D$15,0)),MATCH(ROW(orderHistory[customer]),ROW(orderHistory[customer])),""),ROWS($A$15:A36)+$B$3))),IF($D$15="",INDEX(orderHistory[shipping_method],SMALL(IF(ISNUMBER(MATCH(orderHistory[status],$D$11,0)*MATCH(orderHistory[order_type],$D$13,0)),MATCH(ROW(orderHistory[customer]),ROW(orderHistory[customer])),""),ROWS($A$15:A36)+$B$3)),INDEX(orderHistory[shipping_method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shipping_method],SMALL(IF(ISNUMBER(MATCH(orderHistory[customer],$D$9,0)),MATCH(ROW(orderHistory[customer]),ROW(orderHistory[customer])),""),ROWS($A$15:A36)+$B$3)),INDEX(orderHistory[shipping_method],SMALL(IF(ISNUMBER(MATCH(orderHistory[customer],$D$9,0)*MATCH(YEAR(orderHistory[invoice_date]),$D$15,0)),MATCH(ROW(orderHistory[customer]),ROW(orderHistory[customer])),""),ROWS($A$15:A36)+$B$3))),IF($D$15="",INDEX(orderHistory[shipping_method],SMALL(IF(ISNUMBER(MATCH(orderHistory[customer],$D$9,0)*MATCH(orderHistory[order_type],$D$13,0)),MATCH(ROW(orderHistory[customer]),ROW(orderHistory[customer])),""),ROWS($A$15:A36)+$B$3)),INDEX(orderHistory[shipping_method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shipping_method],SMALL(IF(ISNUMBER(MATCH(orderHistory[customer],$D$9,0)*MATCH(orderHistory[status],$D$11,0)),MATCH(ROW(orderHistory[customer]),ROW(orderHistory[customer])),""),ROWS($A$15:A36)+$B$3)),INDEX(orderHistory[shipping_method],SMALL(IF(ISNUMBER(MATCH(orderHistory[customer],$D$9,0)*MATCH(orderHistory[status],$D$11,0)*MATCH(YEAR(orderHistory[shipping_method]),$D$15,0)),MATCH(ROW(orderHistory[customer]),ROW(orderHistory[customer])),""),ROWS($A$15:A36)+$B$3))),IF($D$15="",INDEX(orderHistory[shipping_method],SMALL(IF(ISNUMBER(MATCH(orderHistory[customer],$D$9,0)*MATCH(orderHistory[status],$D$11,0)*MATCH(orderHistory[order_type],$D$13,0)),MATCH(ROW(orderHistory[customer]),ROW(orderHistory[customer])),""),ROWS($A$15:A36)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BY SEA</v>
      </c>
      <c r="V31" s="388" t="str">
        <f t="array" ref="V31">IFERROR(IF($D$9="",IF($D$11="",IF($D$13="",IF($D$15="",INDEX(orderHistory[status],SMALL(MATCH(ROW(orderHistory[customer]),ROW(orderHistory[customer])),ROWS($A$15:A36)+$B$3)),INDEX(orderHistory[status],SMALL(IF(ISNUMBER(MATCH(YEAR(orderHistory[invoice_date]),$D$15,0)),MATCH(ROW(orderHistory[customer]),ROW(orderHistory[customer])),""),ROWS($A$15:A36)+$B$3))),IF($D$15="",INDEX(orderHistory[status],SMALL(IF(ISNUMBER(MATCH(orderHistory[order_type],$D$13,0)),MATCH(ROW(orderHistory[customer]),ROW(orderHistory[customer])),""),ROWS($A$15:A36)+$B$3)),INDEX(orderHistory[status],SMALL(IF(ISNUMBER(MATCH(orderHistory[order_type],$D$13,0)*MATCH(YEAR(orderHistory[invoice_date]),$D$15,0)),MATCH(ROW(orderHistory[customer]),ROW(orderHistory[customer])),""),ROWS($A$15:A36)+$B$3)))),IF($D$13="",IF($D$15="",INDEX(orderHistory[status],SMALL(IF(ISNUMBER(MATCH(orderHistory[status],$D$11,0)),MATCH(ROW(orderHistory[customer]),ROW(orderHistory[customer])),""),ROWS($A$15:A36)+$B$3)),INDEX(orderHistory[status],SMALL(IF(ISNUMBER(MATCH(orderHistory[status],$D$11,0)*MATCH(YEAR(orderHistory[invoice_date]),$D$15,0)),MATCH(ROW(orderHistory[customer]),ROW(orderHistory[customer])),""),ROWS($A$15:A36)+$B$3))),IF($D$15="",INDEX(orderHistory[status],SMALL(IF(ISNUMBER(MATCH(orderHistory[status],$D$11,0)*MATCH(orderHistory[order_type],$D$13,0)),MATCH(ROW(orderHistory[customer]),ROW(orderHistory[customer])),""),ROWS($A$15:A36)+$B$3)),INDEX(orderHistory[status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status],SMALL(IF(ISNUMBER(MATCH(orderHistory[customer],$D$9,0)),MATCH(ROW(orderHistory[customer]),ROW(orderHistory[customer])),""),ROWS($A$15:A36)+$B$3)),INDEX(orderHistory[status],SMALL(IF(ISNUMBER(MATCH(orderHistory[customer],$D$9,0)*MATCH(YEAR(orderHistory[invoice_date]),$D$15,0)),MATCH(ROW(orderHistory[customer]),ROW(orderHistory[customer])),""),ROWS($A$15:A36)+$B$3))),IF($D$15="",INDEX(orderHistory[status],SMALL(IF(ISNUMBER(MATCH(orderHistory[customer],$D$9,0)*MATCH(orderHistory[order_type],$D$13,0)),MATCH(ROW(orderHistory[customer]),ROW(orderHistory[customer])),""),ROWS($A$15:A36)+$B$3)),INDEX(orderHistory[status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status],SMALL(IF(ISNUMBER(MATCH(orderHistory[customer],$D$9,0)*MATCH(orderHistory[status],$D$11,0)),MATCH(ROW(orderHistory[customer]),ROW(orderHistory[customer])),""),ROWS($A$15:A36)+$B$3)),INDEX(orderHistory[status],SMALL(IF(ISNUMBER(MATCH(orderHistory[customer],$D$9,0)*MATCH(orderHistory[status],$D$11,0)*MATCH(YEAR(orderHistory[status]),$D$15,0)),MATCH(ROW(orderHistory[customer]),ROW(orderHistory[customer])),""),ROWS($A$15:A36)+$B$3))),IF($D$15="",INDEX(orderHistory[status],SMALL(IF(ISNUMBER(MATCH(orderHistory[customer],$D$9,0)*MATCH(orderHistory[status],$D$11,0)*MATCH(orderHistory[order_type],$D$13,0)),MATCH(ROW(orderHistory[customer]),ROW(orderHistory[customer])),""),ROWS($A$15:A36)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SHIPPED</v>
      </c>
      <c r="W31" s="547" t="str">
        <f t="array" ref="W31">IFERROR(IF($D$9="",IF($D$11="",IF($D$13="",IF($D$15="",INDEX(orderHistory[custom_docs],SMALL(MATCH(ROW(orderHistory[customer]),ROW(orderHistory[customer])),ROWS($A$15:A36)+$B$3)),INDEX(orderHistory[custom_docs],SMALL(IF(ISNUMBER(MATCH(YEAR(orderHistory[invoice_date]),$D$15,0)),MATCH(ROW(orderHistory[customer]),ROW(orderHistory[customer])),""),ROWS($A$15:A36)+$B$3))),IF($D$15="",INDEX(orderHistory[custom_docs],SMALL(IF(ISNUMBER(MATCH(orderHistory[order_type],$D$13,0)),MATCH(ROW(orderHistory[customer]),ROW(orderHistory[customer])),""),ROWS($A$15:A36)+$B$3)),INDEX(orderHistory[custom_docs],SMALL(IF(ISNUMBER(MATCH(orderHistory[order_type],$D$13,0)*MATCH(YEAR(orderHistory[invoice_date]),$D$15,0)),MATCH(ROW(orderHistory[customer]),ROW(orderHistory[customer])),""),ROWS($A$15:A36)+$B$3)))),IF($D$13="",IF($D$15="",INDEX(orderHistory[custom_docs],SMALL(IF(ISNUMBER(MATCH(orderHistory[status],$D$11,0)),MATCH(ROW(orderHistory[customer]),ROW(orderHistory[customer])),""),ROWS($A$15:A36)+$B$3)),INDEX(orderHistory[custom_docs],SMALL(IF(ISNUMBER(MATCH(orderHistory[status],$D$11,0)*MATCH(YEAR(orderHistory[invoice_date]),$D$15,0)),MATCH(ROW(orderHistory[customer]),ROW(orderHistory[customer])),""),ROWS($A$15:A36)+$B$3))),IF($D$15="",INDEX(orderHistory[custom_docs],SMALL(IF(ISNUMBER(MATCH(orderHistory[status],$D$11,0)*MATCH(orderHistory[order_type],$D$13,0)),MATCH(ROW(orderHistory[customer]),ROW(orderHistory[customer])),""),ROWS($A$15:A36)+$B$3)),INDEX(orderHistory[custom_docs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custom_docs],SMALL(IF(ISNUMBER(MATCH(orderHistory[customer],$D$9,0)),MATCH(ROW(orderHistory[customer]),ROW(orderHistory[customer])),""),ROWS($A$15:A36)+$B$3)),INDEX(orderHistory[custom_docs],SMALL(IF(ISNUMBER(MATCH(orderHistory[customer],$D$9,0)*MATCH(YEAR(orderHistory[invoice_date]),$D$15,0)),MATCH(ROW(orderHistory[customer]),ROW(orderHistory[customer])),""),ROWS($A$15:A36)+$B$3))),IF($D$15="",INDEX(orderHistory[custom_docs],SMALL(IF(ISNUMBER(MATCH(orderHistory[customer],$D$9,0)*MATCH(orderHistory[order_type],$D$13,0)),MATCH(ROW(orderHistory[customer]),ROW(orderHistory[customer])),""),ROWS($A$15:A36)+$B$3)),INDEX(orderHistory[custom_docs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custom_docs],SMALL(IF(ISNUMBER(MATCH(orderHistory[customer],$D$9,0)*MATCH(orderHistory[status],$D$11,0)),MATCH(ROW(orderHistory[customer]),ROW(orderHistory[customer])),""),ROWS($A$15:A36)+$B$3)),INDEX(orderHistory[custom_docs],SMALL(IF(ISNUMBER(MATCH(orderHistory[customer],$D$9,0)*MATCH(orderHistory[status],$D$11,0)*MATCH(YEAR(orderHistory[status]),$D$15,0)),MATCH(ROW(orderHistory[customer]),ROW(orderHistory[customer])),""),ROWS($A$15:A36)+$B$3))),IF($D$15="",INDEX(orderHistory[custom_docs],SMALL(IF(ISNUMBER(MATCH(orderHistory[customer],$D$9,0)*MATCH(orderHistory[status],$D$11,0)*MATCH(orderHistory[order_type],$D$13,0)),MATCH(ROW(orderHistory[customer]),ROW(orderHistory[customer])),""),ROWS($A$15:A36)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OK</v>
      </c>
      <c r="AQ31" s="308"/>
      <c r="AR31" s="348"/>
      <c r="AS31" s="351"/>
      <c r="AT31" s="352"/>
      <c r="AU31" s="271"/>
      <c r="AW31" s="306"/>
      <c r="BA31" s="351"/>
      <c r="BB31" s="823"/>
      <c r="BC31" s="823"/>
      <c r="BD31" s="823"/>
      <c r="BF31" s="264"/>
      <c r="BJ31" s="271"/>
      <c r="BK31" s="296"/>
      <c r="BL31" s="297"/>
      <c r="BM31" s="298"/>
      <c r="BN31" s="297"/>
      <c r="BO31" s="298"/>
      <c r="BZ31" s="487"/>
      <c r="CA31" s="401" t="str">
        <f>IFERROR(IF(BZ31="","",INDEX(bhpc_data[description],MATCH(BZ31,bhpc_data[sku],0))),"")</f>
        <v/>
      </c>
      <c r="CB31" s="629"/>
      <c r="CC31" s="885"/>
      <c r="CD31" s="411"/>
      <c r="CE31" s="890"/>
      <c r="CF31" s="404"/>
      <c r="CG31" s="405" t="str">
        <f>IFERROR(ROUNDUP(CB31/INDEX(bhpc_data[units_per_carton],MATCH(BZ31,bhpc_data[sku],0)),0),"")</f>
        <v/>
      </c>
      <c r="CH31" s="406" t="str">
        <f>IFERROR(ROUNDUP(CD31/INDEX(bhpc_data[units_per_carton],MATCH(BZ31,bhpc_data[sku],0)),0),"")</f>
        <v/>
      </c>
      <c r="CI31" s="406" t="str">
        <f>IFERROR(ROUNDUP(CF31/INDEX(bhpc_data[units_per_carton],MATCH(BZ31,bhpc_data[sku])),0),"")</f>
        <v/>
      </c>
      <c r="CJ31" s="406" t="str">
        <f>IFERROR(((CB31+CD31+CF31)/INDEX(bhpc_data[units_per_carton],MATCH(BZ31,bhpc_data[sku],0)))*INDEX(bhpc_data[net_weight],MATCH(BZ31,bhpc_data[sku],0)),"")</f>
        <v/>
      </c>
      <c r="CK31" s="406" t="str">
        <f>IFERROR(((CB31+CD31+CF31)/INDEX(bhpc_data[units_per_carton],MATCH(BZ31,bhpc_data[sku],0)))*INDEX(bhpc_data[gross_weight],MATCH(BZ31,bhpc_data[sku],0)),"")</f>
        <v/>
      </c>
      <c r="CL31" s="602" t="str">
        <f>IFERROR((CB31+CD31+CF31)/INDEX(bhpc_data[units_per_carton],MATCH(BZ31,bhpc_data[sku],0))*INDEX(bhpc_data[length],MATCH(BZ31,bhpc_data[sku],0))*INDEX(bhpc_data[width],MATCH(BZ31,bhpc_data[sku],0))*INDEX(bhpc_data[height],MATCH(BZ31,bhpc_data[sku],0))/1000000000,"")</f>
        <v/>
      </c>
      <c r="CM31" s="407" t="str">
        <f>IFERROR(INDEX(bhpc_data[category],MATCH(BZ31,bhpc_data[sku],0)),"")</f>
        <v/>
      </c>
      <c r="CN31" s="407" t="str">
        <f>IFERROR(INDEX(bhpc_data[size],MATCH(BZ31,bhpc_data[sku],0)),"")</f>
        <v/>
      </c>
      <c r="CO31" s="408" t="str">
        <f>IFERROR(INDEX(bhpc_data[hs_code],MATCH(BZ31,bhpc_data[sku],0)),"")</f>
        <v/>
      </c>
      <c r="CP31" s="489" t="str">
        <f>IFERROR(INDEX(bhpc_data[sku_geko],MATCH(BZ31,bhpc_data[sku],0)),"")</f>
        <v/>
      </c>
      <c r="CQ31" s="404"/>
      <c r="CR31" s="516" t="str">
        <f>IFERROR(IF(BZ31="","",IF($BX$15="SALE",INDEX(inventory[COSTO UNITARIO],MATCH(BZ31,inventory[SKU],0)),IF($BX$15="SAMPLING",INDEX(inventory[COSTO UNITARIO],MATCH(BZ31,inventory[SKU],0)),""))),"")</f>
        <v/>
      </c>
      <c r="CS31" s="516" t="str">
        <f t="shared" si="5"/>
        <v/>
      </c>
      <c r="CT31" s="896" t="str">
        <f t="shared" si="6"/>
        <v/>
      </c>
      <c r="CU31" s="469" t="str">
        <f t="shared" si="0"/>
        <v/>
      </c>
      <c r="CW31" s="80"/>
      <c r="CX31" s="432" t="s">
        <v>1017</v>
      </c>
      <c r="CY31" s="457" t="str">
        <f>IF(INDEX(orderHistory[production_no],MATCH($BX$11,orderHistory[order_no],0))=0,"",INDEX(orderHistory[production_no],MATCH($BX$11,orderHistory[order_no],0)))</f>
        <v/>
      </c>
      <c r="CZ31" s="112"/>
      <c r="DA31" s="112"/>
      <c r="DB31" s="77"/>
      <c r="DH31" s="215"/>
      <c r="EE31" s="439" t="str" cm="1">
        <f t="array" ref="EE31">IFERROR(IF($EC$9="",IF($EC$11="",IF($EC$13="",INDEX(bhpc_data[sku],SMALL(MATCH(ROW(bhpc_data[sku]),ROW(bhpc_data[sku])),ROWS($A$15:A36)+$B$3)),INDEX(bhpc_data[sku],SMALL(IF(ISNUMBER(MATCH(bhpc_data[size],$EC$13,0)),MATCH(ROW(bhpc_data[sku]),ROW(bhpc_data[sku])),""),ROWS($A$15:A36)+$B$3))),IF($EC$13="",INDEX(bhpc_data[sku],SMALL(IF(ISNUMBER(MATCH(bhpc_data[sex],$EC$11,0)),MATCH(ROW(bhpc_data[sku]),ROW(bhpc_data[sku])),""),ROWS($A$15:A36)+$B$3)),INDEX(bhpc_data[sku],SMALL(IF(ISNUMBER(MATCH(bhpc_data[sex],$EC$11,0)*MATCH(bhpc_data[size],$EC$13,0)),MATCH(ROW(bhpc_data[sku]),ROW(bhpc_data[sku])),""),ROWS($A$15:A36)+$B$3)))),IF($EC$11="",IF($EC$13="",INDEX(bhpc_data[sku],SMALL(IF(ISNUMBER(MATCH(bhpc_data[category],$EC$9,0)),MATCH(ROW(bhpc_data[sku]),ROW(bhpc_data[sku])),""),ROWS($A$15:A36)+$B$3)),INDEX(bhpc_data[sku],SMALL(IF(ISNUMBER(MATCH(bhpc_data[category],$EC$9,0)*MATCH(bhpc_data[size],$EC$13,0)),MATCH(ROW(bhpc_data[sku]),ROW(bhpc_data[sku])),""),ROWS($A$15:A36)+$B$3))),IF($EC$13="",INDEX(bhpc_data[sku],SMALL(IF(ISNUMBER(MATCH(bhpc_data[category],$EC$9,0)*MATCH(bhpc_data[sex],$EC$11,0)),MATCH(ROW(bhpc_data[sku]),ROW(bhpc_data[sku])),""),ROWS($A$15:A36)+$B$3)),INDEX(bhpc_data[sku],SMALL(IF(ISNUMBER(MATCH(bhpc_data[category],$EC$9,0)*MATCH(bhpc_data[sex],$EC$11,0)*MATCH(bhpc_data[size],$EC$13,0)),MATCH(ROW(bhpc_data[sku]),ROW(bhpc_data[sku])),""),ROWS($A$15:A36)+$B$3))))),"")</f>
        <v>P05050</v>
      </c>
      <c r="EF31" s="440" t="str" cm="1">
        <f t="array" ref="EF31">IFERROR(IF($EC$9="",IF($EC$11="",IF($EC$13="",INDEX(bhpc_data[description],SMALL(MATCH(ROW(bhpc_data[sku]),ROW(bhpc_data[sku])),ROWS($A$15:A36)+$B$3)),INDEX(bhpc_data[description],SMALL(IF(ISNUMBER(MATCH(bhpc_data[size],$EC$13,0)),MATCH(ROW(bhpc_data[sku]),ROW(bhpc_data[sku])),""),ROWS($A$15:A36)+$B$3))),IF($EC$13="",INDEX(bhpc_data[description],SMALL(IF(ISNUMBER(MATCH(bhpc_data[sex],$EC$11,0)),MATCH(ROW(bhpc_data[sku]),ROW(bhpc_data[sku])),""),ROWS($A$15:A36)+$B$3)),INDEX(bhpc_data[description],SMALL(IF(ISNUMBER(MATCH(bhpc_data[sex],$EC$11,0)*MATCH(bhpc_data[size],$EC$13,0)),MATCH(ROW(bhpc_data[sku]),ROW(bhpc_data[sku])),""),ROWS($A$15:A36)+$B$3)))),IF($EC$11="",IF($EC$13="",INDEX(bhpc_data[description],SMALL(IF(ISNUMBER(MATCH(bhpc_data[category],$EC$9,0)),MATCH(ROW(bhpc_data[sku]),ROW(bhpc_data[sku])),""),ROWS($A$15:A36)+$B$3)),INDEX(bhpc_data[description],SMALL(IF(ISNUMBER(MATCH(bhpc_data[category],$EC$9,0)*MATCH(bhpc_data[size],$EC$13,0)),MATCH(ROW(bhpc_data[sku]),ROW(bhpc_data[sku])),""),ROWS($A$15:A36)+$B$3))),IF($EC$13="",INDEX(bhpc_data[description],SMALL(IF(ISNUMBER(MATCH(bhpc_data[category],$EC$9,0)*MATCH(bhpc_data[sex],$EC$11,0)),MATCH(ROW(bhpc_data[sku]),ROW(bhpc_data[sku])),""),ROWS($A$15:A36)+$B$3)),INDEX(bhpc_data[description],SMALL(IF(ISNUMBER(MATCH(bhpc_data[category],$EC$9,0)*MATCH(bhpc_data[sex],$EC$11,0)*MATCH(bhpc_data[size],$EC$13,0)),MATCH(ROW(bhpc_data[sku]),ROW(bhpc_data[sku])),""),ROWS($A$15:A36)+$B$3))))),"")</f>
        <v>BHPC WOMEN 1 EDP 100ML</v>
      </c>
      <c r="EG31" s="441">
        <f>IFERROR(IF('BHPC MANAGER'!$EE31="","",INDEX(inventory[ESISTENZA],MATCH('BHPC MANAGER'!$EE31,inventory[SKU],0))),0)</f>
        <v>8796</v>
      </c>
      <c r="EH31" s="442">
        <v>-1719</v>
      </c>
      <c r="EI31" s="442">
        <f t="shared" si="1"/>
        <v>7077</v>
      </c>
      <c r="EJ31" s="443">
        <v>-7</v>
      </c>
      <c r="EK31" s="444">
        <f t="shared" si="2"/>
        <v>7070</v>
      </c>
      <c r="FF31" s="263"/>
      <c r="FG31" s="263"/>
      <c r="FH31" s="263"/>
      <c r="FI31" s="263"/>
      <c r="FJ31" s="263"/>
      <c r="FK31" s="263"/>
      <c r="FL31" s="263"/>
      <c r="FM31" s="263"/>
      <c r="FN31" s="263"/>
      <c r="FO31" s="263"/>
      <c r="FP31" s="263"/>
      <c r="FQ31" s="263"/>
      <c r="FR31" s="263"/>
      <c r="FS31" s="263"/>
      <c r="FT31" s="263"/>
      <c r="FU31" s="263"/>
      <c r="FV31" s="263"/>
      <c r="FW31" s="263"/>
      <c r="FX31" s="263"/>
      <c r="FY31" s="263"/>
      <c r="FZ31" s="263"/>
      <c r="GA31" s="263"/>
      <c r="GB31" s="263"/>
      <c r="GC31" s="263"/>
      <c r="GD31" s="263"/>
      <c r="GE31" s="263"/>
      <c r="GF31" s="263"/>
      <c r="GG31" s="263"/>
      <c r="GH31" s="263"/>
      <c r="GI31" s="263"/>
      <c r="GJ31" s="263"/>
      <c r="GK31" s="263"/>
      <c r="GL31" s="263"/>
      <c r="GM31" s="263"/>
      <c r="GN31" s="263"/>
      <c r="GO31" s="263"/>
      <c r="GP31" s="263"/>
      <c r="GQ31" s="263"/>
      <c r="GR31" s="263"/>
      <c r="GS31" s="263"/>
      <c r="GT31" s="263"/>
      <c r="GU31" s="263"/>
      <c r="GV31" s="263"/>
      <c r="GW31" s="263"/>
      <c r="GX31" s="263"/>
      <c r="GY31" s="263"/>
      <c r="GZ31" s="263"/>
      <c r="HA31" s="263"/>
      <c r="HB31" s="263"/>
      <c r="HC31" s="263"/>
      <c r="HD31" s="263"/>
      <c r="HE31" s="263"/>
      <c r="HF31" s="263"/>
      <c r="HG31" s="263"/>
      <c r="HH31" s="263"/>
      <c r="HI31" s="263"/>
      <c r="HJ31" s="263"/>
      <c r="HK31" s="263"/>
      <c r="HL31" s="263"/>
      <c r="HM31" s="263"/>
      <c r="HN31" s="263"/>
      <c r="HO31" s="263"/>
      <c r="HP31" s="263"/>
      <c r="HQ31" s="263"/>
      <c r="HR31" s="263"/>
      <c r="HS31" s="263"/>
      <c r="HT31" s="263"/>
    </row>
    <row r="32" spans="1:228" ht="15" customHeight="1" x14ac:dyDescent="0.35">
      <c r="F32" s="91"/>
      <c r="G32" s="800" t="str">
        <f>IFERROR(INDEX(orderHistory[order_notes],MATCH(B4,orderHistory[order_no],0)),"")</f>
        <v>AGENTE DOGANALE: 500 Logistics - Chris Hall</v>
      </c>
      <c r="H32" s="801"/>
      <c r="I32" s="802"/>
      <c r="J32" s="77"/>
      <c r="L32" s="381" t="str">
        <f t="array" ref="L32">IFERROR(IF($D$9="",IF($D$11="",IF($D$13="",IF($D$15="",INDEX(orderHistory[customer],SMALL(MATCH(ROW(orderHistory[customer]),ROW(orderHistory[customer])),ROWS($A$15:A37)+$B$3)),INDEX(orderHistory[customer],SMALL(IF(ISNUMBER(MATCH(YEAR(orderHistory[invoice_date]),$D$15,0)),MATCH(ROW(orderHistory[customer]),ROW(orderHistory[customer])),""),ROWS($A$15:A37)+$B$3))),IF($D$15="",INDEX(orderHistory[customer],SMALL(IF(ISNUMBER(MATCH(orderHistory[order_type],$D$13,0)),MATCH(ROW(orderHistory[customer]),ROW(orderHistory[customer])),""),ROWS($A$15:A37)+$B$3)),INDEX(orderHistory[customer],SMALL(IF(ISNUMBER(MATCH(orderHistory[order_type],$D$13,0)*MATCH(YEAR(orderHistory[invoice_date]),$D$15,0)),MATCH(ROW(orderHistory[customer]),ROW(orderHistory[customer])),""),ROWS($A$15:A37)+$B$3)))),IF($D$13="",IF($D$15="",INDEX(orderHistory[customer],SMALL(IF(ISNUMBER(MATCH(orderHistory[status],$D$11,0)),MATCH(ROW(orderHistory[customer]),ROW(orderHistory[customer])),""),ROWS($A$15:A37)+$B$3)),INDEX(orderHistory[customer],SMALL(IF(ISNUMBER(MATCH(orderHistory[status],$D$11,0)*MATCH(YEAR(orderHistory[invoice_date]),$D$15,0)),MATCH(ROW(orderHistory[customer]),ROW(orderHistory[customer])),""),ROWS($A$15:A37)+$B$3))),IF($D$15="",INDEX(orderHistory[customer],SMALL(IF(ISNUMBER(MATCH(orderHistory[status],$D$11,0)*MATCH(orderHistory[order_type],$D$13,0)),MATCH(ROW(orderHistory[customer]),ROW(orderHistory[customer])),""),ROWS($A$15:A37)+$B$3)),INDEX(orderHistory[customer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customer],SMALL(IF(ISNUMBER(MATCH(orderHistory[customer],$D$9,0)),MATCH(ROW(orderHistory[customer]),ROW(orderHistory[customer])),""),ROWS($A$15:A37)+$B$3)),INDEX(orderHistory[customer],SMALL(IF(ISNUMBER(MATCH(orderHistory[customer],$D$9,0)*MATCH(YEAR(orderHistory[invoice_date]),$D$15,0)),MATCH(ROW(orderHistory[customer]),ROW(orderHistory[customer])),""),ROWS($A$15:A37)+$B$3))),IF($D$15="",INDEX(orderHistory[customer],SMALL(IF(ISNUMBER(MATCH(orderHistory[customer],$D$9,0)*MATCH(orderHistory[order_type],$D$13,0)),MATCH(ROW(orderHistory[customer]),ROW(orderHistory[customer])),""),ROWS($A$15:A37)+$B$3)),INDEX(orderHistory[customer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customer],SMALL(IF(ISNUMBER(MATCH(orderHistory[customer],$D$9,0)*MATCH(orderHistory[status],$D$11,0)),MATCH(ROW(orderHistory[customer]),ROW(orderHistory[customer])),""),ROWS($A$15:A37)+$B$3)),INDEX(orderHistory[customer],SMALL(IF(ISNUMBER(MATCH(orderHistory[customer],$D$9,0)*MATCH(orderHistory[status],$D$11,0)*MATCH(YEAR(orderHistory[invoice_date]),$D$15,0)),MATCH(ROW(orderHistory[customer]),ROW(orderHistory[customer])),""),ROWS($A$15:A37)+$B$3))),IF($D$15="",INDEX(orderHistory[customer],SMALL(IF(ISNUMBER(MATCH(orderHistory[customer],$D$9,0)*MATCH(orderHistory[status],$D$11,0)*MATCH(orderHistory[order_type],$D$13,0)),MATCH(ROW(orderHistory[customer]),ROW(orderHistory[customer])),""),ROWS($A$15:A37)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PANABEL PNM</v>
      </c>
      <c r="M32" s="382">
        <f t="array" ref="M32">IFERROR(IF($D$9="",IF($D$11="",IF($D$13="",IF($D$15="",INDEX(orderHistory[order_no],SMALL(MATCH(ROW(orderHistory[customer]),ROW(orderHistory[customer])),ROWS($A$15:A37)+$B$3)),INDEX(orderHistory[order_no],SMALL(IF(ISNUMBER(MATCH(YEAR(orderHistory[invoice_date]),$D$15,0)),MATCH(ROW(orderHistory[customer]),ROW(orderHistory[customer])),""),ROWS($A$15:A37)+$B$3))),IF($D$15="",INDEX(orderHistory[order_no],SMALL(IF(ISNUMBER(MATCH(orderHistory[order_type],$D$13,0)),MATCH(ROW(orderHistory[customer]),ROW(orderHistory[customer])),""),ROWS($A$15:A37)+$B$3)),INDEX(orderHistory[order_no],SMALL(IF(ISNUMBER(MATCH(orderHistory[order_type],$D$13,0)*MATCH(YEAR(orderHistory[invoice_date]),$D$15,0)),MATCH(ROW(orderHistory[customer]),ROW(orderHistory[customer])),""),ROWS($A$15:A37)+$B$3)))),IF($D$13="",IF($D$15="",INDEX(orderHistory[order_no],SMALL(IF(ISNUMBER(MATCH(orderHistory[status],$D$11,0)),MATCH(ROW(orderHistory[customer]),ROW(orderHistory[customer])),""),ROWS($A$15:A37)+$B$3)),INDEX(orderHistory[order_no],SMALL(IF(ISNUMBER(MATCH(orderHistory[status],$D$11,0)*MATCH(YEAR(orderHistory[invoice_date]),$D$15,0)),MATCH(ROW(orderHistory[customer]),ROW(orderHistory[customer])),""),ROWS($A$15:A37)+$B$3))),IF($D$15="",INDEX(orderHistory[order_no],SMALL(IF(ISNUMBER(MATCH(orderHistory[status],$D$11,0)*MATCH(orderHistory[order_type],$D$13,0)),MATCH(ROW(orderHistory[customer]),ROW(orderHistory[customer])),""),ROWS($A$15:A37)+$B$3)),INDEX(orderHistory[order_no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order_no],SMALL(IF(ISNUMBER(MATCH(orderHistory[customer],$D$9,0)),MATCH(ROW(orderHistory[customer]),ROW(orderHistory[customer])),""),ROWS($A$15:A37)+$B$3)),INDEX(orderHistory[order_no],SMALL(IF(ISNUMBER(MATCH(orderHistory[customer],$D$9,0)*MATCH(YEAR(orderHistory[invoice_date]),$D$15,0)),MATCH(ROW(orderHistory[customer]),ROW(orderHistory[customer])),""),ROWS($A$15:A37)+$B$3))),IF($D$15="",INDEX(orderHistory[order_no],SMALL(IF(ISNUMBER(MATCH(orderHistory[customer],$D$9,0)*MATCH(orderHistory[order_type],$D$13,0)),MATCH(ROW(orderHistory[customer]),ROW(orderHistory[customer])),""),ROWS($A$15:A37)+$B$3)),INDEX(orderHistory[order_no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order_no],SMALL(IF(ISNUMBER(MATCH(orderHistory[customer],$D$9,0)*MATCH(orderHistory[status],$D$11,0)),MATCH(ROW(orderHistory[customer]),ROW(orderHistory[customer])),""),ROWS($A$15:A37)+$B$3)),INDEX(orderHistory[order_no],SMALL(IF(ISNUMBER(MATCH(orderHistory[customer],$D$9,0)*MATCH(orderHistory[status],$D$11,0)*MATCH(YEAR(orderHistory[invoice_date]),$D$15,0)),MATCH(ROW(orderHistory[customer]),ROW(orderHistory[customer])),""),ROWS($A$15:A37)+$B$3))),IF($D$15="",INDEX(orderHistory[order_no],SMALL(IF(ISNUMBER(MATCH(orderHistory[customer],$D$9,0)*MATCH(orderHistory[status],$D$11,0)*MATCH(orderHistory[order_type],$D$13,0)),MATCH(ROW(orderHistory[customer]),ROW(orderHistory[customer])),""),ROWS($A$15:A37)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13</v>
      </c>
      <c r="N32" s="383" t="str">
        <f t="array" ref="N32">IFERROR(IF($D$9="",IF($D$11="",IF($D$13="",IF($D$15="",INDEX(orderHistory[order_type],SMALL(MATCH(ROW(orderHistory[customer]),ROW(orderHistory[customer])),ROWS($A$15:A37)+$B$3)),INDEX(orderHistory[order_type],SMALL(IF(ISNUMBER(MATCH(YEAR(orderHistory[invoice_date]),$D$15,0)),MATCH(ROW(orderHistory[customer]),ROW(orderHistory[customer])),""),ROWS($A$15:A37)+$B$3))),IF($D$15="",INDEX(orderHistory[order_type],SMALL(IF(ISNUMBER(MATCH(orderHistory[order_type],$D$13,0)),MATCH(ROW(orderHistory[customer]),ROW(orderHistory[customer])),""),ROWS($A$15:A37)+$B$3)),INDEX(orderHistory[order_type],SMALL(IF(ISNUMBER(MATCH(orderHistory[order_type],$D$13,0)*MATCH(YEAR(orderHistory[invoice_date]),$D$15,0)),MATCH(ROW(orderHistory[customer]),ROW(orderHistory[customer])),""),ROWS($A$15:A37)+$B$3)))),IF($D$13="",IF($D$15="",INDEX(orderHistory[order_type],SMALL(IF(ISNUMBER(MATCH(orderHistory[status],$D$11,0)),MATCH(ROW(orderHistory[customer]),ROW(orderHistory[customer])),""),ROWS($A$15:A37)+$B$3)),INDEX(orderHistory[order_type],SMALL(IF(ISNUMBER(MATCH(orderHistory[status],$D$11,0)*MATCH(YEAR(orderHistory[invoice_date]),$D$15,0)),MATCH(ROW(orderHistory[customer]),ROW(orderHistory[customer])),""),ROWS($A$15:A37)+$B$3))),IF($D$15="",INDEX(orderHistory[order_type],SMALL(IF(ISNUMBER(MATCH(orderHistory[status],$D$11,0)*MATCH(orderHistory[order_type],$D$13,0)),MATCH(ROW(orderHistory[customer]),ROW(orderHistory[customer])),""),ROWS($A$15:A37)+$B$3)),INDEX(orderHistory[order_type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order_type],SMALL(IF(ISNUMBER(MATCH(orderHistory[customer],$D$9,0)),MATCH(ROW(orderHistory[customer]),ROW(orderHistory[customer])),""),ROWS($A$15:A37)+$B$3)),INDEX(orderHistory[order_type],SMALL(IF(ISNUMBER(MATCH(orderHistory[customer],$D$9,0)*MATCH(YEAR(orderHistory[invoice_date]),$D$15,0)),MATCH(ROW(orderHistory[customer]),ROW(orderHistory[customer])),""),ROWS($A$15:A37)+$B$3))),IF($D$15="",INDEX(orderHistory[order_type],SMALL(IF(ISNUMBER(MATCH(orderHistory[customer],$D$9,0)*MATCH(orderHistory[order_type],$D$13,0)),MATCH(ROW(orderHistory[customer]),ROW(orderHistory[customer])),""),ROWS($A$15:A37)+$B$3)),INDEX(orderHistory[order_type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order_type],SMALL(IF(ISNUMBER(MATCH(orderHistory[customer],$D$9,0)*MATCH(orderHistory[status],$D$11,0)),MATCH(ROW(orderHistory[customer]),ROW(orderHistory[customer])),""),ROWS($A$15:A37)+$B$3)),INDEX(orderHistory[order_type],SMALL(IF(ISNUMBER(MATCH(orderHistory[customer],$D$9,0)*MATCH(orderHistory[status],$D$11,0)*MATCH(YEAR(orderHistory[invoice_date]),$D$15,0)),MATCH(ROW(orderHistory[customer]),ROW(orderHistory[customer])),""),ROWS($A$15:A37)+$B$3))),IF($D$15="",INDEX(orderHistory[order_type],SMALL(IF(ISNUMBER(MATCH(orderHistory[customer],$D$9,0)*MATCH(orderHistory[status],$D$11,0)*MATCH(orderHistory[order_type],$D$13,0)),MATCH(ROW(orderHistory[customer]),ROW(orderHistory[customer])),""),ROWS($A$15:A37)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SALE</v>
      </c>
      <c r="O32" s="384">
        <f t="array" ref="O32">IFERROR(IF($D$9="",IF($D$11="",IF($D$13="",IF($D$15="",INDEX(orderHistory[order_date],SMALL(MATCH(ROW(orderHistory[customer]),ROW(orderHistory[customer])),ROWS($A$15:A37)+$B$3)),INDEX(orderHistory[order_date],SMALL(IF(ISNUMBER(MATCH(YEAR(orderHistory[invoice_date]),$D$15,0)),MATCH(ROW(orderHistory[customer]),ROW(orderHistory[customer])),""),ROWS($A$15:A37)+$B$3))),IF($D$15="",INDEX(orderHistory[order_date],SMALL(IF(ISNUMBER(MATCH(orderHistory[order_type],$D$13,0)),MATCH(ROW(orderHistory[customer]),ROW(orderHistory[customer])),""),ROWS($A$15:A37)+$B$3)),INDEX(orderHistory[order_date],SMALL(IF(ISNUMBER(MATCH(orderHistory[order_type],$D$13,0)*MATCH(YEAR(orderHistory[invoice_date]),$D$15,0)),MATCH(ROW(orderHistory[customer]),ROW(orderHistory[customer])),""),ROWS($A$15:A37)+$B$3)))),IF($D$13="",IF($D$15="",INDEX(orderHistory[order_date],SMALL(IF(ISNUMBER(MATCH(orderHistory[status],$D$11,0)),MATCH(ROW(orderHistory[customer]),ROW(orderHistory[customer])),""),ROWS($A$15:A37)+$B$3)),INDEX(orderHistory[order_date],SMALL(IF(ISNUMBER(MATCH(orderHistory[status],$D$11,0)*MATCH(YEAR(orderHistory[invoice_date]),$D$15,0)),MATCH(ROW(orderHistory[customer]),ROW(orderHistory[customer])),""),ROWS($A$15:A37)+$B$3))),IF($D$15="",INDEX(orderHistory[order_date],SMALL(IF(ISNUMBER(MATCH(orderHistory[status],$D$11,0)*MATCH(orderHistory[order_type],$D$13,0)),MATCH(ROW(orderHistory[customer]),ROW(orderHistory[customer])),""),ROWS($A$15:A37)+$B$3)),INDEX(orderHistory[order_date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order_date],SMALL(IF(ISNUMBER(MATCH(orderHistory[customer],$D$9,0)),MATCH(ROW(orderHistory[customer]),ROW(orderHistory[customer])),""),ROWS($A$15:A37)+$B$3)),INDEX(orderHistory[order_date],SMALL(IF(ISNUMBER(MATCH(orderHistory[customer],$D$9,0)*MATCH(YEAR(orderHistory[invoice_date]),$D$15,0)),MATCH(ROW(orderHistory[customer]),ROW(orderHistory[customer])),""),ROWS($A$15:A37)+$B$3))),IF($D$15="",INDEX(orderHistory[order_date],SMALL(IF(ISNUMBER(MATCH(orderHistory[customer],$D$9,0)*MATCH(orderHistory[order_type],$D$13,0)),MATCH(ROW(orderHistory[customer]),ROW(orderHistory[customer])),""),ROWS($A$15:A37)+$B$3)),INDEX(orderHistory[order_date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order_date],SMALL(IF(ISNUMBER(MATCH(orderHistory[customer],$D$9,0)*MATCH(orderHistory[status],$D$11,0)),MATCH(ROW(orderHistory[customer]),ROW(orderHistory[customer])),""),ROWS($A$15:A37)+$B$3)),INDEX(orderHistory[order_date],SMALL(IF(ISNUMBER(MATCH(orderHistory[customer],$D$9,0)*MATCH(orderHistory[status],$D$11,0)*MATCH(YEAR(orderHistory[invoice_date]),$D$15,0)),MATCH(ROW(orderHistory[customer]),ROW(orderHistory[customer])),""),ROWS($A$15:A37)+$B$3))),IF($D$15="",INDEX(orderHistory[order_date],SMALL(IF(ISNUMBER(MATCH(orderHistory[customer],$D$9,0)*MATCH(orderHistory[status],$D$11,0)*MATCH(orderHistory[order_type],$D$13,0)),MATCH(ROW(orderHistory[customer]),ROW(orderHistory[customer])),""),ROWS($A$15:A37)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45358</v>
      </c>
      <c r="P32" s="385" t="str">
        <f t="array" ref="P32">IFERROR(IF($D$9="",IF($D$11="",IF($D$13="",IF($D$15="",INDEX(orderHistory[invoice_no],SMALL(MATCH(ROW(orderHistory[customer]),ROW(orderHistory[customer])),ROWS($A$15:A37)+$B$3)),INDEX(orderHistory[invoice_no],SMALL(IF(ISNUMBER(MATCH(YEAR(orderHistory[invoice_date]),$D$15,0)),MATCH(ROW(orderHistory[customer]),ROW(orderHistory[customer])),""),ROWS($A$15:A37)+$B$3))),IF($D$15="",INDEX(orderHistory[invoice_no],SMALL(IF(ISNUMBER(MATCH(orderHistory[order_type],$D$13,0)),MATCH(ROW(orderHistory[customer]),ROW(orderHistory[customer])),""),ROWS($A$15:A37)+$B$3)),INDEX(orderHistory[invoice_no],SMALL(IF(ISNUMBER(MATCH(orderHistory[order_type],$D$13,0)*MATCH(YEAR(orderHistory[invoice_date]),$D$15,0)),MATCH(ROW(orderHistory[customer]),ROW(orderHistory[customer])),""),ROWS($A$15:A37)+$B$3)))),IF($D$13="",IF($D$15="",INDEX(orderHistory[invoice_no],SMALL(IF(ISNUMBER(MATCH(orderHistory[status],$D$11,0)),MATCH(ROW(orderHistory[customer]),ROW(orderHistory[customer])),""),ROWS($A$15:A37)+$B$3)),INDEX(orderHistory[invoice_no],SMALL(IF(ISNUMBER(MATCH(orderHistory[status],$D$11,0)*MATCH(YEAR(orderHistory[invoice_date]),$D$15,0)),MATCH(ROW(orderHistory[customer]),ROW(orderHistory[customer])),""),ROWS($A$15:A37)+$B$3))),IF($D$15="",INDEX(orderHistory[invoice_no],SMALL(IF(ISNUMBER(MATCH(orderHistory[status],$D$11,0)*MATCH(orderHistory[order_type],$D$13,0)),MATCH(ROW(orderHistory[customer]),ROW(orderHistory[customer])),""),ROWS($A$15:A37)+$B$3)),INDEX(orderHistory[invoice_no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invoice_no],SMALL(IF(ISNUMBER(MATCH(orderHistory[customer],$D$9,0)),MATCH(ROW(orderHistory[customer]),ROW(orderHistory[customer])),""),ROWS($A$15:A37)+$B$3)),INDEX(orderHistory[invoice_no],SMALL(IF(ISNUMBER(MATCH(orderHistory[customer],$D$9,0)*MATCH(YEAR(orderHistory[invoice_date]),$D$15,0)),MATCH(ROW(orderHistory[customer]),ROW(orderHistory[customer])),""),ROWS($A$15:A37)+$B$3))),IF($D$15="",INDEX(orderHistory[invoice_no],SMALL(IF(ISNUMBER(MATCH(orderHistory[customer],$D$9,0)*MATCH(orderHistory[order_type],$D$13,0)),MATCH(ROW(orderHistory[customer]),ROW(orderHistory[customer])),""),ROWS($A$15:A37)+$B$3)),INDEX(orderHistory[invoice_no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invoice_no],SMALL(IF(ISNUMBER(MATCH(orderHistory[customer],$D$9,0)*MATCH(orderHistory[status],$D$11,0)),MATCH(ROW(orderHistory[customer]),ROW(orderHistory[customer])),""),ROWS($A$15:A37)+$B$3)),INDEX(orderHistory[invoice_no],SMALL(IF(ISNUMBER(MATCH(orderHistory[customer],$D$9,0)*MATCH(orderHistory[status],$D$11,0)*MATCH(YEAR(orderHistory[invoice_date]),$D$15,0)),MATCH(ROW(orderHistory[customer]),ROW(orderHistory[customer])),""),ROWS($A$15:A37)+$B$3))),IF($D$15="",INDEX(orderHistory[invoice_no],SMALL(IF(ISNUMBER(MATCH(orderHistory[customer],$D$9,0)*MATCH(orderHistory[status],$D$11,0)*MATCH(orderHistory[order_type],$D$13,0)),MATCH(ROW(orderHistory[customer]),ROW(orderHistory[customer])),""),ROWS($A$15:A37)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188</v>
      </c>
      <c r="Q32" s="386">
        <f t="array" ref="Q32">IFERROR(IF($D$9="",IF($D$11="",IF($D$13="",IF($D$15="",INDEX(orderHistory[invoice_date],SMALL(MATCH(ROW(orderHistory[customer]),ROW(orderHistory[customer])),ROWS($A$15:A37)+$B$3)),INDEX(orderHistory[invoice_date],SMALL(IF(ISNUMBER(MATCH(YEAR(orderHistory[invoice_date]),$D$15,0)),MATCH(ROW(orderHistory[customer]),ROW(orderHistory[customer])),""),ROWS($A$15:A37)+$B$3))),IF($D$15="",INDEX(orderHistory[invoice_date],SMALL(IF(ISNUMBER(MATCH(orderHistory[order_type],$D$13,0)),MATCH(ROW(orderHistory[customer]),ROW(orderHistory[customer])),""),ROWS($A$15:A37)+$B$3)),INDEX(orderHistory[invoice_date],SMALL(IF(ISNUMBER(MATCH(orderHistory[order_type],$D$13,0)*MATCH(YEAR(orderHistory[invoice_date]),$D$15,0)),MATCH(ROW(orderHistory[customer]),ROW(orderHistory[customer])),""),ROWS($A$15:A37)+$B$3)))),IF($D$13="",IF($D$15="",INDEX(orderHistory[invoice_date],SMALL(IF(ISNUMBER(MATCH(orderHistory[status],$D$11,0)),MATCH(ROW(orderHistory[customer]),ROW(orderHistory[customer])),""),ROWS($A$15:A37)+$B$3)),INDEX(orderHistory[invoice_date],SMALL(IF(ISNUMBER(MATCH(orderHistory[status],$D$11,0)*MATCH(YEAR(orderHistory[invoice_date]),$D$15,0)),MATCH(ROW(orderHistory[customer]),ROW(orderHistory[customer])),""),ROWS($A$15:A37)+$B$3))),IF($D$15="",INDEX(orderHistory[invoice_date],SMALL(IF(ISNUMBER(MATCH(orderHistory[status],$D$11,0)*MATCH(orderHistory[order_type],$D$13,0)),MATCH(ROW(orderHistory[customer]),ROW(orderHistory[customer])),""),ROWS($A$15:A37)+$B$3)),INDEX(orderHistory[invoice_date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invoice_date],SMALL(IF(ISNUMBER(MATCH(orderHistory[customer],$D$9,0)),MATCH(ROW(orderHistory[customer]),ROW(orderHistory[customer])),""),ROWS($A$15:A37)+$B$3)),INDEX(orderHistory[invoice_date],SMALL(IF(ISNUMBER(MATCH(orderHistory[customer],$D$9,0)*MATCH(YEAR(orderHistory[invoice_date]),$D$15,0)),MATCH(ROW(orderHistory[customer]),ROW(orderHistory[customer])),""),ROWS($A$15:A37)+$B$3))),IF($D$15="",INDEX(orderHistory[invoice_date],SMALL(IF(ISNUMBER(MATCH(orderHistory[customer],$D$9,0)*MATCH(orderHistory[order_type],$D$13,0)),MATCH(ROW(orderHistory[customer]),ROW(orderHistory[customer])),""),ROWS($A$15:A37)+$B$3)),INDEX(orderHistory[invoice_date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invoice_date],SMALL(IF(ISNUMBER(MATCH(orderHistory[customer],$D$9,0)*MATCH(orderHistory[status],$D$11,0)),MATCH(ROW(orderHistory[customer]),ROW(orderHistory[customer])),""),ROWS($A$15:A37)+$B$3)),INDEX(orderHistory[invoice_date],SMALL(IF(ISNUMBER(MATCH(orderHistory[customer],$D$9,0)*MATCH(orderHistory[status],$D$11,0)*MATCH(YEAR(orderHistory[invoice_date]),$D$15,0)),MATCH(ROW(orderHistory[customer]),ROW(orderHistory[customer])),""),ROWS($A$15:A37)+$B$3))),IF($D$15="",INDEX(orderHistory[invoice_date],SMALL(IF(ISNUMBER(MATCH(orderHistory[customer],$D$9,0)*MATCH(orderHistory[status],$D$11,0)*MATCH(orderHistory[order_type],$D$13,0)),MATCH(ROW(orderHistory[customer]),ROW(orderHistory[customer])),""),ROWS($A$15:A37)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45446</v>
      </c>
      <c r="R32" s="387">
        <f t="array" ref="R32">IFERROR(IF($D$9="",IF($D$11="",IF($D$13="",IF($D$15="",INDEX(orderHistory[inv_amount],SMALL(MATCH(ROW(orderHistory[customer]),ROW(orderHistory[customer])),ROWS($A$15:A37)+$B$3)),INDEX(orderHistory[inv_amount],SMALL(IF(ISNUMBER(MATCH(YEAR(orderHistory[invoice_date]),$D$15,0)),MATCH(ROW(orderHistory[customer]),ROW(orderHistory[customer])),""),ROWS($A$15:A37)+$B$3))),IF($D$15="",INDEX(orderHistory[inv_amount],SMALL(IF(ISNUMBER(MATCH(orderHistory[order_type],$D$13,0)),MATCH(ROW(orderHistory[customer]),ROW(orderHistory[customer])),""),ROWS($A$15:A37)+$B$3)),INDEX(orderHistory[inv_amount],SMALL(IF(ISNUMBER(MATCH(orderHistory[order_type],$D$13,0)*MATCH(YEAR(orderHistory[invoice_date]),$D$15,0)),MATCH(ROW(orderHistory[customer]),ROW(orderHistory[customer])),""),ROWS($A$15:A37)+$B$3)))),IF($D$13="",IF($D$15="",INDEX(orderHistory[inv_amount],SMALL(IF(ISNUMBER(MATCH(orderHistory[status],$D$11,0)),MATCH(ROW(orderHistory[customer]),ROW(orderHistory[customer])),""),ROWS($A$15:A37)+$B$3)),INDEX(orderHistory[inv_amount],SMALL(IF(ISNUMBER(MATCH(orderHistory[status],$D$11,0)*MATCH(YEAR(orderHistory[invoice_date]),$D$15,0)),MATCH(ROW(orderHistory[customer]),ROW(orderHistory[customer])),""),ROWS($A$15:A37)+$B$3))),IF($D$15="",INDEX(orderHistory[inv_amount],SMALL(IF(ISNUMBER(MATCH(orderHistory[status],$D$11,0)*MATCH(orderHistory[order_type],$D$13,0)),MATCH(ROW(orderHistory[customer]),ROW(orderHistory[customer])),""),ROWS($A$15:A37)+$B$3)),INDEX(orderHistory[inv_amount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inv_amount],SMALL(IF(ISNUMBER(MATCH(orderHistory[customer],$D$9,0)),MATCH(ROW(orderHistory[customer]),ROW(orderHistory[customer])),""),ROWS($A$15:A37)+$B$3)),INDEX(orderHistory[inv_amount],SMALL(IF(ISNUMBER(MATCH(orderHistory[customer],$D$9,0)*MATCH(YEAR(orderHistory[invoice_date]),$D$15,0)),MATCH(ROW(orderHistory[customer]),ROW(orderHistory[customer])),""),ROWS($A$15:A37)+$B$3))),IF($D$15="",INDEX(orderHistory[inv_amount],SMALL(IF(ISNUMBER(MATCH(orderHistory[customer],$D$9,0)*MATCH(orderHistory[order_type],$D$13,0)),MATCH(ROW(orderHistory[customer]),ROW(orderHistory[customer])),""),ROWS($A$15:A37)+$B$3)),INDEX(orderHistory[inv_amount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inv_amount],SMALL(IF(ISNUMBER(MATCH(orderHistory[customer],$D$9,0)*MATCH(orderHistory[status],$D$11,0)),MATCH(ROW(orderHistory[customer]),ROW(orderHistory[customer])),""),ROWS($A$15:A37)+$B$3)),INDEX(orderHistory[inv_amount],SMALL(IF(ISNUMBER(MATCH(orderHistory[customer],$D$9,0)*MATCH(orderHistory[status],$D$11,0)*MATCH(YEAR(orderHistory[inv_amount]),$D$15,0)),MATCH(ROW(orderHistory[customer]),ROW(orderHistory[customer])),""),ROWS($A$15:A37)+$B$3))),IF($D$15="",INDEX(orderHistory[inv_amount],SMALL(IF(ISNUMBER(MATCH(orderHistory[customer],$D$9,0)*MATCH(orderHistory[status],$D$11,0)*MATCH(orderHistory[order_type],$D$13,0)),MATCH(ROW(orderHistory[customer]),ROW(orderHistory[customer])),""),ROWS($A$15:A37)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32039.07</v>
      </c>
      <c r="S32" s="465" t="str">
        <f t="array" ref="S32">IFERROR(IF($D$9="",IF($D$11="",IF($D$13="",IF($D$15="",INDEX(orderHistory[lock_goods],SMALL(MATCH(ROW(orderHistory[customer]),ROW(orderHistory[customer])),ROWS($A$15:A37)+$B$3)),INDEX(orderHistory[lock_goods],SMALL(IF(ISNUMBER(MATCH(YEAR(orderHistory[invoice_date]),$D$15,0)),MATCH(ROW(orderHistory[customer]),ROW(orderHistory[customer])),""),ROWS($A$15:A37)+$B$3))),IF($D$15="",INDEX(orderHistory[lock_goods],SMALL(IF(ISNUMBER(MATCH(orderHistory[order_type],$D$13,0)),MATCH(ROW(orderHistory[customer]),ROW(orderHistory[customer])),""),ROWS($A$15:A37)+$B$3)),INDEX(orderHistory[lock_goods],SMALL(IF(ISNUMBER(MATCH(orderHistory[order_type],$D$13,0)*MATCH(YEAR(orderHistory[invoice_date]),$D$15,0)),MATCH(ROW(orderHistory[customer]),ROW(orderHistory[customer])),""),ROWS($A$15:A37)+$B$3)))),IF($D$13="",IF($D$15="",INDEX(orderHistory[lock_goods],SMALL(IF(ISNUMBER(MATCH(orderHistory[status],$D$11,0)),MATCH(ROW(orderHistory[customer]),ROW(orderHistory[customer])),""),ROWS($A$15:A37)+$B$3)),INDEX(orderHistory[lock_goods],SMALL(IF(ISNUMBER(MATCH(orderHistory[status],$D$11,0)*MATCH(YEAR(orderHistory[invoice_date]),$D$15,0)),MATCH(ROW(orderHistory[customer]),ROW(orderHistory[customer])),""),ROWS($A$15:A37)+$B$3))),IF($D$15="",INDEX(orderHistory[lock_goods],SMALL(IF(ISNUMBER(MATCH(orderHistory[status],$D$11,0)*MATCH(orderHistory[order_type],$D$13,0)),MATCH(ROW(orderHistory[customer]),ROW(orderHistory[customer])),""),ROWS($A$15:A37)+$B$3)),INDEX(orderHistory[lock_goods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lock_goods],SMALL(IF(ISNUMBER(MATCH(orderHistory[customer],$D$9,0)),MATCH(ROW(orderHistory[customer]),ROW(orderHistory[customer])),""),ROWS($A$15:A37)+$B$3)),INDEX(orderHistory[lock_goods],SMALL(IF(ISNUMBER(MATCH(orderHistory[customer],$D$9,0)*MATCH(YEAR(orderHistory[invoice_date]),$D$15,0)),MATCH(ROW(orderHistory[customer]),ROW(orderHistory[customer])),""),ROWS($A$15:A37)+$B$3))),IF($D$15="",INDEX(orderHistory[lock_goods],SMALL(IF(ISNUMBER(MATCH(orderHistory[customer],$D$9,0)*MATCH(orderHistory[order_type],$D$13,0)),MATCH(ROW(orderHistory[customer]),ROW(orderHistory[customer])),""),ROWS($A$15:A37)+$B$3)),INDEX(orderHistory[lock_goods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lock_goods],SMALL(IF(ISNUMBER(MATCH(orderHistory[customer],$D$9,0)*MATCH(orderHistory[status],$D$11,0)),MATCH(ROW(orderHistory[customer]),ROW(orderHistory[customer])),""),ROWS($A$15:A37)+$B$3)),INDEX(orderHistory[lock_goods],SMALL(IF(ISNUMBER(MATCH(orderHistory[customer],$D$9,0)*MATCH(orderHistory[status],$D$11,0)*MATCH(YEAR(orderHistory[payed]),$D$15,0)),MATCH(ROW(orderHistory[customer]),ROW(orderHistory[customer])),""),ROWS($A$15:A37)+$B$3))),IF($D$15="",INDEX(orderHistory[lock_goods],SMALL(IF(ISNUMBER(MATCH(orderHistory[customer],$D$9,0)*MATCH(orderHistory[status],$D$11,0)*MATCH(orderHistory[order_type],$D$13,0)),MATCH(ROW(orderHistory[customer]),ROW(orderHistory[customer])),""),ROWS($A$15:A37)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GOODS SENT</v>
      </c>
      <c r="T32" s="388" t="b">
        <f t="array" ref="T32">IFERROR(IF($D$9="",IF($D$11="",IF($D$13="",IF($D$15="",INDEX(orderHistory[payed],SMALL(MATCH(ROW(orderHistory[customer]),ROW(orderHistory[customer])),ROWS($A$15:A37)+$B$3)),INDEX(orderHistory[payed],SMALL(IF(ISNUMBER(MATCH(YEAR(orderHistory[invoice_date]),$D$15,0)),MATCH(ROW(orderHistory[customer]),ROW(orderHistory[customer])),""),ROWS($A$15:A37)+$B$3))),IF($D$15="",INDEX(orderHistory[payed],SMALL(IF(ISNUMBER(MATCH(orderHistory[order_type],$D$13,0)),MATCH(ROW(orderHistory[customer]),ROW(orderHistory[customer])),""),ROWS($A$15:A37)+$B$3)),INDEX(orderHistory[payed],SMALL(IF(ISNUMBER(MATCH(orderHistory[order_type],$D$13,0)*MATCH(YEAR(orderHistory[invoice_date]),$D$15,0)),MATCH(ROW(orderHistory[customer]),ROW(orderHistory[customer])),""),ROWS($A$15:A37)+$B$3)))),IF($D$13="",IF($D$15="",INDEX(orderHistory[payed],SMALL(IF(ISNUMBER(MATCH(orderHistory[status],$D$11,0)),MATCH(ROW(orderHistory[customer]),ROW(orderHistory[customer])),""),ROWS($A$15:A37)+$B$3)),INDEX(orderHistory[payed],SMALL(IF(ISNUMBER(MATCH(orderHistory[status],$D$11,0)*MATCH(YEAR(orderHistory[invoice_date]),$D$15,0)),MATCH(ROW(orderHistory[customer]),ROW(orderHistory[customer])),""),ROWS($A$15:A37)+$B$3))),IF($D$15="",INDEX(orderHistory[payed],SMALL(IF(ISNUMBER(MATCH(orderHistory[status],$D$11,0)*MATCH(orderHistory[order_type],$D$13,0)),MATCH(ROW(orderHistory[customer]),ROW(orderHistory[customer])),""),ROWS($A$15:A37)+$B$3)),INDEX(orderHistory[payed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payed],SMALL(IF(ISNUMBER(MATCH(orderHistory[customer],$D$9,0)),MATCH(ROW(orderHistory[customer]),ROW(orderHistory[customer])),""),ROWS($A$15:A37)+$B$3)),INDEX(orderHistory[payed],SMALL(IF(ISNUMBER(MATCH(orderHistory[customer],$D$9,0)*MATCH(YEAR(orderHistory[invoice_date]),$D$15,0)),MATCH(ROW(orderHistory[customer]),ROW(orderHistory[customer])),""),ROWS($A$15:A37)+$B$3))),IF($D$15="",INDEX(orderHistory[payed],SMALL(IF(ISNUMBER(MATCH(orderHistory[customer],$D$9,0)*MATCH(orderHistory[order_type],$D$13,0)),MATCH(ROW(orderHistory[customer]),ROW(orderHistory[customer])),""),ROWS($A$15:A37)+$B$3)),INDEX(orderHistory[payed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payed],SMALL(IF(ISNUMBER(MATCH(orderHistory[customer],$D$9,0)*MATCH(orderHistory[status],$D$11,0)),MATCH(ROW(orderHistory[customer]),ROW(orderHistory[customer])),""),ROWS($A$15:A37)+$B$3)),INDEX(orderHistory[payed],SMALL(IF(ISNUMBER(MATCH(orderHistory[customer],$D$9,0)*MATCH(orderHistory[status],$D$11,0)*MATCH(YEAR(orderHistory[payed]),$D$15,0)),MATCH(ROW(orderHistory[customer]),ROW(orderHistory[customer])),""),ROWS($A$15:A37)+$B$3))),IF($D$15="",INDEX(orderHistory[payed],SMALL(IF(ISNUMBER(MATCH(orderHistory[customer],$D$9,0)*MATCH(orderHistory[status],$D$11,0)*MATCH(orderHistory[order_type],$D$13,0)),MATCH(ROW(orderHistory[customer]),ROW(orderHistory[customer])),""),ROWS($A$15:A37)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0</v>
      </c>
      <c r="U32" s="383" t="str">
        <f t="array" ref="U32">IFERROR(IF($D$9="",IF($D$11="",IF($D$13="",IF($D$15="",INDEX(orderHistory[shipping_method],SMALL(MATCH(ROW(orderHistory[customer]),ROW(orderHistory[customer])),ROWS($A$15:A37)+$B$3)),INDEX(orderHistory[shipping_method],SMALL(IF(ISNUMBER(MATCH(YEAR(orderHistory[invoice_date]),$D$15,0)),MATCH(ROW(orderHistory[customer]),ROW(orderHistory[customer])),""),ROWS($A$15:A37)+$B$3))),IF($D$15="",INDEX(orderHistory[shipping_method],SMALL(IF(ISNUMBER(MATCH(orderHistory[order_type],$D$13,0)),MATCH(ROW(orderHistory[customer]),ROW(orderHistory[customer])),""),ROWS($A$15:A37)+$B$3)),INDEX(orderHistory[shipping_method],SMALL(IF(ISNUMBER(MATCH(orderHistory[order_type],$D$13,0)*MATCH(YEAR(orderHistory[invoice_date]),$D$15,0)),MATCH(ROW(orderHistory[customer]),ROW(orderHistory[customer])),""),ROWS($A$15:A37)+$B$3)))),IF($D$13="",IF($D$15="",INDEX(orderHistory[shipping_method],SMALL(IF(ISNUMBER(MATCH(orderHistory[status],$D$11,0)),MATCH(ROW(orderHistory[customer]),ROW(orderHistory[customer])),""),ROWS($A$15:A37)+$B$3)),INDEX(orderHistory[shipping_method],SMALL(IF(ISNUMBER(MATCH(orderHistory[status],$D$11,0)*MATCH(YEAR(orderHistory[invoice_date]),$D$15,0)),MATCH(ROW(orderHistory[customer]),ROW(orderHistory[customer])),""),ROWS($A$15:A37)+$B$3))),IF($D$15="",INDEX(orderHistory[shipping_method],SMALL(IF(ISNUMBER(MATCH(orderHistory[status],$D$11,0)*MATCH(orderHistory[order_type],$D$13,0)),MATCH(ROW(orderHistory[customer]),ROW(orderHistory[customer])),""),ROWS($A$15:A37)+$B$3)),INDEX(orderHistory[shipping_method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shipping_method],SMALL(IF(ISNUMBER(MATCH(orderHistory[customer],$D$9,0)),MATCH(ROW(orderHistory[customer]),ROW(orderHistory[customer])),""),ROWS($A$15:A37)+$B$3)),INDEX(orderHistory[shipping_method],SMALL(IF(ISNUMBER(MATCH(orderHistory[customer],$D$9,0)*MATCH(YEAR(orderHistory[invoice_date]),$D$15,0)),MATCH(ROW(orderHistory[customer]),ROW(orderHistory[customer])),""),ROWS($A$15:A37)+$B$3))),IF($D$15="",INDEX(orderHistory[shipping_method],SMALL(IF(ISNUMBER(MATCH(orderHistory[customer],$D$9,0)*MATCH(orderHistory[order_type],$D$13,0)),MATCH(ROW(orderHistory[customer]),ROW(orderHistory[customer])),""),ROWS($A$15:A37)+$B$3)),INDEX(orderHistory[shipping_method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shipping_method],SMALL(IF(ISNUMBER(MATCH(orderHistory[customer],$D$9,0)*MATCH(orderHistory[status],$D$11,0)),MATCH(ROW(orderHistory[customer]),ROW(orderHistory[customer])),""),ROWS($A$15:A37)+$B$3)),INDEX(orderHistory[shipping_method],SMALL(IF(ISNUMBER(MATCH(orderHistory[customer],$D$9,0)*MATCH(orderHistory[status],$D$11,0)*MATCH(YEAR(orderHistory[shipping_method]),$D$15,0)),MATCH(ROW(orderHistory[customer]),ROW(orderHistory[customer])),""),ROWS($A$15:A37)+$B$3))),IF($D$15="",INDEX(orderHistory[shipping_method],SMALL(IF(ISNUMBER(MATCH(orderHistory[customer],$D$9,0)*MATCH(orderHistory[status],$D$11,0)*MATCH(orderHistory[order_type],$D$13,0)),MATCH(ROW(orderHistory[customer]),ROW(orderHistory[customer])),""),ROWS($A$15:A37)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BY SEA</v>
      </c>
      <c r="V32" s="388" t="str">
        <f t="array" ref="V32">IFERROR(IF($D$9="",IF($D$11="",IF($D$13="",IF($D$15="",INDEX(orderHistory[status],SMALL(MATCH(ROW(orderHistory[customer]),ROW(orderHistory[customer])),ROWS($A$15:A37)+$B$3)),INDEX(orderHistory[status],SMALL(IF(ISNUMBER(MATCH(YEAR(orderHistory[invoice_date]),$D$15,0)),MATCH(ROW(orderHistory[customer]),ROW(orderHistory[customer])),""),ROWS($A$15:A37)+$B$3))),IF($D$15="",INDEX(orderHistory[status],SMALL(IF(ISNUMBER(MATCH(orderHistory[order_type],$D$13,0)),MATCH(ROW(orderHistory[customer]),ROW(orderHistory[customer])),""),ROWS($A$15:A37)+$B$3)),INDEX(orderHistory[status],SMALL(IF(ISNUMBER(MATCH(orderHistory[order_type],$D$13,0)*MATCH(YEAR(orderHistory[invoice_date]),$D$15,0)),MATCH(ROW(orderHistory[customer]),ROW(orderHistory[customer])),""),ROWS($A$15:A37)+$B$3)))),IF($D$13="",IF($D$15="",INDEX(orderHistory[status],SMALL(IF(ISNUMBER(MATCH(orderHistory[status],$D$11,0)),MATCH(ROW(orderHistory[customer]),ROW(orderHistory[customer])),""),ROWS($A$15:A37)+$B$3)),INDEX(orderHistory[status],SMALL(IF(ISNUMBER(MATCH(orderHistory[status],$D$11,0)*MATCH(YEAR(orderHistory[invoice_date]),$D$15,0)),MATCH(ROW(orderHistory[customer]),ROW(orderHistory[customer])),""),ROWS($A$15:A37)+$B$3))),IF($D$15="",INDEX(orderHistory[status],SMALL(IF(ISNUMBER(MATCH(orderHistory[status],$D$11,0)*MATCH(orderHistory[order_type],$D$13,0)),MATCH(ROW(orderHistory[customer]),ROW(orderHistory[customer])),""),ROWS($A$15:A37)+$B$3)),INDEX(orderHistory[status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status],SMALL(IF(ISNUMBER(MATCH(orderHistory[customer],$D$9,0)),MATCH(ROW(orderHistory[customer]),ROW(orderHistory[customer])),""),ROWS($A$15:A37)+$B$3)),INDEX(orderHistory[status],SMALL(IF(ISNUMBER(MATCH(orderHistory[customer],$D$9,0)*MATCH(YEAR(orderHistory[invoice_date]),$D$15,0)),MATCH(ROW(orderHistory[customer]),ROW(orderHistory[customer])),""),ROWS($A$15:A37)+$B$3))),IF($D$15="",INDEX(orderHistory[status],SMALL(IF(ISNUMBER(MATCH(orderHistory[customer],$D$9,0)*MATCH(orderHistory[order_type],$D$13,0)),MATCH(ROW(orderHistory[customer]),ROW(orderHistory[customer])),""),ROWS($A$15:A37)+$B$3)),INDEX(orderHistory[status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status],SMALL(IF(ISNUMBER(MATCH(orderHistory[customer],$D$9,0)*MATCH(orderHistory[status],$D$11,0)),MATCH(ROW(orderHistory[customer]),ROW(orderHistory[customer])),""),ROWS($A$15:A37)+$B$3)),INDEX(orderHistory[status],SMALL(IF(ISNUMBER(MATCH(orderHistory[customer],$D$9,0)*MATCH(orderHistory[status],$D$11,0)*MATCH(YEAR(orderHistory[status]),$D$15,0)),MATCH(ROW(orderHistory[customer]),ROW(orderHistory[customer])),""),ROWS($A$15:A37)+$B$3))),IF($D$15="",INDEX(orderHistory[status],SMALL(IF(ISNUMBER(MATCH(orderHistory[customer],$D$9,0)*MATCH(orderHistory[status],$D$11,0)*MATCH(orderHistory[order_type],$D$13,0)),MATCH(ROW(orderHistory[customer]),ROW(orderHistory[customer])),""),ROWS($A$15:A37)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SHIPPED</v>
      </c>
      <c r="W32" s="547" t="str">
        <f t="array" ref="W32">IFERROR(IF($D$9="",IF($D$11="",IF($D$13="",IF($D$15="",INDEX(orderHistory[custom_docs],SMALL(MATCH(ROW(orderHistory[customer]),ROW(orderHistory[customer])),ROWS($A$15:A37)+$B$3)),INDEX(orderHistory[custom_docs],SMALL(IF(ISNUMBER(MATCH(YEAR(orderHistory[invoice_date]),$D$15,0)),MATCH(ROW(orderHistory[customer]),ROW(orderHistory[customer])),""),ROWS($A$15:A37)+$B$3))),IF($D$15="",INDEX(orderHistory[custom_docs],SMALL(IF(ISNUMBER(MATCH(orderHistory[order_type],$D$13,0)),MATCH(ROW(orderHistory[customer]),ROW(orderHistory[customer])),""),ROWS($A$15:A37)+$B$3)),INDEX(orderHistory[custom_docs],SMALL(IF(ISNUMBER(MATCH(orderHistory[order_type],$D$13,0)*MATCH(YEAR(orderHistory[invoice_date]),$D$15,0)),MATCH(ROW(orderHistory[customer]),ROW(orderHistory[customer])),""),ROWS($A$15:A37)+$B$3)))),IF($D$13="",IF($D$15="",INDEX(orderHistory[custom_docs],SMALL(IF(ISNUMBER(MATCH(orderHistory[status],$D$11,0)),MATCH(ROW(orderHistory[customer]),ROW(orderHistory[customer])),""),ROWS($A$15:A37)+$B$3)),INDEX(orderHistory[custom_docs],SMALL(IF(ISNUMBER(MATCH(orderHistory[status],$D$11,0)*MATCH(YEAR(orderHistory[invoice_date]),$D$15,0)),MATCH(ROW(orderHistory[customer]),ROW(orderHistory[customer])),""),ROWS($A$15:A37)+$B$3))),IF($D$15="",INDEX(orderHistory[custom_docs],SMALL(IF(ISNUMBER(MATCH(orderHistory[status],$D$11,0)*MATCH(orderHistory[order_type],$D$13,0)),MATCH(ROW(orderHistory[customer]),ROW(orderHistory[customer])),""),ROWS($A$15:A37)+$B$3)),INDEX(orderHistory[custom_docs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custom_docs],SMALL(IF(ISNUMBER(MATCH(orderHistory[customer],$D$9,0)),MATCH(ROW(orderHistory[customer]),ROW(orderHistory[customer])),""),ROWS($A$15:A37)+$B$3)),INDEX(orderHistory[custom_docs],SMALL(IF(ISNUMBER(MATCH(orderHistory[customer],$D$9,0)*MATCH(YEAR(orderHistory[invoice_date]),$D$15,0)),MATCH(ROW(orderHistory[customer]),ROW(orderHistory[customer])),""),ROWS($A$15:A37)+$B$3))),IF($D$15="",INDEX(orderHistory[custom_docs],SMALL(IF(ISNUMBER(MATCH(orderHistory[customer],$D$9,0)*MATCH(orderHistory[order_type],$D$13,0)),MATCH(ROW(orderHistory[customer]),ROW(orderHistory[customer])),""),ROWS($A$15:A37)+$B$3)),INDEX(orderHistory[custom_docs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custom_docs],SMALL(IF(ISNUMBER(MATCH(orderHistory[customer],$D$9,0)*MATCH(orderHistory[status],$D$11,0)),MATCH(ROW(orderHistory[customer]),ROW(orderHistory[customer])),""),ROWS($A$15:A37)+$B$3)),INDEX(orderHistory[custom_docs],SMALL(IF(ISNUMBER(MATCH(orderHistory[customer],$D$9,0)*MATCH(orderHistory[status],$D$11,0)*MATCH(YEAR(orderHistory[status]),$D$15,0)),MATCH(ROW(orderHistory[customer]),ROW(orderHistory[customer])),""),ROWS($A$15:A37)+$B$3))),IF($D$15="",INDEX(orderHistory[custom_docs],SMALL(IF(ISNUMBER(MATCH(orderHistory[customer],$D$9,0)*MATCH(orderHistory[status],$D$11,0)*MATCH(orderHistory[order_type],$D$13,0)),MATCH(ROW(orderHistory[customer]),ROW(orderHistory[customer])),""),ROWS($A$15:A37)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OK</v>
      </c>
      <c r="X32" s="215" t="str">
        <f t="array" ref="X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Z32" s="215" t="str">
        <f t="array" ref="Z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A32" s="215" t="str">
        <f t="array" ref="AA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Q32" s="308"/>
      <c r="AR32" s="353"/>
      <c r="AS32" s="354"/>
      <c r="AT32" s="355"/>
      <c r="AU32" s="271"/>
      <c r="AW32" s="306"/>
      <c r="AX32" s="356"/>
      <c r="BA32" s="351"/>
      <c r="BB32" s="820"/>
      <c r="BC32" s="821"/>
      <c r="BD32" s="822"/>
      <c r="BF32" s="357"/>
      <c r="BJ32" s="271"/>
      <c r="BK32" s="296"/>
      <c r="BL32" s="297"/>
      <c r="BM32" s="298"/>
      <c r="BN32" s="297"/>
      <c r="BO32" s="298"/>
      <c r="BZ32" s="487"/>
      <c r="CA32" s="401" t="str">
        <f>IFERROR(IF(BZ32="","",INDEX(bhpc_data[description],MATCH(BZ32,bhpc_data[sku],0))),"")</f>
        <v/>
      </c>
      <c r="CB32" s="402"/>
      <c r="CC32" s="885"/>
      <c r="CD32" s="411"/>
      <c r="CE32" s="890"/>
      <c r="CF32" s="404"/>
      <c r="CG32" s="405" t="str">
        <f>IFERROR(ROUNDUP(CB32/INDEX(bhpc_data[units_per_carton],MATCH(BZ32,bhpc_data[sku],0)),0),"")</f>
        <v/>
      </c>
      <c r="CH32" s="406" t="str">
        <f>IFERROR(ROUNDUP(CD32/INDEX(bhpc_data[units_per_carton],MATCH(BZ32,bhpc_data[sku],0)),0),"")</f>
        <v/>
      </c>
      <c r="CI32" s="406" t="str">
        <f>IFERROR(ROUNDUP(CF32/INDEX(bhpc_data[units_per_carton],MATCH(BZ32,bhpc_data[sku])),0),"")</f>
        <v/>
      </c>
      <c r="CJ32" s="406" t="str">
        <f>IFERROR(((CB32+CD32+CF32)/INDEX(bhpc_data[units_per_carton],MATCH(BZ32,bhpc_data[sku],0)))*INDEX(bhpc_data[net_weight],MATCH(BZ32,bhpc_data[sku],0)),"")</f>
        <v/>
      </c>
      <c r="CK32" s="406" t="str">
        <f>IFERROR(((CB32+CD32+CF32)/INDEX(bhpc_data[units_per_carton],MATCH(BZ32,bhpc_data[sku],0)))*INDEX(bhpc_data[gross_weight],MATCH(BZ32,bhpc_data[sku],0)),"")</f>
        <v/>
      </c>
      <c r="CL32" s="602" t="str">
        <f>IFERROR((CB32+CD32+CF32)/INDEX(bhpc_data[units_per_carton],MATCH(BZ32,bhpc_data[sku],0))*INDEX(bhpc_data[length],MATCH(BZ32,bhpc_data[sku],0))*INDEX(bhpc_data[width],MATCH(BZ32,bhpc_data[sku],0))*INDEX(bhpc_data[height],MATCH(BZ32,bhpc_data[sku],0))/1000000000,"")</f>
        <v/>
      </c>
      <c r="CM32" s="407" t="str">
        <f>IFERROR(INDEX(bhpc_data[category],MATCH(BZ32,bhpc_data[sku],0)),"")</f>
        <v/>
      </c>
      <c r="CN32" s="407" t="str">
        <f>IFERROR(INDEX(bhpc_data[size],MATCH(BZ32,bhpc_data[sku],0)),"")</f>
        <v/>
      </c>
      <c r="CO32" s="408" t="str">
        <f>IFERROR(INDEX(bhpc_data[hs_code],MATCH(BZ32,bhpc_data[sku],0)),"")</f>
        <v/>
      </c>
      <c r="CP32" s="489" t="str">
        <f>IFERROR(INDEX(bhpc_data[sku_geko],MATCH(BZ32,bhpc_data[sku],0)),"")</f>
        <v/>
      </c>
      <c r="CQ32" s="404"/>
      <c r="CR32" s="517" t="str">
        <f>IFERROR(IF(BZ32="","",IF($BX$15="SALE",INDEX(inventory[COSTO UNITARIO],MATCH(BZ32,inventory[SKU],0)),IF($BX$15="SAMPLING",INDEX(inventory[COSTO UNITARIO],MATCH(BZ32,inventory[SKU],0)),""))),"")</f>
        <v/>
      </c>
      <c r="CS32" s="517" t="str">
        <f t="shared" si="5"/>
        <v/>
      </c>
      <c r="CT32" s="896" t="str">
        <f t="shared" si="6"/>
        <v/>
      </c>
      <c r="CU32" s="469" t="str">
        <f t="shared" si="0"/>
        <v/>
      </c>
      <c r="CW32" s="80"/>
      <c r="CX32" s="432" t="s">
        <v>1024</v>
      </c>
      <c r="CY32" s="457" t="str">
        <f>IF(INDEX(orderHistory[lock_goods],MATCH($BX$11,orderHistory[order_no],0))=0,"",INDEX(orderHistory[lock_goods],MATCH($BX$11,orderHistory[order_no],0)))</f>
        <v>GOODS SENT</v>
      </c>
      <c r="CZ32" s="112"/>
      <c r="DA32" s="112"/>
      <c r="DB32" s="77"/>
      <c r="DH32" s="215"/>
      <c r="EE32" s="445" t="str" cm="1">
        <f t="array" ref="EE32">IFERROR(IF($EC$9="",IF($EC$11="",IF($EC$13="",INDEX(bhpc_data[sku],SMALL(MATCH(ROW(bhpc_data[sku]),ROW(bhpc_data[sku])),ROWS($A$15:A37)+$B$3)),INDEX(bhpc_data[sku],SMALL(IF(ISNUMBER(MATCH(bhpc_data[size],$EC$13,0)),MATCH(ROW(bhpc_data[sku]),ROW(bhpc_data[sku])),""),ROWS($A$15:A37)+$B$3))),IF($EC$13="",INDEX(bhpc_data[sku],SMALL(IF(ISNUMBER(MATCH(bhpc_data[sex],$EC$11,0)),MATCH(ROW(bhpc_data[sku]),ROW(bhpc_data[sku])),""),ROWS($A$15:A37)+$B$3)),INDEX(bhpc_data[sku],SMALL(IF(ISNUMBER(MATCH(bhpc_data[sex],$EC$11,0)*MATCH(bhpc_data[size],$EC$13,0)),MATCH(ROW(bhpc_data[sku]),ROW(bhpc_data[sku])),""),ROWS($A$15:A37)+$B$3)))),IF($EC$11="",IF($EC$13="",INDEX(bhpc_data[sku],SMALL(IF(ISNUMBER(MATCH(bhpc_data[category],$EC$9,0)),MATCH(ROW(bhpc_data[sku]),ROW(bhpc_data[sku])),""),ROWS($A$15:A37)+$B$3)),INDEX(bhpc_data[sku],SMALL(IF(ISNUMBER(MATCH(bhpc_data[category],$EC$9,0)*MATCH(bhpc_data[size],$EC$13,0)),MATCH(ROW(bhpc_data[sku]),ROW(bhpc_data[sku])),""),ROWS($A$15:A37)+$B$3))),IF($EC$13="",INDEX(bhpc_data[sku],SMALL(IF(ISNUMBER(MATCH(bhpc_data[category],$EC$9,0)*MATCH(bhpc_data[sex],$EC$11,0)),MATCH(ROW(bhpc_data[sku]),ROW(bhpc_data[sku])),""),ROWS($A$15:A37)+$B$3)),INDEX(bhpc_data[sku],SMALL(IF(ISNUMBER(MATCH(bhpc_data[category],$EC$9,0)*MATCH(bhpc_data[sex],$EC$11,0)*MATCH(bhpc_data[size],$EC$13,0)),MATCH(ROW(bhpc_data[sku]),ROW(bhpc_data[sku])),""),ROWS($A$15:A37)+$B$3))))),"")</f>
        <v>P05051</v>
      </c>
      <c r="EF32" s="446" t="str" cm="1">
        <f t="array" ref="EF32">IFERROR(IF($EC$9="",IF($EC$11="",IF($EC$13="",INDEX(bhpc_data[description],SMALL(MATCH(ROW(bhpc_data[sku]),ROW(bhpc_data[sku])),ROWS($A$15:A37)+$B$3)),INDEX(bhpc_data[description],SMALL(IF(ISNUMBER(MATCH(bhpc_data[size],$EC$13,0)),MATCH(ROW(bhpc_data[sku]),ROW(bhpc_data[sku])),""),ROWS($A$15:A37)+$B$3))),IF($EC$13="",INDEX(bhpc_data[description],SMALL(IF(ISNUMBER(MATCH(bhpc_data[sex],$EC$11,0)),MATCH(ROW(bhpc_data[sku]),ROW(bhpc_data[sku])),""),ROWS($A$15:A37)+$B$3)),INDEX(bhpc_data[description],SMALL(IF(ISNUMBER(MATCH(bhpc_data[sex],$EC$11,0)*MATCH(bhpc_data[size],$EC$13,0)),MATCH(ROW(bhpc_data[sku]),ROW(bhpc_data[sku])),""),ROWS($A$15:A37)+$B$3)))),IF($EC$11="",IF($EC$13="",INDEX(bhpc_data[description],SMALL(IF(ISNUMBER(MATCH(bhpc_data[category],$EC$9,0)),MATCH(ROW(bhpc_data[sku]),ROW(bhpc_data[sku])),""),ROWS($A$15:A37)+$B$3)),INDEX(bhpc_data[description],SMALL(IF(ISNUMBER(MATCH(bhpc_data[category],$EC$9,0)*MATCH(bhpc_data[size],$EC$13,0)),MATCH(ROW(bhpc_data[sku]),ROW(bhpc_data[sku])),""),ROWS($A$15:A37)+$B$3))),IF($EC$13="",INDEX(bhpc_data[description],SMALL(IF(ISNUMBER(MATCH(bhpc_data[category],$EC$9,0)*MATCH(bhpc_data[sex],$EC$11,0)),MATCH(ROW(bhpc_data[sku]),ROW(bhpc_data[sku])),""),ROWS($A$15:A37)+$B$3)),INDEX(bhpc_data[description],SMALL(IF(ISNUMBER(MATCH(bhpc_data[category],$EC$9,0)*MATCH(bhpc_data[sex],$EC$11,0)*MATCH(bhpc_data[size],$EC$13,0)),MATCH(ROW(bhpc_data[sku]),ROW(bhpc_data[sku])),""),ROWS($A$15:A37)+$B$3))))),"")</f>
        <v>BHPC WOMEN 9 EDP 100ML</v>
      </c>
      <c r="EG32" s="447">
        <f>IFERROR(IF('BHPC MANAGER'!$EE32="","",INDEX(inventory[ESISTENZA],MATCH('BHPC MANAGER'!$EE32,inventory[SKU],0))),0)</f>
        <v>5970</v>
      </c>
      <c r="EH32" s="448">
        <v>-2006</v>
      </c>
      <c r="EI32" s="448">
        <f t="shared" si="1"/>
        <v>3964</v>
      </c>
      <c r="EJ32" s="449">
        <v>-8</v>
      </c>
      <c r="EK32" s="450">
        <f t="shared" si="2"/>
        <v>3956</v>
      </c>
      <c r="FF32" s="263"/>
      <c r="FG32" s="263"/>
      <c r="FH32" s="263"/>
      <c r="FI32" s="263"/>
      <c r="FJ32" s="263"/>
      <c r="FK32" s="263"/>
      <c r="FL32" s="263"/>
      <c r="FM32" s="263"/>
      <c r="FN32" s="263"/>
      <c r="FO32" s="263"/>
      <c r="FP32" s="263"/>
      <c r="FQ32" s="263"/>
      <c r="FR32" s="263"/>
      <c r="FS32" s="263"/>
      <c r="FT32" s="263"/>
      <c r="FU32" s="263"/>
      <c r="FV32" s="263"/>
      <c r="FW32" s="263"/>
      <c r="FX32" s="263"/>
      <c r="FY32" s="263"/>
      <c r="FZ32" s="263"/>
      <c r="GA32" s="263"/>
      <c r="GB32" s="263"/>
      <c r="GC32" s="263"/>
      <c r="GD32" s="263"/>
      <c r="GE32" s="263"/>
      <c r="GF32" s="263"/>
      <c r="GG32" s="263"/>
      <c r="GH32" s="263"/>
      <c r="GI32" s="263"/>
      <c r="GJ32" s="263"/>
      <c r="GK32" s="263"/>
      <c r="GL32" s="263"/>
      <c r="GM32" s="263"/>
      <c r="GN32" s="263"/>
      <c r="GO32" s="263"/>
      <c r="GP32" s="263"/>
      <c r="GQ32" s="263"/>
      <c r="GR32" s="263"/>
      <c r="GS32" s="263"/>
      <c r="GT32" s="263"/>
      <c r="GU32" s="263"/>
      <c r="GV32" s="263"/>
      <c r="GW32" s="263"/>
      <c r="GX32" s="263"/>
      <c r="GY32" s="263"/>
      <c r="GZ32" s="263"/>
      <c r="HA32" s="263"/>
      <c r="HB32" s="263"/>
      <c r="HC32" s="263"/>
      <c r="HD32" s="263"/>
      <c r="HE32" s="263"/>
      <c r="HF32" s="263"/>
      <c r="HG32" s="263"/>
      <c r="HH32" s="263"/>
      <c r="HI32" s="263"/>
      <c r="HJ32" s="263"/>
      <c r="HK32" s="263"/>
      <c r="HL32" s="263"/>
      <c r="HM32" s="263"/>
      <c r="HN32" s="263"/>
      <c r="HO32" s="263"/>
      <c r="HP32" s="263"/>
      <c r="HQ32" s="263"/>
      <c r="HR32" s="263"/>
      <c r="HS32" s="263"/>
      <c r="HT32" s="263"/>
    </row>
    <row r="33" spans="6:228" ht="15" customHeight="1" thickBot="1" x14ac:dyDescent="0.4">
      <c r="F33" s="91"/>
      <c r="G33" s="803"/>
      <c r="H33" s="804"/>
      <c r="I33" s="805"/>
      <c r="J33" s="77"/>
      <c r="L33" s="381" t="str">
        <f t="array" ref="L33">IFERROR(IF($D$9="",IF($D$11="",IF($D$13="",IF($D$15="",INDEX(orderHistory[customer],SMALL(MATCH(ROW(orderHistory[customer]),ROW(orderHistory[customer])),ROWS($A$15:A38)+$B$3)),INDEX(orderHistory[customer],SMALL(IF(ISNUMBER(MATCH(YEAR(orderHistory[invoice_date]),$D$15,0)),MATCH(ROW(orderHistory[customer]),ROW(orderHistory[customer])),""),ROWS($A$15:A38)+$B$3))),IF($D$15="",INDEX(orderHistory[customer],SMALL(IF(ISNUMBER(MATCH(orderHistory[order_type],$D$13,0)),MATCH(ROW(orderHistory[customer]),ROW(orderHistory[customer])),""),ROWS($A$15:A38)+$B$3)),INDEX(orderHistory[customer],SMALL(IF(ISNUMBER(MATCH(orderHistory[order_type],$D$13,0)*MATCH(YEAR(orderHistory[invoice_date]),$D$15,0)),MATCH(ROW(orderHistory[customer]),ROW(orderHistory[customer])),""),ROWS($A$15:A38)+$B$3)))),IF($D$13="",IF($D$15="",INDEX(orderHistory[customer],SMALL(IF(ISNUMBER(MATCH(orderHistory[status],$D$11,0)),MATCH(ROW(orderHistory[customer]),ROW(orderHistory[customer])),""),ROWS($A$15:A38)+$B$3)),INDEX(orderHistory[customer],SMALL(IF(ISNUMBER(MATCH(orderHistory[status],$D$11,0)*MATCH(YEAR(orderHistory[invoice_date]),$D$15,0)),MATCH(ROW(orderHistory[customer]),ROW(orderHistory[customer])),""),ROWS($A$15:A38)+$B$3))),IF($D$15="",INDEX(orderHistory[customer],SMALL(IF(ISNUMBER(MATCH(orderHistory[status],$D$11,0)*MATCH(orderHistory[order_type],$D$13,0)),MATCH(ROW(orderHistory[customer]),ROW(orderHistory[customer])),""),ROWS($A$15:A38)+$B$3)),INDEX(orderHistory[customer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customer],SMALL(IF(ISNUMBER(MATCH(orderHistory[customer],$D$9,0)),MATCH(ROW(orderHistory[customer]),ROW(orderHistory[customer])),""),ROWS($A$15:A38)+$B$3)),INDEX(orderHistory[customer],SMALL(IF(ISNUMBER(MATCH(orderHistory[customer],$D$9,0)*MATCH(YEAR(orderHistory[invoice_date]),$D$15,0)),MATCH(ROW(orderHistory[customer]),ROW(orderHistory[customer])),""),ROWS($A$15:A38)+$B$3))),IF($D$15="",INDEX(orderHistory[customer],SMALL(IF(ISNUMBER(MATCH(orderHistory[customer],$D$9,0)*MATCH(orderHistory[order_type],$D$13,0)),MATCH(ROW(orderHistory[customer]),ROW(orderHistory[customer])),""),ROWS($A$15:A38)+$B$3)),INDEX(orderHistory[customer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customer],SMALL(IF(ISNUMBER(MATCH(orderHistory[customer],$D$9,0)*MATCH(orderHistory[status],$D$11,0)),MATCH(ROW(orderHistory[customer]),ROW(orderHistory[customer])),""),ROWS($A$15:A38)+$B$3)),INDEX(orderHistory[customer],SMALL(IF(ISNUMBER(MATCH(orderHistory[customer],$D$9,0)*MATCH(orderHistory[status],$D$11,0)*MATCH(YEAR(orderHistory[invoice_date]),$D$15,0)),MATCH(ROW(orderHistory[customer]),ROW(orderHistory[customer])),""),ROWS($A$15:A38)+$B$3))),IF($D$15="",INDEX(orderHistory[customer],SMALL(IF(ISNUMBER(MATCH(orderHistory[customer],$D$9,0)*MATCH(orderHistory[status],$D$11,0)*MATCH(orderHistory[order_type],$D$13,0)),MATCH(ROW(orderHistory[customer]),ROW(orderHistory[customer])),""),ROWS($A$15:A38)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ILM</v>
      </c>
      <c r="M33" s="382">
        <f t="array" ref="M33">IFERROR(IF($D$9="",IF($D$11="",IF($D$13="",IF($D$15="",INDEX(orderHistory[order_no],SMALL(MATCH(ROW(orderHistory[customer]),ROW(orderHistory[customer])),ROWS($A$15:A38)+$B$3)),INDEX(orderHistory[order_no],SMALL(IF(ISNUMBER(MATCH(YEAR(orderHistory[invoice_date]),$D$15,0)),MATCH(ROW(orderHistory[customer]),ROW(orderHistory[customer])),""),ROWS($A$15:A38)+$B$3))),IF($D$15="",INDEX(orderHistory[order_no],SMALL(IF(ISNUMBER(MATCH(orderHistory[order_type],$D$13,0)),MATCH(ROW(orderHistory[customer]),ROW(orderHistory[customer])),""),ROWS($A$15:A38)+$B$3)),INDEX(orderHistory[order_no],SMALL(IF(ISNUMBER(MATCH(orderHistory[order_type],$D$13,0)*MATCH(YEAR(orderHistory[invoice_date]),$D$15,0)),MATCH(ROW(orderHistory[customer]),ROW(orderHistory[customer])),""),ROWS($A$15:A38)+$B$3)))),IF($D$13="",IF($D$15="",INDEX(orderHistory[order_no],SMALL(IF(ISNUMBER(MATCH(orderHistory[status],$D$11,0)),MATCH(ROW(orderHistory[customer]),ROW(orderHistory[customer])),""),ROWS($A$15:A38)+$B$3)),INDEX(orderHistory[order_no],SMALL(IF(ISNUMBER(MATCH(orderHistory[status],$D$11,0)*MATCH(YEAR(orderHistory[invoice_date]),$D$15,0)),MATCH(ROW(orderHistory[customer]),ROW(orderHistory[customer])),""),ROWS($A$15:A38)+$B$3))),IF($D$15="",INDEX(orderHistory[order_no],SMALL(IF(ISNUMBER(MATCH(orderHistory[status],$D$11,0)*MATCH(orderHistory[order_type],$D$13,0)),MATCH(ROW(orderHistory[customer]),ROW(orderHistory[customer])),""),ROWS($A$15:A38)+$B$3)),INDEX(orderHistory[order_no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order_no],SMALL(IF(ISNUMBER(MATCH(orderHistory[customer],$D$9,0)),MATCH(ROW(orderHistory[customer]),ROW(orderHistory[customer])),""),ROWS($A$15:A38)+$B$3)),INDEX(orderHistory[order_no],SMALL(IF(ISNUMBER(MATCH(orderHistory[customer],$D$9,0)*MATCH(YEAR(orderHistory[invoice_date]),$D$15,0)),MATCH(ROW(orderHistory[customer]),ROW(orderHistory[customer])),""),ROWS($A$15:A38)+$B$3))),IF($D$15="",INDEX(orderHistory[order_no],SMALL(IF(ISNUMBER(MATCH(orderHistory[customer],$D$9,0)*MATCH(orderHistory[order_type],$D$13,0)),MATCH(ROW(orderHistory[customer]),ROW(orderHistory[customer])),""),ROWS($A$15:A38)+$B$3)),INDEX(orderHistory[order_no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order_no],SMALL(IF(ISNUMBER(MATCH(orderHistory[customer],$D$9,0)*MATCH(orderHistory[status],$D$11,0)),MATCH(ROW(orderHistory[customer]),ROW(orderHistory[customer])),""),ROWS($A$15:A38)+$B$3)),INDEX(orderHistory[order_no],SMALL(IF(ISNUMBER(MATCH(orderHistory[customer],$D$9,0)*MATCH(orderHistory[status],$D$11,0)*MATCH(YEAR(orderHistory[invoice_date]),$D$15,0)),MATCH(ROW(orderHistory[customer]),ROW(orderHistory[customer])),""),ROWS($A$15:A38)+$B$3))),IF($D$15="",INDEX(orderHistory[order_no],SMALL(IF(ISNUMBER(MATCH(orderHistory[customer],$D$9,0)*MATCH(orderHistory[status],$D$11,0)*MATCH(orderHistory[order_type],$D$13,0)),MATCH(ROW(orderHistory[customer]),ROW(orderHistory[customer])),""),ROWS($A$15:A38)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35</v>
      </c>
      <c r="N33" s="383" t="str">
        <f t="array" ref="N33">IFERROR(IF($D$9="",IF($D$11="",IF($D$13="",IF($D$15="",INDEX(orderHistory[order_type],SMALL(MATCH(ROW(orderHistory[customer]),ROW(orderHistory[customer])),ROWS($A$15:A38)+$B$3)),INDEX(orderHistory[order_type],SMALL(IF(ISNUMBER(MATCH(YEAR(orderHistory[invoice_date]),$D$15,0)),MATCH(ROW(orderHistory[customer]),ROW(orderHistory[customer])),""),ROWS($A$15:A38)+$B$3))),IF($D$15="",INDEX(orderHistory[order_type],SMALL(IF(ISNUMBER(MATCH(orderHistory[order_type],$D$13,0)),MATCH(ROW(orderHistory[customer]),ROW(orderHistory[customer])),""),ROWS($A$15:A38)+$B$3)),INDEX(orderHistory[order_type],SMALL(IF(ISNUMBER(MATCH(orderHistory[order_type],$D$13,0)*MATCH(YEAR(orderHistory[invoice_date]),$D$15,0)),MATCH(ROW(orderHistory[customer]),ROW(orderHistory[customer])),""),ROWS($A$15:A38)+$B$3)))),IF($D$13="",IF($D$15="",INDEX(orderHistory[order_type],SMALL(IF(ISNUMBER(MATCH(orderHistory[status],$D$11,0)),MATCH(ROW(orderHistory[customer]),ROW(orderHistory[customer])),""),ROWS($A$15:A38)+$B$3)),INDEX(orderHistory[order_type],SMALL(IF(ISNUMBER(MATCH(orderHistory[status],$D$11,0)*MATCH(YEAR(orderHistory[invoice_date]),$D$15,0)),MATCH(ROW(orderHistory[customer]),ROW(orderHistory[customer])),""),ROWS($A$15:A38)+$B$3))),IF($D$15="",INDEX(orderHistory[order_type],SMALL(IF(ISNUMBER(MATCH(orderHistory[status],$D$11,0)*MATCH(orderHistory[order_type],$D$13,0)),MATCH(ROW(orderHistory[customer]),ROW(orderHistory[customer])),""),ROWS($A$15:A38)+$B$3)),INDEX(orderHistory[order_type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order_type],SMALL(IF(ISNUMBER(MATCH(orderHistory[customer],$D$9,0)),MATCH(ROW(orderHistory[customer]),ROW(orderHistory[customer])),""),ROWS($A$15:A38)+$B$3)),INDEX(orderHistory[order_type],SMALL(IF(ISNUMBER(MATCH(orderHistory[customer],$D$9,0)*MATCH(YEAR(orderHistory[invoice_date]),$D$15,0)),MATCH(ROW(orderHistory[customer]),ROW(orderHistory[customer])),""),ROWS($A$15:A38)+$B$3))),IF($D$15="",INDEX(orderHistory[order_type],SMALL(IF(ISNUMBER(MATCH(orderHistory[customer],$D$9,0)*MATCH(orderHistory[order_type],$D$13,0)),MATCH(ROW(orderHistory[customer]),ROW(orderHistory[customer])),""),ROWS($A$15:A38)+$B$3)),INDEX(orderHistory[order_type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order_type],SMALL(IF(ISNUMBER(MATCH(orderHistory[customer],$D$9,0)*MATCH(orderHistory[status],$D$11,0)),MATCH(ROW(orderHistory[customer]),ROW(orderHistory[customer])),""),ROWS($A$15:A38)+$B$3)),INDEX(orderHistory[order_type],SMALL(IF(ISNUMBER(MATCH(orderHistory[customer],$D$9,0)*MATCH(orderHistory[status],$D$11,0)*MATCH(YEAR(orderHistory[invoice_date]),$D$15,0)),MATCH(ROW(orderHistory[customer]),ROW(orderHistory[customer])),""),ROWS($A$15:A38)+$B$3))),IF($D$15="",INDEX(orderHistory[order_type],SMALL(IF(ISNUMBER(MATCH(orderHistory[customer],$D$9,0)*MATCH(orderHistory[status],$D$11,0)*MATCH(orderHistory[order_type],$D$13,0)),MATCH(ROW(orderHistory[customer]),ROW(orderHistory[customer])),""),ROWS($A$15:A38)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SALE</v>
      </c>
      <c r="O33" s="384">
        <f t="array" ref="O33">IFERROR(IF($D$9="",IF($D$11="",IF($D$13="",IF($D$15="",INDEX(orderHistory[order_date],SMALL(MATCH(ROW(orderHistory[customer]),ROW(orderHistory[customer])),ROWS($A$15:A38)+$B$3)),INDEX(orderHistory[order_date],SMALL(IF(ISNUMBER(MATCH(YEAR(orderHistory[invoice_date]),$D$15,0)),MATCH(ROW(orderHistory[customer]),ROW(orderHistory[customer])),""),ROWS($A$15:A38)+$B$3))),IF($D$15="",INDEX(orderHistory[order_date],SMALL(IF(ISNUMBER(MATCH(orderHistory[order_type],$D$13,0)),MATCH(ROW(orderHistory[customer]),ROW(orderHistory[customer])),""),ROWS($A$15:A38)+$B$3)),INDEX(orderHistory[order_date],SMALL(IF(ISNUMBER(MATCH(orderHistory[order_type],$D$13,0)*MATCH(YEAR(orderHistory[invoice_date]),$D$15,0)),MATCH(ROW(orderHistory[customer]),ROW(orderHistory[customer])),""),ROWS($A$15:A38)+$B$3)))),IF($D$13="",IF($D$15="",INDEX(orderHistory[order_date],SMALL(IF(ISNUMBER(MATCH(orderHistory[status],$D$11,0)),MATCH(ROW(orderHistory[customer]),ROW(orderHistory[customer])),""),ROWS($A$15:A38)+$B$3)),INDEX(orderHistory[order_date],SMALL(IF(ISNUMBER(MATCH(orderHistory[status],$D$11,0)*MATCH(YEAR(orderHistory[invoice_date]),$D$15,0)),MATCH(ROW(orderHistory[customer]),ROW(orderHistory[customer])),""),ROWS($A$15:A38)+$B$3))),IF($D$15="",INDEX(orderHistory[order_date],SMALL(IF(ISNUMBER(MATCH(orderHistory[status],$D$11,0)*MATCH(orderHistory[order_type],$D$13,0)),MATCH(ROW(orderHistory[customer]),ROW(orderHistory[customer])),""),ROWS($A$15:A38)+$B$3)),INDEX(orderHistory[order_date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order_date],SMALL(IF(ISNUMBER(MATCH(orderHistory[customer],$D$9,0)),MATCH(ROW(orderHistory[customer]),ROW(orderHistory[customer])),""),ROWS($A$15:A38)+$B$3)),INDEX(orderHistory[order_date],SMALL(IF(ISNUMBER(MATCH(orderHistory[customer],$D$9,0)*MATCH(YEAR(orderHistory[invoice_date]),$D$15,0)),MATCH(ROW(orderHistory[customer]),ROW(orderHistory[customer])),""),ROWS($A$15:A38)+$B$3))),IF($D$15="",INDEX(orderHistory[order_date],SMALL(IF(ISNUMBER(MATCH(orderHistory[customer],$D$9,0)*MATCH(orderHistory[order_type],$D$13,0)),MATCH(ROW(orderHistory[customer]),ROW(orderHistory[customer])),""),ROWS($A$15:A38)+$B$3)),INDEX(orderHistory[order_date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order_date],SMALL(IF(ISNUMBER(MATCH(orderHistory[customer],$D$9,0)*MATCH(orderHistory[status],$D$11,0)),MATCH(ROW(orderHistory[customer]),ROW(orderHistory[customer])),""),ROWS($A$15:A38)+$B$3)),INDEX(orderHistory[order_date],SMALL(IF(ISNUMBER(MATCH(orderHistory[customer],$D$9,0)*MATCH(orderHistory[status],$D$11,0)*MATCH(YEAR(orderHistory[invoice_date]),$D$15,0)),MATCH(ROW(orderHistory[customer]),ROW(orderHistory[customer])),""),ROWS($A$15:A38)+$B$3))),IF($D$15="",INDEX(orderHistory[order_date],SMALL(IF(ISNUMBER(MATCH(orderHistory[customer],$D$9,0)*MATCH(orderHistory[status],$D$11,0)*MATCH(orderHistory[order_type],$D$13,0)),MATCH(ROW(orderHistory[customer]),ROW(orderHistory[customer])),""),ROWS($A$15:A38)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45406</v>
      </c>
      <c r="P33" s="385" t="str">
        <f t="array" ref="P33">IFERROR(IF($D$9="",IF($D$11="",IF($D$13="",IF($D$15="",INDEX(orderHistory[invoice_no],SMALL(MATCH(ROW(orderHistory[customer]),ROW(orderHistory[customer])),ROWS($A$15:A38)+$B$3)),INDEX(orderHistory[invoice_no],SMALL(IF(ISNUMBER(MATCH(YEAR(orderHistory[invoice_date]),$D$15,0)),MATCH(ROW(orderHistory[customer]),ROW(orderHistory[customer])),""),ROWS($A$15:A38)+$B$3))),IF($D$15="",INDEX(orderHistory[invoice_no],SMALL(IF(ISNUMBER(MATCH(orderHistory[order_type],$D$13,0)),MATCH(ROW(orderHistory[customer]),ROW(orderHistory[customer])),""),ROWS($A$15:A38)+$B$3)),INDEX(orderHistory[invoice_no],SMALL(IF(ISNUMBER(MATCH(orderHistory[order_type],$D$13,0)*MATCH(YEAR(orderHistory[invoice_date]),$D$15,0)),MATCH(ROW(orderHistory[customer]),ROW(orderHistory[customer])),""),ROWS($A$15:A38)+$B$3)))),IF($D$13="",IF($D$15="",INDEX(orderHistory[invoice_no],SMALL(IF(ISNUMBER(MATCH(orderHistory[status],$D$11,0)),MATCH(ROW(orderHistory[customer]),ROW(orderHistory[customer])),""),ROWS($A$15:A38)+$B$3)),INDEX(orderHistory[invoice_no],SMALL(IF(ISNUMBER(MATCH(orderHistory[status],$D$11,0)*MATCH(YEAR(orderHistory[invoice_date]),$D$15,0)),MATCH(ROW(orderHistory[customer]),ROW(orderHistory[customer])),""),ROWS($A$15:A38)+$B$3))),IF($D$15="",INDEX(orderHistory[invoice_no],SMALL(IF(ISNUMBER(MATCH(orderHistory[status],$D$11,0)*MATCH(orderHistory[order_type],$D$13,0)),MATCH(ROW(orderHistory[customer]),ROW(orderHistory[customer])),""),ROWS($A$15:A38)+$B$3)),INDEX(orderHistory[invoice_no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invoice_no],SMALL(IF(ISNUMBER(MATCH(orderHistory[customer],$D$9,0)),MATCH(ROW(orderHistory[customer]),ROW(orderHistory[customer])),""),ROWS($A$15:A38)+$B$3)),INDEX(orderHistory[invoice_no],SMALL(IF(ISNUMBER(MATCH(orderHistory[customer],$D$9,0)*MATCH(YEAR(orderHistory[invoice_date]),$D$15,0)),MATCH(ROW(orderHistory[customer]),ROW(orderHistory[customer])),""),ROWS($A$15:A38)+$B$3))),IF($D$15="",INDEX(orderHistory[invoice_no],SMALL(IF(ISNUMBER(MATCH(orderHistory[customer],$D$9,0)*MATCH(orderHistory[order_type],$D$13,0)),MATCH(ROW(orderHistory[customer]),ROW(orderHistory[customer])),""),ROWS($A$15:A38)+$B$3)),INDEX(orderHistory[invoice_no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invoice_no],SMALL(IF(ISNUMBER(MATCH(orderHistory[customer],$D$9,0)*MATCH(orderHistory[status],$D$11,0)),MATCH(ROW(orderHistory[customer]),ROW(orderHistory[customer])),""),ROWS($A$15:A38)+$B$3)),INDEX(orderHistory[invoice_no],SMALL(IF(ISNUMBER(MATCH(orderHistory[customer],$D$9,0)*MATCH(orderHistory[status],$D$11,0)*MATCH(YEAR(orderHistory[invoice_date]),$D$15,0)),MATCH(ROW(orderHistory[customer]),ROW(orderHistory[customer])),""),ROWS($A$15:A38)+$B$3))),IF($D$15="",INDEX(orderHistory[invoice_no],SMALL(IF(ISNUMBER(MATCH(orderHistory[customer],$D$9,0)*MATCH(orderHistory[status],$D$11,0)*MATCH(orderHistory[order_type],$D$13,0)),MATCH(ROW(orderHistory[customer]),ROW(orderHistory[customer])),""),ROWS($A$15:A38)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187</v>
      </c>
      <c r="Q33" s="386">
        <f t="array" ref="Q33">IFERROR(IF($D$9="",IF($D$11="",IF($D$13="",IF($D$15="",INDEX(orderHistory[invoice_date],SMALL(MATCH(ROW(orderHistory[customer]),ROW(orderHistory[customer])),ROWS($A$15:A38)+$B$3)),INDEX(orderHistory[invoice_date],SMALL(IF(ISNUMBER(MATCH(YEAR(orderHistory[invoice_date]),$D$15,0)),MATCH(ROW(orderHistory[customer]),ROW(orderHistory[customer])),""),ROWS($A$15:A38)+$B$3))),IF($D$15="",INDEX(orderHistory[invoice_date],SMALL(IF(ISNUMBER(MATCH(orderHistory[order_type],$D$13,0)),MATCH(ROW(orderHistory[customer]),ROW(orderHistory[customer])),""),ROWS($A$15:A38)+$B$3)),INDEX(orderHistory[invoice_date],SMALL(IF(ISNUMBER(MATCH(orderHistory[order_type],$D$13,0)*MATCH(YEAR(orderHistory[invoice_date]),$D$15,0)),MATCH(ROW(orderHistory[customer]),ROW(orderHistory[customer])),""),ROWS($A$15:A38)+$B$3)))),IF($D$13="",IF($D$15="",INDEX(orderHistory[invoice_date],SMALL(IF(ISNUMBER(MATCH(orderHistory[status],$D$11,0)),MATCH(ROW(orderHistory[customer]),ROW(orderHistory[customer])),""),ROWS($A$15:A38)+$B$3)),INDEX(orderHistory[invoice_date],SMALL(IF(ISNUMBER(MATCH(orderHistory[status],$D$11,0)*MATCH(YEAR(orderHistory[invoice_date]),$D$15,0)),MATCH(ROW(orderHistory[customer]),ROW(orderHistory[customer])),""),ROWS($A$15:A38)+$B$3))),IF($D$15="",INDEX(orderHistory[invoice_date],SMALL(IF(ISNUMBER(MATCH(orderHistory[status],$D$11,0)*MATCH(orderHistory[order_type],$D$13,0)),MATCH(ROW(orderHistory[customer]),ROW(orderHistory[customer])),""),ROWS($A$15:A38)+$B$3)),INDEX(orderHistory[invoice_date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invoice_date],SMALL(IF(ISNUMBER(MATCH(orderHistory[customer],$D$9,0)),MATCH(ROW(orderHistory[customer]),ROW(orderHistory[customer])),""),ROWS($A$15:A38)+$B$3)),INDEX(orderHistory[invoice_date],SMALL(IF(ISNUMBER(MATCH(orderHistory[customer],$D$9,0)*MATCH(YEAR(orderHistory[invoice_date]),$D$15,0)),MATCH(ROW(orderHistory[customer]),ROW(orderHistory[customer])),""),ROWS($A$15:A38)+$B$3))),IF($D$15="",INDEX(orderHistory[invoice_date],SMALL(IF(ISNUMBER(MATCH(orderHistory[customer],$D$9,0)*MATCH(orderHistory[order_type],$D$13,0)),MATCH(ROW(orderHistory[customer]),ROW(orderHistory[customer])),""),ROWS($A$15:A38)+$B$3)),INDEX(orderHistory[invoice_date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invoice_date],SMALL(IF(ISNUMBER(MATCH(orderHistory[customer],$D$9,0)*MATCH(orderHistory[status],$D$11,0)),MATCH(ROW(orderHistory[customer]),ROW(orderHistory[customer])),""),ROWS($A$15:A38)+$B$3)),INDEX(orderHistory[invoice_date],SMALL(IF(ISNUMBER(MATCH(orderHistory[customer],$D$9,0)*MATCH(orderHistory[status],$D$11,0)*MATCH(YEAR(orderHistory[invoice_date]),$D$15,0)),MATCH(ROW(orderHistory[customer]),ROW(orderHistory[customer])),""),ROWS($A$15:A38)+$B$3))),IF($D$15="",INDEX(orderHistory[invoice_date],SMALL(IF(ISNUMBER(MATCH(orderHistory[customer],$D$9,0)*MATCH(orderHistory[status],$D$11,0)*MATCH(orderHistory[order_type],$D$13,0)),MATCH(ROW(orderHistory[customer]),ROW(orderHistory[customer])),""),ROWS($A$15:A38)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45446</v>
      </c>
      <c r="R33" s="387">
        <f t="array" ref="R33">IFERROR(IF($D$9="",IF($D$11="",IF($D$13="",IF($D$15="",INDEX(orderHistory[inv_amount],SMALL(MATCH(ROW(orderHistory[customer]),ROW(orderHistory[customer])),ROWS($A$15:A38)+$B$3)),INDEX(orderHistory[inv_amount],SMALL(IF(ISNUMBER(MATCH(YEAR(orderHistory[invoice_date]),$D$15,0)),MATCH(ROW(orderHistory[customer]),ROW(orderHistory[customer])),""),ROWS($A$15:A38)+$B$3))),IF($D$15="",INDEX(orderHistory[inv_amount],SMALL(IF(ISNUMBER(MATCH(orderHistory[order_type],$D$13,0)),MATCH(ROW(orderHistory[customer]),ROW(orderHistory[customer])),""),ROWS($A$15:A38)+$B$3)),INDEX(orderHistory[inv_amount],SMALL(IF(ISNUMBER(MATCH(orderHistory[order_type],$D$13,0)*MATCH(YEAR(orderHistory[invoice_date]),$D$15,0)),MATCH(ROW(orderHistory[customer]),ROW(orderHistory[customer])),""),ROWS($A$15:A38)+$B$3)))),IF($D$13="",IF($D$15="",INDEX(orderHistory[inv_amount],SMALL(IF(ISNUMBER(MATCH(orderHistory[status],$D$11,0)),MATCH(ROW(orderHistory[customer]),ROW(orderHistory[customer])),""),ROWS($A$15:A38)+$B$3)),INDEX(orderHistory[inv_amount],SMALL(IF(ISNUMBER(MATCH(orderHistory[status],$D$11,0)*MATCH(YEAR(orderHistory[invoice_date]),$D$15,0)),MATCH(ROW(orderHistory[customer]),ROW(orderHistory[customer])),""),ROWS($A$15:A38)+$B$3))),IF($D$15="",INDEX(orderHistory[inv_amount],SMALL(IF(ISNUMBER(MATCH(orderHistory[status],$D$11,0)*MATCH(orderHistory[order_type],$D$13,0)),MATCH(ROW(orderHistory[customer]),ROW(orderHistory[customer])),""),ROWS($A$15:A38)+$B$3)),INDEX(orderHistory[inv_amount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inv_amount],SMALL(IF(ISNUMBER(MATCH(orderHistory[customer],$D$9,0)),MATCH(ROW(orderHistory[customer]),ROW(orderHistory[customer])),""),ROWS($A$15:A38)+$B$3)),INDEX(orderHistory[inv_amount],SMALL(IF(ISNUMBER(MATCH(orderHistory[customer],$D$9,0)*MATCH(YEAR(orderHistory[invoice_date]),$D$15,0)),MATCH(ROW(orderHistory[customer]),ROW(orderHistory[customer])),""),ROWS($A$15:A38)+$B$3))),IF($D$15="",INDEX(orderHistory[inv_amount],SMALL(IF(ISNUMBER(MATCH(orderHistory[customer],$D$9,0)*MATCH(orderHistory[order_type],$D$13,0)),MATCH(ROW(orderHistory[customer]),ROW(orderHistory[customer])),""),ROWS($A$15:A38)+$B$3)),INDEX(orderHistory[inv_amount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inv_amount],SMALL(IF(ISNUMBER(MATCH(orderHistory[customer],$D$9,0)*MATCH(orderHistory[status],$D$11,0)),MATCH(ROW(orderHistory[customer]),ROW(orderHistory[customer])),""),ROWS($A$15:A38)+$B$3)),INDEX(orderHistory[inv_amount],SMALL(IF(ISNUMBER(MATCH(orderHistory[customer],$D$9,0)*MATCH(orderHistory[status],$D$11,0)*MATCH(YEAR(orderHistory[inv_amount]),$D$15,0)),MATCH(ROW(orderHistory[customer]),ROW(orderHistory[customer])),""),ROWS($A$15:A38)+$B$3))),IF($D$15="",INDEX(orderHistory[inv_amount],SMALL(IF(ISNUMBER(MATCH(orderHistory[customer],$D$9,0)*MATCH(orderHistory[status],$D$11,0)*MATCH(orderHistory[order_type],$D$13,0)),MATCH(ROW(orderHistory[customer]),ROW(orderHistory[customer])),""),ROWS($A$15:A38)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90999.45</v>
      </c>
      <c r="S33" s="465" t="str">
        <f t="array" ref="S33">IFERROR(IF($D$9="",IF($D$11="",IF($D$13="",IF($D$15="",INDEX(orderHistory[lock_goods],SMALL(MATCH(ROW(orderHistory[customer]),ROW(orderHistory[customer])),ROWS($A$15:A38)+$B$3)),INDEX(orderHistory[lock_goods],SMALL(IF(ISNUMBER(MATCH(YEAR(orderHistory[invoice_date]),$D$15,0)),MATCH(ROW(orderHistory[customer]),ROW(orderHistory[customer])),""),ROWS($A$15:A38)+$B$3))),IF($D$15="",INDEX(orderHistory[lock_goods],SMALL(IF(ISNUMBER(MATCH(orderHistory[order_type],$D$13,0)),MATCH(ROW(orderHistory[customer]),ROW(orderHistory[customer])),""),ROWS($A$15:A38)+$B$3)),INDEX(orderHistory[lock_goods],SMALL(IF(ISNUMBER(MATCH(orderHistory[order_type],$D$13,0)*MATCH(YEAR(orderHistory[invoice_date]),$D$15,0)),MATCH(ROW(orderHistory[customer]),ROW(orderHistory[customer])),""),ROWS($A$15:A38)+$B$3)))),IF($D$13="",IF($D$15="",INDEX(orderHistory[lock_goods],SMALL(IF(ISNUMBER(MATCH(orderHistory[status],$D$11,0)),MATCH(ROW(orderHistory[customer]),ROW(orderHistory[customer])),""),ROWS($A$15:A38)+$B$3)),INDEX(orderHistory[lock_goods],SMALL(IF(ISNUMBER(MATCH(orderHistory[status],$D$11,0)*MATCH(YEAR(orderHistory[invoice_date]),$D$15,0)),MATCH(ROW(orderHistory[customer]),ROW(orderHistory[customer])),""),ROWS($A$15:A38)+$B$3))),IF($D$15="",INDEX(orderHistory[lock_goods],SMALL(IF(ISNUMBER(MATCH(orderHistory[status],$D$11,0)*MATCH(orderHistory[order_type],$D$13,0)),MATCH(ROW(orderHistory[customer]),ROW(orderHistory[customer])),""),ROWS($A$15:A38)+$B$3)),INDEX(orderHistory[lock_goods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lock_goods],SMALL(IF(ISNUMBER(MATCH(orderHistory[customer],$D$9,0)),MATCH(ROW(orderHistory[customer]),ROW(orderHistory[customer])),""),ROWS($A$15:A38)+$B$3)),INDEX(orderHistory[lock_goods],SMALL(IF(ISNUMBER(MATCH(orderHistory[customer],$D$9,0)*MATCH(YEAR(orderHistory[invoice_date]),$D$15,0)),MATCH(ROW(orderHistory[customer]),ROW(orderHistory[customer])),""),ROWS($A$15:A38)+$B$3))),IF($D$15="",INDEX(orderHistory[lock_goods],SMALL(IF(ISNUMBER(MATCH(orderHistory[customer],$D$9,0)*MATCH(orderHistory[order_type],$D$13,0)),MATCH(ROW(orderHistory[customer]),ROW(orderHistory[customer])),""),ROWS($A$15:A38)+$B$3)),INDEX(orderHistory[lock_goods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lock_goods],SMALL(IF(ISNUMBER(MATCH(orderHistory[customer],$D$9,0)*MATCH(orderHistory[status],$D$11,0)),MATCH(ROW(orderHistory[customer]),ROW(orderHistory[customer])),""),ROWS($A$15:A38)+$B$3)),INDEX(orderHistory[lock_goods],SMALL(IF(ISNUMBER(MATCH(orderHistory[customer],$D$9,0)*MATCH(orderHistory[status],$D$11,0)*MATCH(YEAR(orderHistory[payed]),$D$15,0)),MATCH(ROW(orderHistory[customer]),ROW(orderHistory[customer])),""),ROWS($A$15:A38)+$B$3))),IF($D$15="",INDEX(orderHistory[lock_goods],SMALL(IF(ISNUMBER(MATCH(orderHistory[customer],$D$9,0)*MATCH(orderHistory[status],$D$11,0)*MATCH(orderHistory[order_type],$D$13,0)),MATCH(ROW(orderHistory[customer]),ROW(orderHistory[customer])),""),ROWS($A$15:A38)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GOODS SENT</v>
      </c>
      <c r="T33" s="388" t="b">
        <f t="array" ref="T33">IFERROR(IF($D$9="",IF($D$11="",IF($D$13="",IF($D$15="",INDEX(orderHistory[payed],SMALL(MATCH(ROW(orderHistory[customer]),ROW(orderHistory[customer])),ROWS($A$15:A38)+$B$3)),INDEX(orderHistory[payed],SMALL(IF(ISNUMBER(MATCH(YEAR(orderHistory[invoice_date]),$D$15,0)),MATCH(ROW(orderHistory[customer]),ROW(orderHistory[customer])),""),ROWS($A$15:A38)+$B$3))),IF($D$15="",INDEX(orderHistory[payed],SMALL(IF(ISNUMBER(MATCH(orderHistory[order_type],$D$13,0)),MATCH(ROW(orderHistory[customer]),ROW(orderHistory[customer])),""),ROWS($A$15:A38)+$B$3)),INDEX(orderHistory[payed],SMALL(IF(ISNUMBER(MATCH(orderHistory[order_type],$D$13,0)*MATCH(YEAR(orderHistory[invoice_date]),$D$15,0)),MATCH(ROW(orderHistory[customer]),ROW(orderHistory[customer])),""),ROWS($A$15:A38)+$B$3)))),IF($D$13="",IF($D$15="",INDEX(orderHistory[payed],SMALL(IF(ISNUMBER(MATCH(orderHistory[status],$D$11,0)),MATCH(ROW(orderHistory[customer]),ROW(orderHistory[customer])),""),ROWS($A$15:A38)+$B$3)),INDEX(orderHistory[payed],SMALL(IF(ISNUMBER(MATCH(orderHistory[status],$D$11,0)*MATCH(YEAR(orderHistory[invoice_date]),$D$15,0)),MATCH(ROW(orderHistory[customer]),ROW(orderHistory[customer])),""),ROWS($A$15:A38)+$B$3))),IF($D$15="",INDEX(orderHistory[payed],SMALL(IF(ISNUMBER(MATCH(orderHistory[status],$D$11,0)*MATCH(orderHistory[order_type],$D$13,0)),MATCH(ROW(orderHistory[customer]),ROW(orderHistory[customer])),""),ROWS($A$15:A38)+$B$3)),INDEX(orderHistory[payed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payed],SMALL(IF(ISNUMBER(MATCH(orderHistory[customer],$D$9,0)),MATCH(ROW(orderHistory[customer]),ROW(orderHistory[customer])),""),ROWS($A$15:A38)+$B$3)),INDEX(orderHistory[payed],SMALL(IF(ISNUMBER(MATCH(orderHistory[customer],$D$9,0)*MATCH(YEAR(orderHistory[invoice_date]),$D$15,0)),MATCH(ROW(orderHistory[customer]),ROW(orderHistory[customer])),""),ROWS($A$15:A38)+$B$3))),IF($D$15="",INDEX(orderHistory[payed],SMALL(IF(ISNUMBER(MATCH(orderHistory[customer],$D$9,0)*MATCH(orderHistory[order_type],$D$13,0)),MATCH(ROW(orderHistory[customer]),ROW(orderHistory[customer])),""),ROWS($A$15:A38)+$B$3)),INDEX(orderHistory[payed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payed],SMALL(IF(ISNUMBER(MATCH(orderHistory[customer],$D$9,0)*MATCH(orderHistory[status],$D$11,0)),MATCH(ROW(orderHistory[customer]),ROW(orderHistory[customer])),""),ROWS($A$15:A38)+$B$3)),INDEX(orderHistory[payed],SMALL(IF(ISNUMBER(MATCH(orderHistory[customer],$D$9,0)*MATCH(orderHistory[status],$D$11,0)*MATCH(YEAR(orderHistory[payed]),$D$15,0)),MATCH(ROW(orderHistory[customer]),ROW(orderHistory[customer])),""),ROWS($A$15:A38)+$B$3))),IF($D$15="",INDEX(orderHistory[payed],SMALL(IF(ISNUMBER(MATCH(orderHistory[customer],$D$9,0)*MATCH(orderHistory[status],$D$11,0)*MATCH(orderHistory[order_type],$D$13,0)),MATCH(ROW(orderHistory[customer]),ROW(orderHistory[customer])),""),ROWS($A$15:A38)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1</v>
      </c>
      <c r="U33" s="383" t="str">
        <f t="array" ref="U33">IFERROR(IF($D$9="",IF($D$11="",IF($D$13="",IF($D$15="",INDEX(orderHistory[shipping_method],SMALL(MATCH(ROW(orderHistory[customer]),ROW(orderHistory[customer])),ROWS($A$15:A38)+$B$3)),INDEX(orderHistory[shipping_method],SMALL(IF(ISNUMBER(MATCH(YEAR(orderHistory[invoice_date]),$D$15,0)),MATCH(ROW(orderHistory[customer]),ROW(orderHistory[customer])),""),ROWS($A$15:A38)+$B$3))),IF($D$15="",INDEX(orderHistory[shipping_method],SMALL(IF(ISNUMBER(MATCH(orderHistory[order_type],$D$13,0)),MATCH(ROW(orderHistory[customer]),ROW(orderHistory[customer])),""),ROWS($A$15:A38)+$B$3)),INDEX(orderHistory[shipping_method],SMALL(IF(ISNUMBER(MATCH(orderHistory[order_type],$D$13,0)*MATCH(YEAR(orderHistory[invoice_date]),$D$15,0)),MATCH(ROW(orderHistory[customer]),ROW(orderHistory[customer])),""),ROWS($A$15:A38)+$B$3)))),IF($D$13="",IF($D$15="",INDEX(orderHistory[shipping_method],SMALL(IF(ISNUMBER(MATCH(orderHistory[status],$D$11,0)),MATCH(ROW(orderHistory[customer]),ROW(orderHistory[customer])),""),ROWS($A$15:A38)+$B$3)),INDEX(orderHistory[shipping_method],SMALL(IF(ISNUMBER(MATCH(orderHistory[status],$D$11,0)*MATCH(YEAR(orderHistory[invoice_date]),$D$15,0)),MATCH(ROW(orderHistory[customer]),ROW(orderHistory[customer])),""),ROWS($A$15:A38)+$B$3))),IF($D$15="",INDEX(orderHistory[shipping_method],SMALL(IF(ISNUMBER(MATCH(orderHistory[status],$D$11,0)*MATCH(orderHistory[order_type],$D$13,0)),MATCH(ROW(orderHistory[customer]),ROW(orderHistory[customer])),""),ROWS($A$15:A38)+$B$3)),INDEX(orderHistory[shipping_method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shipping_method],SMALL(IF(ISNUMBER(MATCH(orderHistory[customer],$D$9,0)),MATCH(ROW(orderHistory[customer]),ROW(orderHistory[customer])),""),ROWS($A$15:A38)+$B$3)),INDEX(orderHistory[shipping_method],SMALL(IF(ISNUMBER(MATCH(orderHistory[customer],$D$9,0)*MATCH(YEAR(orderHistory[invoice_date]),$D$15,0)),MATCH(ROW(orderHistory[customer]),ROW(orderHistory[customer])),""),ROWS($A$15:A38)+$B$3))),IF($D$15="",INDEX(orderHistory[shipping_method],SMALL(IF(ISNUMBER(MATCH(orderHistory[customer],$D$9,0)*MATCH(orderHistory[order_type],$D$13,0)),MATCH(ROW(orderHistory[customer]),ROW(orderHistory[customer])),""),ROWS($A$15:A38)+$B$3)),INDEX(orderHistory[shipping_method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shipping_method],SMALL(IF(ISNUMBER(MATCH(orderHistory[customer],$D$9,0)*MATCH(orderHistory[status],$D$11,0)),MATCH(ROW(orderHistory[customer]),ROW(orderHistory[customer])),""),ROWS($A$15:A38)+$B$3)),INDEX(orderHistory[shipping_method],SMALL(IF(ISNUMBER(MATCH(orderHistory[customer],$D$9,0)*MATCH(orderHistory[status],$D$11,0)*MATCH(YEAR(orderHistory[shipping_method]),$D$15,0)),MATCH(ROW(orderHistory[customer]),ROW(orderHistory[customer])),""),ROWS($A$15:A38)+$B$3))),IF($D$15="",INDEX(orderHistory[shipping_method],SMALL(IF(ISNUMBER(MATCH(orderHistory[customer],$D$9,0)*MATCH(orderHistory[status],$D$11,0)*MATCH(orderHistory[order_type],$D$13,0)),MATCH(ROW(orderHistory[customer]),ROW(orderHistory[customer])),""),ROWS($A$15:A38)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BY SEA</v>
      </c>
      <c r="V33" s="388" t="str">
        <f t="array" ref="V33">IFERROR(IF($D$9="",IF($D$11="",IF($D$13="",IF($D$15="",INDEX(orderHistory[status],SMALL(MATCH(ROW(orderHistory[customer]),ROW(orderHistory[customer])),ROWS($A$15:A38)+$B$3)),INDEX(orderHistory[status],SMALL(IF(ISNUMBER(MATCH(YEAR(orderHistory[invoice_date]),$D$15,0)),MATCH(ROW(orderHistory[customer]),ROW(orderHistory[customer])),""),ROWS($A$15:A38)+$B$3))),IF($D$15="",INDEX(orderHistory[status],SMALL(IF(ISNUMBER(MATCH(orderHistory[order_type],$D$13,0)),MATCH(ROW(orderHistory[customer]),ROW(orderHistory[customer])),""),ROWS($A$15:A38)+$B$3)),INDEX(orderHistory[status],SMALL(IF(ISNUMBER(MATCH(orderHistory[order_type],$D$13,0)*MATCH(YEAR(orderHistory[invoice_date]),$D$15,0)),MATCH(ROW(orderHistory[customer]),ROW(orderHistory[customer])),""),ROWS($A$15:A38)+$B$3)))),IF($D$13="",IF($D$15="",INDEX(orderHistory[status],SMALL(IF(ISNUMBER(MATCH(orderHistory[status],$D$11,0)),MATCH(ROW(orderHistory[customer]),ROW(orderHistory[customer])),""),ROWS($A$15:A38)+$B$3)),INDEX(orderHistory[status],SMALL(IF(ISNUMBER(MATCH(orderHistory[status],$D$11,0)*MATCH(YEAR(orderHistory[invoice_date]),$D$15,0)),MATCH(ROW(orderHistory[customer]),ROW(orderHistory[customer])),""),ROWS($A$15:A38)+$B$3))),IF($D$15="",INDEX(orderHistory[status],SMALL(IF(ISNUMBER(MATCH(orderHistory[status],$D$11,0)*MATCH(orderHistory[order_type],$D$13,0)),MATCH(ROW(orderHistory[customer]),ROW(orderHistory[customer])),""),ROWS($A$15:A38)+$B$3)),INDEX(orderHistory[status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status],SMALL(IF(ISNUMBER(MATCH(orderHistory[customer],$D$9,0)),MATCH(ROW(orderHistory[customer]),ROW(orderHistory[customer])),""),ROWS($A$15:A38)+$B$3)),INDEX(orderHistory[status],SMALL(IF(ISNUMBER(MATCH(orderHistory[customer],$D$9,0)*MATCH(YEAR(orderHistory[invoice_date]),$D$15,0)),MATCH(ROW(orderHistory[customer]),ROW(orderHistory[customer])),""),ROWS($A$15:A38)+$B$3))),IF($D$15="",INDEX(orderHistory[status],SMALL(IF(ISNUMBER(MATCH(orderHistory[customer],$D$9,0)*MATCH(orderHistory[order_type],$D$13,0)),MATCH(ROW(orderHistory[customer]),ROW(orderHistory[customer])),""),ROWS($A$15:A38)+$B$3)),INDEX(orderHistory[status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status],SMALL(IF(ISNUMBER(MATCH(orderHistory[customer],$D$9,0)*MATCH(orderHistory[status],$D$11,0)),MATCH(ROW(orderHistory[customer]),ROW(orderHistory[customer])),""),ROWS($A$15:A38)+$B$3)),INDEX(orderHistory[status],SMALL(IF(ISNUMBER(MATCH(orderHistory[customer],$D$9,0)*MATCH(orderHistory[status],$D$11,0)*MATCH(YEAR(orderHistory[status]),$D$15,0)),MATCH(ROW(orderHistory[customer]),ROW(orderHistory[customer])),""),ROWS($A$15:A38)+$B$3))),IF($D$15="",INDEX(orderHistory[status],SMALL(IF(ISNUMBER(MATCH(orderHistory[customer],$D$9,0)*MATCH(orderHistory[status],$D$11,0)*MATCH(orderHistory[order_type],$D$13,0)),MATCH(ROW(orderHistory[customer]),ROW(orderHistory[customer])),""),ROWS($A$15:A38)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SHIPPED</v>
      </c>
      <c r="W33" s="547" t="str">
        <f t="array" ref="W33">IFERROR(IF($D$9="",IF($D$11="",IF($D$13="",IF($D$15="",INDEX(orderHistory[custom_docs],SMALL(MATCH(ROW(orderHistory[customer]),ROW(orderHistory[customer])),ROWS($A$15:A38)+$B$3)),INDEX(orderHistory[custom_docs],SMALL(IF(ISNUMBER(MATCH(YEAR(orderHistory[invoice_date]),$D$15,0)),MATCH(ROW(orderHistory[customer]),ROW(orderHistory[customer])),""),ROWS($A$15:A38)+$B$3))),IF($D$15="",INDEX(orderHistory[custom_docs],SMALL(IF(ISNUMBER(MATCH(orderHistory[order_type],$D$13,0)),MATCH(ROW(orderHistory[customer]),ROW(orderHistory[customer])),""),ROWS($A$15:A38)+$B$3)),INDEX(orderHistory[custom_docs],SMALL(IF(ISNUMBER(MATCH(orderHistory[order_type],$D$13,0)*MATCH(YEAR(orderHistory[invoice_date]),$D$15,0)),MATCH(ROW(orderHistory[customer]),ROW(orderHistory[customer])),""),ROWS($A$15:A38)+$B$3)))),IF($D$13="",IF($D$15="",INDEX(orderHistory[custom_docs],SMALL(IF(ISNUMBER(MATCH(orderHistory[status],$D$11,0)),MATCH(ROW(orderHistory[customer]),ROW(orderHistory[customer])),""),ROWS($A$15:A38)+$B$3)),INDEX(orderHistory[custom_docs],SMALL(IF(ISNUMBER(MATCH(orderHistory[status],$D$11,0)*MATCH(YEAR(orderHistory[invoice_date]),$D$15,0)),MATCH(ROW(orderHistory[customer]),ROW(orderHistory[customer])),""),ROWS($A$15:A38)+$B$3))),IF($D$15="",INDEX(orderHistory[custom_docs],SMALL(IF(ISNUMBER(MATCH(orderHistory[status],$D$11,0)*MATCH(orderHistory[order_type],$D$13,0)),MATCH(ROW(orderHistory[customer]),ROW(orderHistory[customer])),""),ROWS($A$15:A38)+$B$3)),INDEX(orderHistory[custom_docs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custom_docs],SMALL(IF(ISNUMBER(MATCH(orderHistory[customer],$D$9,0)),MATCH(ROW(orderHistory[customer]),ROW(orderHistory[customer])),""),ROWS($A$15:A38)+$B$3)),INDEX(orderHistory[custom_docs],SMALL(IF(ISNUMBER(MATCH(orderHistory[customer],$D$9,0)*MATCH(YEAR(orderHistory[invoice_date]),$D$15,0)),MATCH(ROW(orderHistory[customer]),ROW(orderHistory[customer])),""),ROWS($A$15:A38)+$B$3))),IF($D$15="",INDEX(orderHistory[custom_docs],SMALL(IF(ISNUMBER(MATCH(orderHistory[customer],$D$9,0)*MATCH(orderHistory[order_type],$D$13,0)),MATCH(ROW(orderHistory[customer]),ROW(orderHistory[customer])),""),ROWS($A$15:A38)+$B$3)),INDEX(orderHistory[custom_docs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custom_docs],SMALL(IF(ISNUMBER(MATCH(orderHistory[customer],$D$9,0)*MATCH(orderHistory[status],$D$11,0)),MATCH(ROW(orderHistory[customer]),ROW(orderHistory[customer])),""),ROWS($A$15:A38)+$B$3)),INDEX(orderHistory[custom_docs],SMALL(IF(ISNUMBER(MATCH(orderHistory[customer],$D$9,0)*MATCH(orderHistory[status],$D$11,0)*MATCH(YEAR(orderHistory[status]),$D$15,0)),MATCH(ROW(orderHistory[customer]),ROW(orderHistory[customer])),""),ROWS($A$15:A38)+$B$3))),IF($D$15="",INDEX(orderHistory[custom_docs],SMALL(IF(ISNUMBER(MATCH(orderHistory[customer],$D$9,0)*MATCH(orderHistory[status],$D$11,0)*MATCH(orderHistory[order_type],$D$13,0)),MATCH(ROW(orderHistory[customer]),ROW(orderHistory[customer])),""),ROWS($A$15:A38)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OK</v>
      </c>
      <c r="AQ33" s="308"/>
      <c r="AR33" s="829"/>
      <c r="AS33" s="830"/>
      <c r="AT33" s="831"/>
      <c r="AU33" s="271"/>
      <c r="AW33" s="306"/>
      <c r="BJ33" s="271"/>
      <c r="BK33" s="296"/>
      <c r="BL33" s="297"/>
      <c r="BM33" s="298"/>
      <c r="BN33" s="297"/>
      <c r="BO33" s="298"/>
      <c r="BX33" s="367"/>
      <c r="BZ33" s="487"/>
      <c r="CA33" s="401" t="str">
        <f>IFERROR(IF(BZ33="","",INDEX(bhpc_data[description],MATCH(BZ33,bhpc_data[sku],0))),"")</f>
        <v/>
      </c>
      <c r="CB33" s="403"/>
      <c r="CC33" s="887"/>
      <c r="CD33" s="473"/>
      <c r="CE33" s="892"/>
      <c r="CF33" s="427"/>
      <c r="CG33" s="428" t="str">
        <f>IFERROR(ROUNDUP(CB33/INDEX(bhpc_data[units_per_carton],MATCH(BZ33,bhpc_data[sku],0)),0),"")</f>
        <v/>
      </c>
      <c r="CH33" s="429" t="str">
        <f>IFERROR(ROUNDUP(CD33/INDEX(bhpc_data[units_per_carton],MATCH(BZ33,bhpc_data[sku],0)),0),"")</f>
        <v/>
      </c>
      <c r="CI33" s="429" t="str">
        <f>IFERROR(ROUNDUP(CF33/INDEX(bhpc_data[units_per_carton],MATCH(BZ33,bhpc_data[sku])),0),"")</f>
        <v/>
      </c>
      <c r="CJ33" s="429" t="str">
        <f>IFERROR(((CB33+CD33+CF33)/INDEX(bhpc_data[units_per_carton],MATCH(BZ33,bhpc_data[sku],0)))*INDEX(bhpc_data[net_weight],MATCH(BZ33,bhpc_data[sku],0)),"")</f>
        <v/>
      </c>
      <c r="CK33" s="429" t="str">
        <f>IFERROR(((CB33+CD33+CF33)/INDEX(bhpc_data[units_per_carton],MATCH(BZ33,bhpc_data[sku],0)))*INDEX(bhpc_data[gross_weight],MATCH(BZ33,bhpc_data[sku],0)),"")</f>
        <v/>
      </c>
      <c r="CL33" s="603" t="str">
        <f>IFERROR((CB33+CD33+CF33)/INDEX(bhpc_data[units_per_carton],MATCH(BZ33,bhpc_data[sku],0))*INDEX(bhpc_data[length],MATCH(BZ33,bhpc_data[sku],0))*INDEX(bhpc_data[width],MATCH(BZ33,bhpc_data[sku],0))*INDEX(bhpc_data[height],MATCH(BZ33,bhpc_data[sku],0))/1000000000,"")</f>
        <v/>
      </c>
      <c r="CM33" s="430" t="str">
        <f>IFERROR(INDEX(bhpc_data[category],MATCH(BZ33,bhpc_data[sku],0)),"")</f>
        <v/>
      </c>
      <c r="CN33" s="430" t="str">
        <f>IFERROR(INDEX(bhpc_data[size],MATCH(BZ33,bhpc_data[sku],0)),"")</f>
        <v/>
      </c>
      <c r="CO33" s="431" t="str">
        <f>IFERROR(INDEX(bhpc_data[hs_code],MATCH(BZ33,bhpc_data[sku],0)),"")</f>
        <v/>
      </c>
      <c r="CP33" s="489" t="str">
        <f>IFERROR(INDEX(bhpc_data[sku_geko],MATCH(BZ33,bhpc_data[sku],0)),"")</f>
        <v/>
      </c>
      <c r="CQ33" s="427"/>
      <c r="CR33" s="516" t="str">
        <f>IFERROR(IF(BZ33="","",IF($BX$15="SALE",INDEX(inventory[COSTO UNITARIO],MATCH(BZ33,inventory[SKU],0)),IF($BX$15="SAMPLING",INDEX(inventory[COSTO UNITARIO],MATCH(BZ33,inventory[SKU],0)),""))),"")</f>
        <v/>
      </c>
      <c r="CS33" s="516" t="str">
        <f t="shared" si="5"/>
        <v/>
      </c>
      <c r="CT33" s="896" t="str">
        <f t="shared" si="6"/>
        <v/>
      </c>
      <c r="CU33" s="469" t="str">
        <f t="shared" si="0"/>
        <v/>
      </c>
      <c r="CW33" s="99"/>
      <c r="CX33" s="78"/>
      <c r="CY33" s="78"/>
      <c r="CZ33" s="78"/>
      <c r="DA33" s="78"/>
      <c r="DB33" s="79"/>
      <c r="DH33" s="215"/>
      <c r="EE33" s="439" t="str" cm="1">
        <f t="array" ref="EE33">IFERROR(IF($EC$9="",IF($EC$11="",IF($EC$13="",INDEX(bhpc_data[sku],SMALL(MATCH(ROW(bhpc_data[sku]),ROW(bhpc_data[sku])),ROWS($A$15:A38)+$B$3)),INDEX(bhpc_data[sku],SMALL(IF(ISNUMBER(MATCH(bhpc_data[size],$EC$13,0)),MATCH(ROW(bhpc_data[sku]),ROW(bhpc_data[sku])),""),ROWS($A$15:A38)+$B$3))),IF($EC$13="",INDEX(bhpc_data[sku],SMALL(IF(ISNUMBER(MATCH(bhpc_data[sex],$EC$11,0)),MATCH(ROW(bhpc_data[sku]),ROW(bhpc_data[sku])),""),ROWS($A$15:A38)+$B$3)),INDEX(bhpc_data[sku],SMALL(IF(ISNUMBER(MATCH(bhpc_data[sex],$EC$11,0)*MATCH(bhpc_data[size],$EC$13,0)),MATCH(ROW(bhpc_data[sku]),ROW(bhpc_data[sku])),""),ROWS($A$15:A38)+$B$3)))),IF($EC$11="",IF($EC$13="",INDEX(bhpc_data[sku],SMALL(IF(ISNUMBER(MATCH(bhpc_data[category],$EC$9,0)),MATCH(ROW(bhpc_data[sku]),ROW(bhpc_data[sku])),""),ROWS($A$15:A38)+$B$3)),INDEX(bhpc_data[sku],SMALL(IF(ISNUMBER(MATCH(bhpc_data[category],$EC$9,0)*MATCH(bhpc_data[size],$EC$13,0)),MATCH(ROW(bhpc_data[sku]),ROW(bhpc_data[sku])),""),ROWS($A$15:A38)+$B$3))),IF($EC$13="",INDEX(bhpc_data[sku],SMALL(IF(ISNUMBER(MATCH(bhpc_data[category],$EC$9,0)*MATCH(bhpc_data[sex],$EC$11,0)),MATCH(ROW(bhpc_data[sku]),ROW(bhpc_data[sku])),""),ROWS($A$15:A38)+$B$3)),INDEX(bhpc_data[sku],SMALL(IF(ISNUMBER(MATCH(bhpc_data[category],$EC$9,0)*MATCH(bhpc_data[sex],$EC$11,0)*MATCH(bhpc_data[size],$EC$13,0)),MATCH(ROW(bhpc_data[sku]),ROW(bhpc_data[sku])),""),ROWS($A$15:A38)+$B$3))))),"")</f>
        <v>P05052</v>
      </c>
      <c r="EF33" s="440" t="str" cm="1">
        <f t="array" ref="EF33">IFERROR(IF($EC$9="",IF($EC$11="",IF($EC$13="",INDEX(bhpc_data[description],SMALL(MATCH(ROW(bhpc_data[sku]),ROW(bhpc_data[sku])),ROWS($A$15:A38)+$B$3)),INDEX(bhpc_data[description],SMALL(IF(ISNUMBER(MATCH(bhpc_data[size],$EC$13,0)),MATCH(ROW(bhpc_data[sku]),ROW(bhpc_data[sku])),""),ROWS($A$15:A38)+$B$3))),IF($EC$13="",INDEX(bhpc_data[description],SMALL(IF(ISNUMBER(MATCH(bhpc_data[sex],$EC$11,0)),MATCH(ROW(bhpc_data[sku]),ROW(bhpc_data[sku])),""),ROWS($A$15:A38)+$B$3)),INDEX(bhpc_data[description],SMALL(IF(ISNUMBER(MATCH(bhpc_data[sex],$EC$11,0)*MATCH(bhpc_data[size],$EC$13,0)),MATCH(ROW(bhpc_data[sku]),ROW(bhpc_data[sku])),""),ROWS($A$15:A38)+$B$3)))),IF($EC$11="",IF($EC$13="",INDEX(bhpc_data[description],SMALL(IF(ISNUMBER(MATCH(bhpc_data[category],$EC$9,0)),MATCH(ROW(bhpc_data[sku]),ROW(bhpc_data[sku])),""),ROWS($A$15:A38)+$B$3)),INDEX(bhpc_data[description],SMALL(IF(ISNUMBER(MATCH(bhpc_data[category],$EC$9,0)*MATCH(bhpc_data[size],$EC$13,0)),MATCH(ROW(bhpc_data[sku]),ROW(bhpc_data[sku])),""),ROWS($A$15:A38)+$B$3))),IF($EC$13="",INDEX(bhpc_data[description],SMALL(IF(ISNUMBER(MATCH(bhpc_data[category],$EC$9,0)*MATCH(bhpc_data[sex],$EC$11,0)),MATCH(ROW(bhpc_data[sku]),ROW(bhpc_data[sku])),""),ROWS($A$15:A38)+$B$3)),INDEX(bhpc_data[description],SMALL(IF(ISNUMBER(MATCH(bhpc_data[category],$EC$9,0)*MATCH(bhpc_data[sex],$EC$11,0)*MATCH(bhpc_data[size],$EC$13,0)),MATCH(ROW(bhpc_data[sku]),ROW(bhpc_data[sku])),""),ROWS($A$15:A38)+$B$3))))),"")</f>
        <v>BHPC WOMEN 8 EDP 100ML</v>
      </c>
      <c r="EG33" s="441">
        <f>IFERROR(IF('BHPC MANAGER'!$EE33="","",INDEX(inventory[ESISTENZA],MATCH('BHPC MANAGER'!$EE33,inventory[SKU],0))),0)</f>
        <v>8608</v>
      </c>
      <c r="EH33" s="442">
        <v>-1495</v>
      </c>
      <c r="EI33" s="442">
        <f t="shared" si="1"/>
        <v>7113</v>
      </c>
      <c r="EJ33" s="443">
        <v>-7</v>
      </c>
      <c r="EK33" s="444">
        <f t="shared" si="2"/>
        <v>7106</v>
      </c>
      <c r="FF33" s="263"/>
      <c r="FG33" s="263"/>
      <c r="FH33" s="263"/>
      <c r="FI33" s="263"/>
      <c r="FJ33" s="263"/>
      <c r="FK33" s="263"/>
      <c r="FL33" s="263"/>
      <c r="FM33" s="263"/>
      <c r="FN33" s="263"/>
      <c r="FO33" s="263"/>
      <c r="FP33" s="263"/>
      <c r="FQ33" s="263"/>
      <c r="FR33" s="263"/>
      <c r="FS33" s="263"/>
      <c r="FT33" s="263"/>
      <c r="FU33" s="263"/>
      <c r="FV33" s="263"/>
      <c r="FW33" s="263"/>
      <c r="FX33" s="263"/>
      <c r="FY33" s="263"/>
      <c r="FZ33" s="263"/>
      <c r="GA33" s="263"/>
      <c r="GB33" s="263"/>
      <c r="GC33" s="263"/>
      <c r="GD33" s="263"/>
      <c r="GE33" s="263"/>
      <c r="GF33" s="263"/>
      <c r="GG33" s="263"/>
      <c r="GH33" s="263"/>
      <c r="GI33" s="263"/>
      <c r="GJ33" s="263"/>
      <c r="GK33" s="263"/>
      <c r="GL33" s="263"/>
      <c r="GM33" s="263"/>
      <c r="GN33" s="263"/>
      <c r="GO33" s="263"/>
      <c r="GP33" s="263"/>
      <c r="GQ33" s="263"/>
      <c r="GR33" s="263"/>
      <c r="GS33" s="263"/>
      <c r="GT33" s="263"/>
      <c r="GU33" s="263"/>
      <c r="GV33" s="263"/>
      <c r="GW33" s="263"/>
      <c r="GX33" s="263"/>
      <c r="GY33" s="263"/>
      <c r="GZ33" s="263"/>
      <c r="HA33" s="263"/>
      <c r="HB33" s="263"/>
      <c r="HC33" s="263"/>
      <c r="HD33" s="263"/>
      <c r="HE33" s="263"/>
      <c r="HF33" s="263"/>
      <c r="HG33" s="263"/>
      <c r="HH33" s="263"/>
      <c r="HI33" s="263"/>
      <c r="HJ33" s="263"/>
      <c r="HK33" s="263"/>
      <c r="HL33" s="263"/>
      <c r="HM33" s="263"/>
      <c r="HN33" s="263"/>
      <c r="HO33" s="263"/>
      <c r="HP33" s="263"/>
      <c r="HQ33" s="263"/>
      <c r="HR33" s="263"/>
      <c r="HS33" s="263"/>
      <c r="HT33" s="263"/>
    </row>
    <row r="34" spans="6:228" ht="15" customHeight="1" x14ac:dyDescent="0.35">
      <c r="F34" s="91"/>
      <c r="G34" s="803"/>
      <c r="H34" s="804"/>
      <c r="I34" s="805"/>
      <c r="J34" s="77"/>
      <c r="L34" s="381" t="str">
        <f t="array" ref="L34">IFERROR(IF($D$9="",IF($D$11="",IF($D$13="",IF($D$15="",INDEX(orderHistory[customer],SMALL(MATCH(ROW(orderHistory[customer]),ROW(orderHistory[customer])),ROWS($A$15:A39)+$B$3)),INDEX(orderHistory[customer],SMALL(IF(ISNUMBER(MATCH(YEAR(orderHistory[invoice_date]),$D$15,0)),MATCH(ROW(orderHistory[customer]),ROW(orderHistory[customer])),""),ROWS($A$15:A39)+$B$3))),IF($D$15="",INDEX(orderHistory[customer],SMALL(IF(ISNUMBER(MATCH(orderHistory[order_type],$D$13,0)),MATCH(ROW(orderHistory[customer]),ROW(orderHistory[customer])),""),ROWS($A$15:A39)+$B$3)),INDEX(orderHistory[customer],SMALL(IF(ISNUMBER(MATCH(orderHistory[order_type],$D$13,0)*MATCH(YEAR(orderHistory[invoice_date]),$D$15,0)),MATCH(ROW(orderHistory[customer]),ROW(orderHistory[customer])),""),ROWS($A$15:A39)+$B$3)))),IF($D$13="",IF($D$15="",INDEX(orderHistory[customer],SMALL(IF(ISNUMBER(MATCH(orderHistory[status],$D$11,0)),MATCH(ROW(orderHistory[customer]),ROW(orderHistory[customer])),""),ROWS($A$15:A39)+$B$3)),INDEX(orderHistory[customer],SMALL(IF(ISNUMBER(MATCH(orderHistory[status],$D$11,0)*MATCH(YEAR(orderHistory[invoice_date]),$D$15,0)),MATCH(ROW(orderHistory[customer]),ROW(orderHistory[customer])),""),ROWS($A$15:A39)+$B$3))),IF($D$15="",INDEX(orderHistory[customer],SMALL(IF(ISNUMBER(MATCH(orderHistory[status],$D$11,0)*MATCH(orderHistory[order_type],$D$13,0)),MATCH(ROW(orderHistory[customer]),ROW(orderHistory[customer])),""),ROWS($A$15:A39)+$B$3)),INDEX(orderHistory[customer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customer],SMALL(IF(ISNUMBER(MATCH(orderHistory[customer],$D$9,0)),MATCH(ROW(orderHistory[customer]),ROW(orderHistory[customer])),""),ROWS($A$15:A39)+$B$3)),INDEX(orderHistory[customer],SMALL(IF(ISNUMBER(MATCH(orderHistory[customer],$D$9,0)*MATCH(YEAR(orderHistory[invoice_date]),$D$15,0)),MATCH(ROW(orderHistory[customer]),ROW(orderHistory[customer])),""),ROWS($A$15:A39)+$B$3))),IF($D$15="",INDEX(orderHistory[customer],SMALL(IF(ISNUMBER(MATCH(orderHistory[customer],$D$9,0)*MATCH(orderHistory[order_type],$D$13,0)),MATCH(ROW(orderHistory[customer]),ROW(orderHistory[customer])),""),ROWS($A$15:A39)+$B$3)),INDEX(orderHistory[customer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customer],SMALL(IF(ISNUMBER(MATCH(orderHistory[customer],$D$9,0)*MATCH(orderHistory[status],$D$11,0)),MATCH(ROW(orderHistory[customer]),ROW(orderHistory[customer])),""),ROWS($A$15:A39)+$B$3)),INDEX(orderHistory[customer],SMALL(IF(ISNUMBER(MATCH(orderHistory[customer],$D$9,0)*MATCH(orderHistory[status],$D$11,0)*MATCH(YEAR(orderHistory[invoice_date]),$D$15,0)),MATCH(ROW(orderHistory[customer]),ROW(orderHistory[customer])),""),ROWS($A$15:A39)+$B$3))),IF($D$15="",INDEX(orderHistory[customer],SMALL(IF(ISNUMBER(MATCH(orderHistory[customer],$D$9,0)*MATCH(orderHistory[status],$D$11,0)*MATCH(orderHistory[order_type],$D$13,0)),MATCH(ROW(orderHistory[customer]),ROW(orderHistory[customer])),""),ROWS($A$15:A39)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GLOBAL BEAUTY</v>
      </c>
      <c r="M34" s="382">
        <f t="array" ref="M34">IFERROR(IF($D$9="",IF($D$11="",IF($D$13="",IF($D$15="",INDEX(orderHistory[order_no],SMALL(MATCH(ROW(orderHistory[customer]),ROW(orderHistory[customer])),ROWS($A$15:A39)+$B$3)),INDEX(orderHistory[order_no],SMALL(IF(ISNUMBER(MATCH(YEAR(orderHistory[invoice_date]),$D$15,0)),MATCH(ROW(orderHistory[customer]),ROW(orderHistory[customer])),""),ROWS($A$15:A39)+$B$3))),IF($D$15="",INDEX(orderHistory[order_no],SMALL(IF(ISNUMBER(MATCH(orderHistory[order_type],$D$13,0)),MATCH(ROW(orderHistory[customer]),ROW(orderHistory[customer])),""),ROWS($A$15:A39)+$B$3)),INDEX(orderHistory[order_no],SMALL(IF(ISNUMBER(MATCH(orderHistory[order_type],$D$13,0)*MATCH(YEAR(orderHistory[invoice_date]),$D$15,0)),MATCH(ROW(orderHistory[customer]),ROW(orderHistory[customer])),""),ROWS($A$15:A39)+$B$3)))),IF($D$13="",IF($D$15="",INDEX(orderHistory[order_no],SMALL(IF(ISNUMBER(MATCH(orderHistory[status],$D$11,0)),MATCH(ROW(orderHistory[customer]),ROW(orderHistory[customer])),""),ROWS($A$15:A39)+$B$3)),INDEX(orderHistory[order_no],SMALL(IF(ISNUMBER(MATCH(orderHistory[status],$D$11,0)*MATCH(YEAR(orderHistory[invoice_date]),$D$15,0)),MATCH(ROW(orderHistory[customer]),ROW(orderHistory[customer])),""),ROWS($A$15:A39)+$B$3))),IF($D$15="",INDEX(orderHistory[order_no],SMALL(IF(ISNUMBER(MATCH(orderHistory[status],$D$11,0)*MATCH(orderHistory[order_type],$D$13,0)),MATCH(ROW(orderHistory[customer]),ROW(orderHistory[customer])),""),ROWS($A$15:A39)+$B$3)),INDEX(orderHistory[order_no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order_no],SMALL(IF(ISNUMBER(MATCH(orderHistory[customer],$D$9,0)),MATCH(ROW(orderHistory[customer]),ROW(orderHistory[customer])),""),ROWS($A$15:A39)+$B$3)),INDEX(orderHistory[order_no],SMALL(IF(ISNUMBER(MATCH(orderHistory[customer],$D$9,0)*MATCH(YEAR(orderHistory[invoice_date]),$D$15,0)),MATCH(ROW(orderHistory[customer]),ROW(orderHistory[customer])),""),ROWS($A$15:A39)+$B$3))),IF($D$15="",INDEX(orderHistory[order_no],SMALL(IF(ISNUMBER(MATCH(orderHistory[customer],$D$9,0)*MATCH(orderHistory[order_type],$D$13,0)),MATCH(ROW(orderHistory[customer]),ROW(orderHistory[customer])),""),ROWS($A$15:A39)+$B$3)),INDEX(orderHistory[order_no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order_no],SMALL(IF(ISNUMBER(MATCH(orderHistory[customer],$D$9,0)*MATCH(orderHistory[status],$D$11,0)),MATCH(ROW(orderHistory[customer]),ROW(orderHistory[customer])),""),ROWS($A$15:A39)+$B$3)),INDEX(orderHistory[order_no],SMALL(IF(ISNUMBER(MATCH(orderHistory[customer],$D$9,0)*MATCH(orderHistory[status],$D$11,0)*MATCH(YEAR(orderHistory[invoice_date]),$D$15,0)),MATCH(ROW(orderHistory[customer]),ROW(orderHistory[customer])),""),ROWS($A$15:A39)+$B$3))),IF($D$15="",INDEX(orderHistory[order_no],SMALL(IF(ISNUMBER(MATCH(orderHistory[customer],$D$9,0)*MATCH(orderHistory[status],$D$11,0)*MATCH(orderHistory[order_type],$D$13,0)),MATCH(ROW(orderHistory[customer]),ROW(orderHistory[customer])),""),ROWS($A$15:A39)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39</v>
      </c>
      <c r="N34" s="383" t="str">
        <f t="array" ref="N34">IFERROR(IF($D$9="",IF($D$11="",IF($D$13="",IF($D$15="",INDEX(orderHistory[order_type],SMALL(MATCH(ROW(orderHistory[customer]),ROW(orderHistory[customer])),ROWS($A$15:A39)+$B$3)),INDEX(orderHistory[order_type],SMALL(IF(ISNUMBER(MATCH(YEAR(orderHistory[invoice_date]),$D$15,0)),MATCH(ROW(orderHistory[customer]),ROW(orderHistory[customer])),""),ROWS($A$15:A39)+$B$3))),IF($D$15="",INDEX(orderHistory[order_type],SMALL(IF(ISNUMBER(MATCH(orderHistory[order_type],$D$13,0)),MATCH(ROW(orderHistory[customer]),ROW(orderHistory[customer])),""),ROWS($A$15:A39)+$B$3)),INDEX(orderHistory[order_type],SMALL(IF(ISNUMBER(MATCH(orderHistory[order_type],$D$13,0)*MATCH(YEAR(orderHistory[invoice_date]),$D$15,0)),MATCH(ROW(orderHistory[customer]),ROW(orderHistory[customer])),""),ROWS($A$15:A39)+$B$3)))),IF($D$13="",IF($D$15="",INDEX(orderHistory[order_type],SMALL(IF(ISNUMBER(MATCH(orderHistory[status],$D$11,0)),MATCH(ROW(orderHistory[customer]),ROW(orderHistory[customer])),""),ROWS($A$15:A39)+$B$3)),INDEX(orderHistory[order_type],SMALL(IF(ISNUMBER(MATCH(orderHistory[status],$D$11,0)*MATCH(YEAR(orderHistory[invoice_date]),$D$15,0)),MATCH(ROW(orderHistory[customer]),ROW(orderHistory[customer])),""),ROWS($A$15:A39)+$B$3))),IF($D$15="",INDEX(orderHistory[order_type],SMALL(IF(ISNUMBER(MATCH(orderHistory[status],$D$11,0)*MATCH(orderHistory[order_type],$D$13,0)),MATCH(ROW(orderHistory[customer]),ROW(orderHistory[customer])),""),ROWS($A$15:A39)+$B$3)),INDEX(orderHistory[order_type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order_type],SMALL(IF(ISNUMBER(MATCH(orderHistory[customer],$D$9,0)),MATCH(ROW(orderHistory[customer]),ROW(orderHistory[customer])),""),ROWS($A$15:A39)+$B$3)),INDEX(orderHistory[order_type],SMALL(IF(ISNUMBER(MATCH(orderHistory[customer],$D$9,0)*MATCH(YEAR(orderHistory[invoice_date]),$D$15,0)),MATCH(ROW(orderHistory[customer]),ROW(orderHistory[customer])),""),ROWS($A$15:A39)+$B$3))),IF($D$15="",INDEX(orderHistory[order_type],SMALL(IF(ISNUMBER(MATCH(orderHistory[customer],$D$9,0)*MATCH(orderHistory[order_type],$D$13,0)),MATCH(ROW(orderHistory[customer]),ROW(orderHistory[customer])),""),ROWS($A$15:A39)+$B$3)),INDEX(orderHistory[order_type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order_type],SMALL(IF(ISNUMBER(MATCH(orderHistory[customer],$D$9,0)*MATCH(orderHistory[status],$D$11,0)),MATCH(ROW(orderHistory[customer]),ROW(orderHistory[customer])),""),ROWS($A$15:A39)+$B$3)),INDEX(orderHistory[order_type],SMALL(IF(ISNUMBER(MATCH(orderHistory[customer],$D$9,0)*MATCH(orderHistory[status],$D$11,0)*MATCH(YEAR(orderHistory[invoice_date]),$D$15,0)),MATCH(ROW(orderHistory[customer]),ROW(orderHistory[customer])),""),ROWS($A$15:A39)+$B$3))),IF($D$15="",INDEX(orderHistory[order_type],SMALL(IF(ISNUMBER(MATCH(orderHistory[customer],$D$9,0)*MATCH(orderHistory[status],$D$11,0)*MATCH(orderHistory[order_type],$D$13,0)),MATCH(ROW(orderHistory[customer]),ROW(orderHistory[customer])),""),ROWS($A$15:A39)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SALE</v>
      </c>
      <c r="O34" s="384">
        <f t="array" ref="O34">IFERROR(IF($D$9="",IF($D$11="",IF($D$13="",IF($D$15="",INDEX(orderHistory[order_date],SMALL(MATCH(ROW(orderHistory[customer]),ROW(orderHistory[customer])),ROWS($A$15:A39)+$B$3)),INDEX(orderHistory[order_date],SMALL(IF(ISNUMBER(MATCH(YEAR(orderHistory[invoice_date]),$D$15,0)),MATCH(ROW(orderHistory[customer]),ROW(orderHistory[customer])),""),ROWS($A$15:A39)+$B$3))),IF($D$15="",INDEX(orderHistory[order_date],SMALL(IF(ISNUMBER(MATCH(orderHistory[order_type],$D$13,0)),MATCH(ROW(orderHistory[customer]),ROW(orderHistory[customer])),""),ROWS($A$15:A39)+$B$3)),INDEX(orderHistory[order_date],SMALL(IF(ISNUMBER(MATCH(orderHistory[order_type],$D$13,0)*MATCH(YEAR(orderHistory[invoice_date]),$D$15,0)),MATCH(ROW(orderHistory[customer]),ROW(orderHistory[customer])),""),ROWS($A$15:A39)+$B$3)))),IF($D$13="",IF($D$15="",INDEX(orderHistory[order_date],SMALL(IF(ISNUMBER(MATCH(orderHistory[status],$D$11,0)),MATCH(ROW(orderHistory[customer]),ROW(orderHistory[customer])),""),ROWS($A$15:A39)+$B$3)),INDEX(orderHistory[order_date],SMALL(IF(ISNUMBER(MATCH(orderHistory[status],$D$11,0)*MATCH(YEAR(orderHistory[invoice_date]),$D$15,0)),MATCH(ROW(orderHistory[customer]),ROW(orderHistory[customer])),""),ROWS($A$15:A39)+$B$3))),IF($D$15="",INDEX(orderHistory[order_date],SMALL(IF(ISNUMBER(MATCH(orderHistory[status],$D$11,0)*MATCH(orderHistory[order_type],$D$13,0)),MATCH(ROW(orderHistory[customer]),ROW(orderHistory[customer])),""),ROWS($A$15:A39)+$B$3)),INDEX(orderHistory[order_date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order_date],SMALL(IF(ISNUMBER(MATCH(orderHistory[customer],$D$9,0)),MATCH(ROW(orderHistory[customer]),ROW(orderHistory[customer])),""),ROWS($A$15:A39)+$B$3)),INDEX(orderHistory[order_date],SMALL(IF(ISNUMBER(MATCH(orderHistory[customer],$D$9,0)*MATCH(YEAR(orderHistory[invoice_date]),$D$15,0)),MATCH(ROW(orderHistory[customer]),ROW(orderHistory[customer])),""),ROWS($A$15:A39)+$B$3))),IF($D$15="",INDEX(orderHistory[order_date],SMALL(IF(ISNUMBER(MATCH(orderHistory[customer],$D$9,0)*MATCH(orderHistory[order_type],$D$13,0)),MATCH(ROW(orderHistory[customer]),ROW(orderHistory[customer])),""),ROWS($A$15:A39)+$B$3)),INDEX(orderHistory[order_date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order_date],SMALL(IF(ISNUMBER(MATCH(orderHistory[customer],$D$9,0)*MATCH(orderHistory[status],$D$11,0)),MATCH(ROW(orderHistory[customer]),ROW(orderHistory[customer])),""),ROWS($A$15:A39)+$B$3)),INDEX(orderHistory[order_date],SMALL(IF(ISNUMBER(MATCH(orderHistory[customer],$D$9,0)*MATCH(orderHistory[status],$D$11,0)*MATCH(YEAR(orderHistory[invoice_date]),$D$15,0)),MATCH(ROW(orderHistory[customer]),ROW(orderHistory[customer])),""),ROWS($A$15:A39)+$B$3))),IF($D$15="",INDEX(orderHistory[order_date],SMALL(IF(ISNUMBER(MATCH(orderHistory[customer],$D$9,0)*MATCH(orderHistory[status],$D$11,0)*MATCH(orderHistory[order_type],$D$13,0)),MATCH(ROW(orderHistory[customer]),ROW(orderHistory[customer])),""),ROWS($A$15:A39)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45287</v>
      </c>
      <c r="P34" s="385" t="str">
        <f t="array" ref="P34">IFERROR(IF($D$9="",IF($D$11="",IF($D$13="",IF($D$15="",INDEX(orderHistory[invoice_no],SMALL(MATCH(ROW(orderHistory[customer]),ROW(orderHistory[customer])),ROWS($A$15:A39)+$B$3)),INDEX(orderHistory[invoice_no],SMALL(IF(ISNUMBER(MATCH(YEAR(orderHistory[invoice_date]),$D$15,0)),MATCH(ROW(orderHistory[customer]),ROW(orderHistory[customer])),""),ROWS($A$15:A39)+$B$3))),IF($D$15="",INDEX(orderHistory[invoice_no],SMALL(IF(ISNUMBER(MATCH(orderHistory[order_type],$D$13,0)),MATCH(ROW(orderHistory[customer]),ROW(orderHistory[customer])),""),ROWS($A$15:A39)+$B$3)),INDEX(orderHistory[invoice_no],SMALL(IF(ISNUMBER(MATCH(orderHistory[order_type],$D$13,0)*MATCH(YEAR(orderHistory[invoice_date]),$D$15,0)),MATCH(ROW(orderHistory[customer]),ROW(orderHistory[customer])),""),ROWS($A$15:A39)+$B$3)))),IF($D$13="",IF($D$15="",INDEX(orderHistory[invoice_no],SMALL(IF(ISNUMBER(MATCH(orderHistory[status],$D$11,0)),MATCH(ROW(orderHistory[customer]),ROW(orderHistory[customer])),""),ROWS($A$15:A39)+$B$3)),INDEX(orderHistory[invoice_no],SMALL(IF(ISNUMBER(MATCH(orderHistory[status],$D$11,0)*MATCH(YEAR(orderHistory[invoice_date]),$D$15,0)),MATCH(ROW(orderHistory[customer]),ROW(orderHistory[customer])),""),ROWS($A$15:A39)+$B$3))),IF($D$15="",INDEX(orderHistory[invoice_no],SMALL(IF(ISNUMBER(MATCH(orderHistory[status],$D$11,0)*MATCH(orderHistory[order_type],$D$13,0)),MATCH(ROW(orderHistory[customer]),ROW(orderHistory[customer])),""),ROWS($A$15:A39)+$B$3)),INDEX(orderHistory[invoice_no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invoice_no],SMALL(IF(ISNUMBER(MATCH(orderHistory[customer],$D$9,0)),MATCH(ROW(orderHistory[customer]),ROW(orderHistory[customer])),""),ROWS($A$15:A39)+$B$3)),INDEX(orderHistory[invoice_no],SMALL(IF(ISNUMBER(MATCH(orderHistory[customer],$D$9,0)*MATCH(YEAR(orderHistory[invoice_date]),$D$15,0)),MATCH(ROW(orderHistory[customer]),ROW(orderHistory[customer])),""),ROWS($A$15:A39)+$B$3))),IF($D$15="",INDEX(orderHistory[invoice_no],SMALL(IF(ISNUMBER(MATCH(orderHistory[customer],$D$9,0)*MATCH(orderHistory[order_type],$D$13,0)),MATCH(ROW(orderHistory[customer]),ROW(orderHistory[customer])),""),ROWS($A$15:A39)+$B$3)),INDEX(orderHistory[invoice_no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invoice_no],SMALL(IF(ISNUMBER(MATCH(orderHistory[customer],$D$9,0)*MATCH(orderHistory[status],$D$11,0)),MATCH(ROW(orderHistory[customer]),ROW(orderHistory[customer])),""),ROWS($A$15:A39)+$B$3)),INDEX(orderHistory[invoice_no],SMALL(IF(ISNUMBER(MATCH(orderHistory[customer],$D$9,0)*MATCH(orderHistory[status],$D$11,0)*MATCH(YEAR(orderHistory[invoice_date]),$D$15,0)),MATCH(ROW(orderHistory[customer]),ROW(orderHistory[customer])),""),ROWS($A$15:A39)+$B$3))),IF($D$15="",INDEX(orderHistory[invoice_no],SMALL(IF(ISNUMBER(MATCH(orderHistory[customer],$D$9,0)*MATCH(orderHistory[status],$D$11,0)*MATCH(orderHistory[order_type],$D$13,0)),MATCH(ROW(orderHistory[customer]),ROW(orderHistory[customer])),""),ROWS($A$15:A39)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186</v>
      </c>
      <c r="Q34" s="386">
        <f t="array" ref="Q34">IFERROR(IF($D$9="",IF($D$11="",IF($D$13="",IF($D$15="",INDEX(orderHistory[invoice_date],SMALL(MATCH(ROW(orderHistory[customer]),ROW(orderHistory[customer])),ROWS($A$15:A39)+$B$3)),INDEX(orderHistory[invoice_date],SMALL(IF(ISNUMBER(MATCH(YEAR(orderHistory[invoice_date]),$D$15,0)),MATCH(ROW(orderHistory[customer]),ROW(orderHistory[customer])),""),ROWS($A$15:A39)+$B$3))),IF($D$15="",INDEX(orderHistory[invoice_date],SMALL(IF(ISNUMBER(MATCH(orderHistory[order_type],$D$13,0)),MATCH(ROW(orderHistory[customer]),ROW(orderHistory[customer])),""),ROWS($A$15:A39)+$B$3)),INDEX(orderHistory[invoice_date],SMALL(IF(ISNUMBER(MATCH(orderHistory[order_type],$D$13,0)*MATCH(YEAR(orderHistory[invoice_date]),$D$15,0)),MATCH(ROW(orderHistory[customer]),ROW(orderHistory[customer])),""),ROWS($A$15:A39)+$B$3)))),IF($D$13="",IF($D$15="",INDEX(orderHistory[invoice_date],SMALL(IF(ISNUMBER(MATCH(orderHistory[status],$D$11,0)),MATCH(ROW(orderHistory[customer]),ROW(orderHistory[customer])),""),ROWS($A$15:A39)+$B$3)),INDEX(orderHistory[invoice_date],SMALL(IF(ISNUMBER(MATCH(orderHistory[status],$D$11,0)*MATCH(YEAR(orderHistory[invoice_date]),$D$15,0)),MATCH(ROW(orderHistory[customer]),ROW(orderHistory[customer])),""),ROWS($A$15:A39)+$B$3))),IF($D$15="",INDEX(orderHistory[invoice_date],SMALL(IF(ISNUMBER(MATCH(orderHistory[status],$D$11,0)*MATCH(orderHistory[order_type],$D$13,0)),MATCH(ROW(orderHistory[customer]),ROW(orderHistory[customer])),""),ROWS($A$15:A39)+$B$3)),INDEX(orderHistory[invoice_date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invoice_date],SMALL(IF(ISNUMBER(MATCH(orderHistory[customer],$D$9,0)),MATCH(ROW(orderHistory[customer]),ROW(orderHistory[customer])),""),ROWS($A$15:A39)+$B$3)),INDEX(orderHistory[invoice_date],SMALL(IF(ISNUMBER(MATCH(orderHistory[customer],$D$9,0)*MATCH(YEAR(orderHistory[invoice_date]),$D$15,0)),MATCH(ROW(orderHistory[customer]),ROW(orderHistory[customer])),""),ROWS($A$15:A39)+$B$3))),IF($D$15="",INDEX(orderHistory[invoice_date],SMALL(IF(ISNUMBER(MATCH(orderHistory[customer],$D$9,0)*MATCH(orderHistory[order_type],$D$13,0)),MATCH(ROW(orderHistory[customer]),ROW(orderHistory[customer])),""),ROWS($A$15:A39)+$B$3)),INDEX(orderHistory[invoice_date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invoice_date],SMALL(IF(ISNUMBER(MATCH(orderHistory[customer],$D$9,0)*MATCH(orderHistory[status],$D$11,0)),MATCH(ROW(orderHistory[customer]),ROW(orderHistory[customer])),""),ROWS($A$15:A39)+$B$3)),INDEX(orderHistory[invoice_date],SMALL(IF(ISNUMBER(MATCH(orderHistory[customer],$D$9,0)*MATCH(orderHistory[status],$D$11,0)*MATCH(YEAR(orderHistory[invoice_date]),$D$15,0)),MATCH(ROW(orderHistory[customer]),ROW(orderHistory[customer])),""),ROWS($A$15:A39)+$B$3))),IF($D$15="",INDEX(orderHistory[invoice_date],SMALL(IF(ISNUMBER(MATCH(orderHistory[customer],$D$9,0)*MATCH(orderHistory[status],$D$11,0)*MATCH(orderHistory[order_type],$D$13,0)),MATCH(ROW(orderHistory[customer]),ROW(orderHistory[customer])),""),ROWS($A$15:A39)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45446</v>
      </c>
      <c r="R34" s="387">
        <f t="array" ref="R34">IFERROR(IF($D$9="",IF($D$11="",IF($D$13="",IF($D$15="",INDEX(orderHistory[inv_amount],SMALL(MATCH(ROW(orderHistory[customer]),ROW(orderHistory[customer])),ROWS($A$15:A39)+$B$3)),INDEX(orderHistory[inv_amount],SMALL(IF(ISNUMBER(MATCH(YEAR(orderHistory[invoice_date]),$D$15,0)),MATCH(ROW(orderHistory[customer]),ROW(orderHistory[customer])),""),ROWS($A$15:A39)+$B$3))),IF($D$15="",INDEX(orderHistory[inv_amount],SMALL(IF(ISNUMBER(MATCH(orderHistory[order_type],$D$13,0)),MATCH(ROW(orderHistory[customer]),ROW(orderHistory[customer])),""),ROWS($A$15:A39)+$B$3)),INDEX(orderHistory[inv_amount],SMALL(IF(ISNUMBER(MATCH(orderHistory[order_type],$D$13,0)*MATCH(YEAR(orderHistory[invoice_date]),$D$15,0)),MATCH(ROW(orderHistory[customer]),ROW(orderHistory[customer])),""),ROWS($A$15:A39)+$B$3)))),IF($D$13="",IF($D$15="",INDEX(orderHistory[inv_amount],SMALL(IF(ISNUMBER(MATCH(orderHistory[status],$D$11,0)),MATCH(ROW(orderHistory[customer]),ROW(orderHistory[customer])),""),ROWS($A$15:A39)+$B$3)),INDEX(orderHistory[inv_amount],SMALL(IF(ISNUMBER(MATCH(orderHistory[status],$D$11,0)*MATCH(YEAR(orderHistory[invoice_date]),$D$15,0)),MATCH(ROW(orderHistory[customer]),ROW(orderHistory[customer])),""),ROWS($A$15:A39)+$B$3))),IF($D$15="",INDEX(orderHistory[inv_amount],SMALL(IF(ISNUMBER(MATCH(orderHistory[status],$D$11,0)*MATCH(orderHistory[order_type],$D$13,0)),MATCH(ROW(orderHistory[customer]),ROW(orderHistory[customer])),""),ROWS($A$15:A39)+$B$3)),INDEX(orderHistory[inv_amount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inv_amount],SMALL(IF(ISNUMBER(MATCH(orderHistory[customer],$D$9,0)),MATCH(ROW(orderHistory[customer]),ROW(orderHistory[customer])),""),ROWS($A$15:A39)+$B$3)),INDEX(orderHistory[inv_amount],SMALL(IF(ISNUMBER(MATCH(orderHistory[customer],$D$9,0)*MATCH(YEAR(orderHistory[invoice_date]),$D$15,0)),MATCH(ROW(orderHistory[customer]),ROW(orderHistory[customer])),""),ROWS($A$15:A39)+$B$3))),IF($D$15="",INDEX(orderHistory[inv_amount],SMALL(IF(ISNUMBER(MATCH(orderHistory[customer],$D$9,0)*MATCH(orderHistory[order_type],$D$13,0)),MATCH(ROW(orderHistory[customer]),ROW(orderHistory[customer])),""),ROWS($A$15:A39)+$B$3)),INDEX(orderHistory[inv_amount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inv_amount],SMALL(IF(ISNUMBER(MATCH(orderHistory[customer],$D$9,0)*MATCH(orderHistory[status],$D$11,0)),MATCH(ROW(orderHistory[customer]),ROW(orderHistory[customer])),""),ROWS($A$15:A39)+$B$3)),INDEX(orderHistory[inv_amount],SMALL(IF(ISNUMBER(MATCH(orderHistory[customer],$D$9,0)*MATCH(orderHistory[status],$D$11,0)*MATCH(YEAR(orderHistory[inv_amount]),$D$15,0)),MATCH(ROW(orderHistory[customer]),ROW(orderHistory[customer])),""),ROWS($A$15:A39)+$B$3))),IF($D$15="",INDEX(orderHistory[inv_amount],SMALL(IF(ISNUMBER(MATCH(orderHistory[customer],$D$9,0)*MATCH(orderHistory[status],$D$11,0)*MATCH(orderHistory[order_type],$D$13,0)),MATCH(ROW(orderHistory[customer]),ROW(orderHistory[customer])),""),ROWS($A$15:A39)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20476.8</v>
      </c>
      <c r="S34" s="465" t="str">
        <f t="array" ref="S34">IFERROR(IF($D$9="",IF($D$11="",IF($D$13="",IF($D$15="",INDEX(orderHistory[lock_goods],SMALL(MATCH(ROW(orderHistory[customer]),ROW(orderHistory[customer])),ROWS($A$15:A39)+$B$3)),INDEX(orderHistory[lock_goods],SMALL(IF(ISNUMBER(MATCH(YEAR(orderHistory[invoice_date]),$D$15,0)),MATCH(ROW(orderHistory[customer]),ROW(orderHistory[customer])),""),ROWS($A$15:A39)+$B$3))),IF($D$15="",INDEX(orderHistory[lock_goods],SMALL(IF(ISNUMBER(MATCH(orderHistory[order_type],$D$13,0)),MATCH(ROW(orderHistory[customer]),ROW(orderHistory[customer])),""),ROWS($A$15:A39)+$B$3)),INDEX(orderHistory[lock_goods],SMALL(IF(ISNUMBER(MATCH(orderHistory[order_type],$D$13,0)*MATCH(YEAR(orderHistory[invoice_date]),$D$15,0)),MATCH(ROW(orderHistory[customer]),ROW(orderHistory[customer])),""),ROWS($A$15:A39)+$B$3)))),IF($D$13="",IF($D$15="",INDEX(orderHistory[lock_goods],SMALL(IF(ISNUMBER(MATCH(orderHistory[status],$D$11,0)),MATCH(ROW(orderHistory[customer]),ROW(orderHistory[customer])),""),ROWS($A$15:A39)+$B$3)),INDEX(orderHistory[lock_goods],SMALL(IF(ISNUMBER(MATCH(orderHistory[status],$D$11,0)*MATCH(YEAR(orderHistory[invoice_date]),$D$15,0)),MATCH(ROW(orderHistory[customer]),ROW(orderHistory[customer])),""),ROWS($A$15:A39)+$B$3))),IF($D$15="",INDEX(orderHistory[lock_goods],SMALL(IF(ISNUMBER(MATCH(orderHistory[status],$D$11,0)*MATCH(orderHistory[order_type],$D$13,0)),MATCH(ROW(orderHistory[customer]),ROW(orderHistory[customer])),""),ROWS($A$15:A39)+$B$3)),INDEX(orderHistory[lock_goods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lock_goods],SMALL(IF(ISNUMBER(MATCH(orderHistory[customer],$D$9,0)),MATCH(ROW(orderHistory[customer]),ROW(orderHistory[customer])),""),ROWS($A$15:A39)+$B$3)),INDEX(orderHistory[lock_goods],SMALL(IF(ISNUMBER(MATCH(orderHistory[customer],$D$9,0)*MATCH(YEAR(orderHistory[invoice_date]),$D$15,0)),MATCH(ROW(orderHistory[customer]),ROW(orderHistory[customer])),""),ROWS($A$15:A39)+$B$3))),IF($D$15="",INDEX(orderHistory[lock_goods],SMALL(IF(ISNUMBER(MATCH(orderHistory[customer],$D$9,0)*MATCH(orderHistory[order_type],$D$13,0)),MATCH(ROW(orderHistory[customer]),ROW(orderHistory[customer])),""),ROWS($A$15:A39)+$B$3)),INDEX(orderHistory[lock_goods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lock_goods],SMALL(IF(ISNUMBER(MATCH(orderHistory[customer],$D$9,0)*MATCH(orderHistory[status],$D$11,0)),MATCH(ROW(orderHistory[customer]),ROW(orderHistory[customer])),""),ROWS($A$15:A39)+$B$3)),INDEX(orderHistory[lock_goods],SMALL(IF(ISNUMBER(MATCH(orderHistory[customer],$D$9,0)*MATCH(orderHistory[status],$D$11,0)*MATCH(YEAR(orderHistory[payed]),$D$15,0)),MATCH(ROW(orderHistory[customer]),ROW(orderHistory[customer])),""),ROWS($A$15:A39)+$B$3))),IF($D$15="",INDEX(orderHistory[lock_goods],SMALL(IF(ISNUMBER(MATCH(orderHistory[customer],$D$9,0)*MATCH(orderHistory[status],$D$11,0)*MATCH(orderHistory[order_type],$D$13,0)),MATCH(ROW(orderHistory[customer]),ROW(orderHistory[customer])),""),ROWS($A$15:A39)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GOODS SENT</v>
      </c>
      <c r="T34" s="388" t="b">
        <f t="array" ref="T34">IFERROR(IF($D$9="",IF($D$11="",IF($D$13="",IF($D$15="",INDEX(orderHistory[payed],SMALL(MATCH(ROW(orderHistory[customer]),ROW(orderHistory[customer])),ROWS($A$15:A39)+$B$3)),INDEX(orderHistory[payed],SMALL(IF(ISNUMBER(MATCH(YEAR(orderHistory[invoice_date]),$D$15,0)),MATCH(ROW(orderHistory[customer]),ROW(orderHistory[customer])),""),ROWS($A$15:A39)+$B$3))),IF($D$15="",INDEX(orderHistory[payed],SMALL(IF(ISNUMBER(MATCH(orderHistory[order_type],$D$13,0)),MATCH(ROW(orderHistory[customer]),ROW(orderHistory[customer])),""),ROWS($A$15:A39)+$B$3)),INDEX(orderHistory[payed],SMALL(IF(ISNUMBER(MATCH(orderHistory[order_type],$D$13,0)*MATCH(YEAR(orderHistory[invoice_date]),$D$15,0)),MATCH(ROW(orderHistory[customer]),ROW(orderHistory[customer])),""),ROWS($A$15:A39)+$B$3)))),IF($D$13="",IF($D$15="",INDEX(orderHistory[payed],SMALL(IF(ISNUMBER(MATCH(orderHistory[status],$D$11,0)),MATCH(ROW(orderHistory[customer]),ROW(orderHistory[customer])),""),ROWS($A$15:A39)+$B$3)),INDEX(orderHistory[payed],SMALL(IF(ISNUMBER(MATCH(orderHistory[status],$D$11,0)*MATCH(YEAR(orderHistory[invoice_date]),$D$15,0)),MATCH(ROW(orderHistory[customer]),ROW(orderHistory[customer])),""),ROWS($A$15:A39)+$B$3))),IF($D$15="",INDEX(orderHistory[payed],SMALL(IF(ISNUMBER(MATCH(orderHistory[status],$D$11,0)*MATCH(orderHistory[order_type],$D$13,0)),MATCH(ROW(orderHistory[customer]),ROW(orderHistory[customer])),""),ROWS($A$15:A39)+$B$3)),INDEX(orderHistory[payed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payed],SMALL(IF(ISNUMBER(MATCH(orderHistory[customer],$D$9,0)),MATCH(ROW(orderHistory[customer]),ROW(orderHistory[customer])),""),ROWS($A$15:A39)+$B$3)),INDEX(orderHistory[payed],SMALL(IF(ISNUMBER(MATCH(orderHistory[customer],$D$9,0)*MATCH(YEAR(orderHistory[invoice_date]),$D$15,0)),MATCH(ROW(orderHistory[customer]),ROW(orderHistory[customer])),""),ROWS($A$15:A39)+$B$3))),IF($D$15="",INDEX(orderHistory[payed],SMALL(IF(ISNUMBER(MATCH(orderHistory[customer],$D$9,0)*MATCH(orderHistory[order_type],$D$13,0)),MATCH(ROW(orderHistory[customer]),ROW(orderHistory[customer])),""),ROWS($A$15:A39)+$B$3)),INDEX(orderHistory[payed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payed],SMALL(IF(ISNUMBER(MATCH(orderHistory[customer],$D$9,0)*MATCH(orderHistory[status],$D$11,0)),MATCH(ROW(orderHistory[customer]),ROW(orderHistory[customer])),""),ROWS($A$15:A39)+$B$3)),INDEX(orderHistory[payed],SMALL(IF(ISNUMBER(MATCH(orderHistory[customer],$D$9,0)*MATCH(orderHistory[status],$D$11,0)*MATCH(YEAR(orderHistory[payed]),$D$15,0)),MATCH(ROW(orderHistory[customer]),ROW(orderHistory[customer])),""),ROWS($A$15:A39)+$B$3))),IF($D$15="",INDEX(orderHistory[payed],SMALL(IF(ISNUMBER(MATCH(orderHistory[customer],$D$9,0)*MATCH(orderHistory[status],$D$11,0)*MATCH(orderHistory[order_type],$D$13,0)),MATCH(ROW(orderHistory[customer]),ROW(orderHistory[customer])),""),ROWS($A$15:A39)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1</v>
      </c>
      <c r="U34" s="383" t="str">
        <f t="array" ref="U34">IFERROR(IF($D$9="",IF($D$11="",IF($D$13="",IF($D$15="",INDEX(orderHistory[shipping_method],SMALL(MATCH(ROW(orderHistory[customer]),ROW(orderHistory[customer])),ROWS($A$15:A39)+$B$3)),INDEX(orderHistory[shipping_method],SMALL(IF(ISNUMBER(MATCH(YEAR(orderHistory[invoice_date]),$D$15,0)),MATCH(ROW(orderHistory[customer]),ROW(orderHistory[customer])),""),ROWS($A$15:A39)+$B$3))),IF($D$15="",INDEX(orderHistory[shipping_method],SMALL(IF(ISNUMBER(MATCH(orderHistory[order_type],$D$13,0)),MATCH(ROW(orderHistory[customer]),ROW(orderHistory[customer])),""),ROWS($A$15:A39)+$B$3)),INDEX(orderHistory[shipping_method],SMALL(IF(ISNUMBER(MATCH(orderHistory[order_type],$D$13,0)*MATCH(YEAR(orderHistory[invoice_date]),$D$15,0)),MATCH(ROW(orderHistory[customer]),ROW(orderHistory[customer])),""),ROWS($A$15:A39)+$B$3)))),IF($D$13="",IF($D$15="",INDEX(orderHistory[shipping_method],SMALL(IF(ISNUMBER(MATCH(orderHistory[status],$D$11,0)),MATCH(ROW(orderHistory[customer]),ROW(orderHistory[customer])),""),ROWS($A$15:A39)+$B$3)),INDEX(orderHistory[shipping_method],SMALL(IF(ISNUMBER(MATCH(orderHistory[status],$D$11,0)*MATCH(YEAR(orderHistory[invoice_date]),$D$15,0)),MATCH(ROW(orderHistory[customer]),ROW(orderHistory[customer])),""),ROWS($A$15:A39)+$B$3))),IF($D$15="",INDEX(orderHistory[shipping_method],SMALL(IF(ISNUMBER(MATCH(orderHistory[status],$D$11,0)*MATCH(orderHistory[order_type],$D$13,0)),MATCH(ROW(orderHistory[customer]),ROW(orderHistory[customer])),""),ROWS($A$15:A39)+$B$3)),INDEX(orderHistory[shipping_method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shipping_method],SMALL(IF(ISNUMBER(MATCH(orderHistory[customer],$D$9,0)),MATCH(ROW(orderHistory[customer]),ROW(orderHistory[customer])),""),ROWS($A$15:A39)+$B$3)),INDEX(orderHistory[shipping_method],SMALL(IF(ISNUMBER(MATCH(orderHistory[customer],$D$9,0)*MATCH(YEAR(orderHistory[invoice_date]),$D$15,0)),MATCH(ROW(orderHistory[customer]),ROW(orderHistory[customer])),""),ROWS($A$15:A39)+$B$3))),IF($D$15="",INDEX(orderHistory[shipping_method],SMALL(IF(ISNUMBER(MATCH(orderHistory[customer],$D$9,0)*MATCH(orderHistory[order_type],$D$13,0)),MATCH(ROW(orderHistory[customer]),ROW(orderHistory[customer])),""),ROWS($A$15:A39)+$B$3)),INDEX(orderHistory[shipping_method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shipping_method],SMALL(IF(ISNUMBER(MATCH(orderHistory[customer],$D$9,0)*MATCH(orderHistory[status],$D$11,0)),MATCH(ROW(orderHistory[customer]),ROW(orderHistory[customer])),""),ROWS($A$15:A39)+$B$3)),INDEX(orderHistory[shipping_method],SMALL(IF(ISNUMBER(MATCH(orderHistory[customer],$D$9,0)*MATCH(orderHistory[status],$D$11,0)*MATCH(YEAR(orderHistory[shipping_method]),$D$15,0)),MATCH(ROW(orderHistory[customer]),ROW(orderHistory[customer])),""),ROWS($A$15:A39)+$B$3))),IF($D$15="",INDEX(orderHistory[shipping_method],SMALL(IF(ISNUMBER(MATCH(orderHistory[customer],$D$9,0)*MATCH(orderHistory[status],$D$11,0)*MATCH(orderHistory[order_type],$D$13,0)),MATCH(ROW(orderHistory[customer]),ROW(orderHistory[customer])),""),ROWS($A$15:A39)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BY ROAD</v>
      </c>
      <c r="V34" s="388" t="str">
        <f t="array" ref="V34">IFERROR(IF($D$9="",IF($D$11="",IF($D$13="",IF($D$15="",INDEX(orderHistory[status],SMALL(MATCH(ROW(orderHistory[customer]),ROW(orderHistory[customer])),ROWS($A$15:A39)+$B$3)),INDEX(orderHistory[status],SMALL(IF(ISNUMBER(MATCH(YEAR(orderHistory[invoice_date]),$D$15,0)),MATCH(ROW(orderHistory[customer]),ROW(orderHistory[customer])),""),ROWS($A$15:A39)+$B$3))),IF($D$15="",INDEX(orderHistory[status],SMALL(IF(ISNUMBER(MATCH(orderHistory[order_type],$D$13,0)),MATCH(ROW(orderHistory[customer]),ROW(orderHistory[customer])),""),ROWS($A$15:A39)+$B$3)),INDEX(orderHistory[status],SMALL(IF(ISNUMBER(MATCH(orderHistory[order_type],$D$13,0)*MATCH(YEAR(orderHistory[invoice_date]),$D$15,0)),MATCH(ROW(orderHistory[customer]),ROW(orderHistory[customer])),""),ROWS($A$15:A39)+$B$3)))),IF($D$13="",IF($D$15="",INDEX(orderHistory[status],SMALL(IF(ISNUMBER(MATCH(orderHistory[status],$D$11,0)),MATCH(ROW(orderHistory[customer]),ROW(orderHistory[customer])),""),ROWS($A$15:A39)+$B$3)),INDEX(orderHistory[status],SMALL(IF(ISNUMBER(MATCH(orderHistory[status],$D$11,0)*MATCH(YEAR(orderHistory[invoice_date]),$D$15,0)),MATCH(ROW(orderHistory[customer]),ROW(orderHistory[customer])),""),ROWS($A$15:A39)+$B$3))),IF($D$15="",INDEX(orderHistory[status],SMALL(IF(ISNUMBER(MATCH(orderHistory[status],$D$11,0)*MATCH(orderHistory[order_type],$D$13,0)),MATCH(ROW(orderHistory[customer]),ROW(orderHistory[customer])),""),ROWS($A$15:A39)+$B$3)),INDEX(orderHistory[status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status],SMALL(IF(ISNUMBER(MATCH(orderHistory[customer],$D$9,0)),MATCH(ROW(orderHistory[customer]),ROW(orderHistory[customer])),""),ROWS($A$15:A39)+$B$3)),INDEX(orderHistory[status],SMALL(IF(ISNUMBER(MATCH(orderHistory[customer],$D$9,0)*MATCH(YEAR(orderHistory[invoice_date]),$D$15,0)),MATCH(ROW(orderHistory[customer]),ROW(orderHistory[customer])),""),ROWS($A$15:A39)+$B$3))),IF($D$15="",INDEX(orderHistory[status],SMALL(IF(ISNUMBER(MATCH(orderHistory[customer],$D$9,0)*MATCH(orderHistory[order_type],$D$13,0)),MATCH(ROW(orderHistory[customer]),ROW(orderHistory[customer])),""),ROWS($A$15:A39)+$B$3)),INDEX(orderHistory[status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status],SMALL(IF(ISNUMBER(MATCH(orderHistory[customer],$D$9,0)*MATCH(orderHistory[status],$D$11,0)),MATCH(ROW(orderHistory[customer]),ROW(orderHistory[customer])),""),ROWS($A$15:A39)+$B$3)),INDEX(orderHistory[status],SMALL(IF(ISNUMBER(MATCH(orderHistory[customer],$D$9,0)*MATCH(orderHistory[status],$D$11,0)*MATCH(YEAR(orderHistory[status]),$D$15,0)),MATCH(ROW(orderHistory[customer]),ROW(orderHistory[customer])),""),ROWS($A$15:A39)+$B$3))),IF($D$15="",INDEX(orderHistory[status],SMALL(IF(ISNUMBER(MATCH(orderHistory[customer],$D$9,0)*MATCH(orderHistory[status],$D$11,0)*MATCH(orderHistory[order_type],$D$13,0)),MATCH(ROW(orderHistory[customer]),ROW(orderHistory[customer])),""),ROWS($A$15:A39)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SHIPPED</v>
      </c>
      <c r="W34" s="547" t="str">
        <f t="array" ref="W34">IFERROR(IF($D$9="",IF($D$11="",IF($D$13="",IF($D$15="",INDEX(orderHistory[custom_docs],SMALL(MATCH(ROW(orderHistory[customer]),ROW(orderHistory[customer])),ROWS($A$15:A39)+$B$3)),INDEX(orderHistory[custom_docs],SMALL(IF(ISNUMBER(MATCH(YEAR(orderHistory[invoice_date]),$D$15,0)),MATCH(ROW(orderHistory[customer]),ROW(orderHistory[customer])),""),ROWS($A$15:A39)+$B$3))),IF($D$15="",INDEX(orderHistory[custom_docs],SMALL(IF(ISNUMBER(MATCH(orderHistory[order_type],$D$13,0)),MATCH(ROW(orderHistory[customer]),ROW(orderHistory[customer])),""),ROWS($A$15:A39)+$B$3)),INDEX(orderHistory[custom_docs],SMALL(IF(ISNUMBER(MATCH(orderHistory[order_type],$D$13,0)*MATCH(YEAR(orderHistory[invoice_date]),$D$15,0)),MATCH(ROW(orderHistory[customer]),ROW(orderHistory[customer])),""),ROWS($A$15:A39)+$B$3)))),IF($D$13="",IF($D$15="",INDEX(orderHistory[custom_docs],SMALL(IF(ISNUMBER(MATCH(orderHistory[status],$D$11,0)),MATCH(ROW(orderHistory[customer]),ROW(orderHistory[customer])),""),ROWS($A$15:A39)+$B$3)),INDEX(orderHistory[custom_docs],SMALL(IF(ISNUMBER(MATCH(orderHistory[status],$D$11,0)*MATCH(YEAR(orderHistory[invoice_date]),$D$15,0)),MATCH(ROW(orderHistory[customer]),ROW(orderHistory[customer])),""),ROWS($A$15:A39)+$B$3))),IF($D$15="",INDEX(orderHistory[custom_docs],SMALL(IF(ISNUMBER(MATCH(orderHistory[status],$D$11,0)*MATCH(orderHistory[order_type],$D$13,0)),MATCH(ROW(orderHistory[customer]),ROW(orderHistory[customer])),""),ROWS($A$15:A39)+$B$3)),INDEX(orderHistory[custom_docs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custom_docs],SMALL(IF(ISNUMBER(MATCH(orderHistory[customer],$D$9,0)),MATCH(ROW(orderHistory[customer]),ROW(orderHistory[customer])),""),ROWS($A$15:A39)+$B$3)),INDEX(orderHistory[custom_docs],SMALL(IF(ISNUMBER(MATCH(orderHistory[customer],$D$9,0)*MATCH(YEAR(orderHistory[invoice_date]),$D$15,0)),MATCH(ROW(orderHistory[customer]),ROW(orderHistory[customer])),""),ROWS($A$15:A39)+$B$3))),IF($D$15="",INDEX(orderHistory[custom_docs],SMALL(IF(ISNUMBER(MATCH(orderHistory[customer],$D$9,0)*MATCH(orderHistory[order_type],$D$13,0)),MATCH(ROW(orderHistory[customer]),ROW(orderHistory[customer])),""),ROWS($A$15:A39)+$B$3)),INDEX(orderHistory[custom_docs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custom_docs],SMALL(IF(ISNUMBER(MATCH(orderHistory[customer],$D$9,0)*MATCH(orderHistory[status],$D$11,0)),MATCH(ROW(orderHistory[customer]),ROW(orderHistory[customer])),""),ROWS($A$15:A39)+$B$3)),INDEX(orderHistory[custom_docs],SMALL(IF(ISNUMBER(MATCH(orderHistory[customer],$D$9,0)*MATCH(orderHistory[status],$D$11,0)*MATCH(YEAR(orderHistory[status]),$D$15,0)),MATCH(ROW(orderHistory[customer]),ROW(orderHistory[customer])),""),ROWS($A$15:A39)+$B$3))),IF($D$15="",INDEX(orderHistory[custom_docs],SMALL(IF(ISNUMBER(MATCH(orderHistory[customer],$D$9,0)*MATCH(orderHistory[status],$D$11,0)*MATCH(orderHistory[order_type],$D$13,0)),MATCH(ROW(orderHistory[customer]),ROW(orderHistory[customer])),""),ROWS($A$15:A39)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OK</v>
      </c>
      <c r="AQ34" s="308"/>
      <c r="AR34" s="832"/>
      <c r="AS34" s="833"/>
      <c r="AT34" s="834"/>
      <c r="AU34" s="271"/>
      <c r="AW34" s="306"/>
      <c r="BJ34" s="271"/>
      <c r="BK34" s="296"/>
      <c r="BL34" s="297"/>
      <c r="BM34" s="298"/>
      <c r="BN34" s="297"/>
      <c r="BO34" s="298"/>
      <c r="BX34" s="367"/>
      <c r="BZ34" s="487"/>
      <c r="CA34" s="401" t="str">
        <f>IFERROR(IF(BZ34="","",INDEX(bhpc_data[description],MATCH(BZ34,bhpc_data[sku],0))),"")</f>
        <v/>
      </c>
      <c r="CB34" s="403"/>
      <c r="CC34" s="888"/>
      <c r="CD34" s="409"/>
      <c r="CE34" s="890"/>
      <c r="CF34" s="404"/>
      <c r="CG34" s="405" t="str">
        <f>IFERROR(ROUNDUP(CB34/INDEX(bhpc_data[units_per_carton],MATCH(BZ34,bhpc_data[sku],0)),0),"")</f>
        <v/>
      </c>
      <c r="CH34" s="406" t="str">
        <f>IFERROR(ROUNDUP(CD34/INDEX(bhpc_data[units_per_carton],MATCH(BZ34,bhpc_data[sku],0)),0),"")</f>
        <v/>
      </c>
      <c r="CI34" s="406" t="str">
        <f>IFERROR(ROUNDUP(CF34/INDEX(bhpc_data[units_per_carton],MATCH(BZ34,bhpc_data[sku])),0),"")</f>
        <v/>
      </c>
      <c r="CJ34" s="406" t="str">
        <f>IFERROR(((CB34+CD34+CF34)/INDEX(bhpc_data[units_per_carton],MATCH(BZ34,bhpc_data[sku],0)))*INDEX(bhpc_data[net_weight],MATCH(BZ34,bhpc_data[sku],0)),"")</f>
        <v/>
      </c>
      <c r="CK34" s="406" t="str">
        <f>IFERROR(((CB34+CD34+CF34)/INDEX(bhpc_data[units_per_carton],MATCH(BZ34,bhpc_data[sku],0)))*INDEX(bhpc_data[gross_weight],MATCH(BZ34,bhpc_data[sku],0)),"")</f>
        <v/>
      </c>
      <c r="CL34" s="602" t="str">
        <f>IFERROR((CB34+CD34+CF34)/INDEX(bhpc_data[units_per_carton],MATCH(BZ34,bhpc_data[sku],0))*INDEX(bhpc_data[length],MATCH(BZ34,bhpc_data[sku],0))*INDEX(bhpc_data[width],MATCH(BZ34,bhpc_data[sku],0))*INDEX(bhpc_data[height],MATCH(BZ34,bhpc_data[sku],0))/1000000000,"")</f>
        <v/>
      </c>
      <c r="CM34" s="407" t="str">
        <f>IFERROR(INDEX(bhpc_data[category],MATCH(BZ34,bhpc_data[sku],0)),"")</f>
        <v/>
      </c>
      <c r="CN34" s="407" t="str">
        <f>IFERROR(INDEX(bhpc_data[size],MATCH(BZ34,bhpc_data[sku],0)),"")</f>
        <v/>
      </c>
      <c r="CO34" s="408" t="str">
        <f>IFERROR(INDEX(bhpc_data[hs_code],MATCH(BZ34,bhpc_data[sku],0)),"")</f>
        <v/>
      </c>
      <c r="CP34" s="489" t="str">
        <f>IFERROR(INDEX(bhpc_data[sku_geko],MATCH(BZ34,bhpc_data[sku],0)),"")</f>
        <v/>
      </c>
      <c r="CQ34" s="404"/>
      <c r="CR34" s="517" t="str">
        <f>IFERROR(IF(BZ34="","",IF($BX$15="SALE",INDEX(inventory[COSTO UNITARIO],MATCH(BZ34,inventory[SKU],0)),IF($BX$15="SAMPLING",INDEX(inventory[COSTO UNITARIO],MATCH(BZ34,inventory[SKU],0)),""))),"")</f>
        <v/>
      </c>
      <c r="CS34" s="517" t="str">
        <f t="shared" si="5"/>
        <v/>
      </c>
      <c r="CT34" s="896" t="str">
        <f t="shared" si="6"/>
        <v/>
      </c>
      <c r="CU34" s="469" t="str">
        <f t="shared" si="0"/>
        <v/>
      </c>
      <c r="CV34" s="351"/>
      <c r="CY34" s="368"/>
      <c r="CZ34" s="368"/>
      <c r="DH34" s="215"/>
      <c r="EE34" s="445" t="str" cm="1">
        <f t="array" ref="EE34">IFERROR(IF($EC$9="",IF($EC$11="",IF($EC$13="",INDEX(bhpc_data[sku],SMALL(MATCH(ROW(bhpc_data[sku]),ROW(bhpc_data[sku])),ROWS($A$15:A39)+$B$3)),INDEX(bhpc_data[sku],SMALL(IF(ISNUMBER(MATCH(bhpc_data[size],$EC$13,0)),MATCH(ROW(bhpc_data[sku]),ROW(bhpc_data[sku])),""),ROWS($A$15:A39)+$B$3))),IF($EC$13="",INDEX(bhpc_data[sku],SMALL(IF(ISNUMBER(MATCH(bhpc_data[sex],$EC$11,0)),MATCH(ROW(bhpc_data[sku]),ROW(bhpc_data[sku])),""),ROWS($A$15:A39)+$B$3)),INDEX(bhpc_data[sku],SMALL(IF(ISNUMBER(MATCH(bhpc_data[sex],$EC$11,0)*MATCH(bhpc_data[size],$EC$13,0)),MATCH(ROW(bhpc_data[sku]),ROW(bhpc_data[sku])),""),ROWS($A$15:A39)+$B$3)))),IF($EC$11="",IF($EC$13="",INDEX(bhpc_data[sku],SMALL(IF(ISNUMBER(MATCH(bhpc_data[category],$EC$9,0)),MATCH(ROW(bhpc_data[sku]),ROW(bhpc_data[sku])),""),ROWS($A$15:A39)+$B$3)),INDEX(bhpc_data[sku],SMALL(IF(ISNUMBER(MATCH(bhpc_data[category],$EC$9,0)*MATCH(bhpc_data[size],$EC$13,0)),MATCH(ROW(bhpc_data[sku]),ROW(bhpc_data[sku])),""),ROWS($A$15:A39)+$B$3))),IF($EC$13="",INDEX(bhpc_data[sku],SMALL(IF(ISNUMBER(MATCH(bhpc_data[category],$EC$9,0)*MATCH(bhpc_data[sex],$EC$11,0)),MATCH(ROW(bhpc_data[sku]),ROW(bhpc_data[sku])),""),ROWS($A$15:A39)+$B$3)),INDEX(bhpc_data[sku],SMALL(IF(ISNUMBER(MATCH(bhpc_data[category],$EC$9,0)*MATCH(bhpc_data[sex],$EC$11,0)*MATCH(bhpc_data[size],$EC$13,0)),MATCH(ROW(bhpc_data[sku]),ROW(bhpc_data[sku])),""),ROWS($A$15:A39)+$B$3))))),"")</f>
        <v>P05053</v>
      </c>
      <c r="EF34" s="446" t="str" cm="1">
        <f t="array" ref="EF34">IFERROR(IF($EC$9="",IF($EC$11="",IF($EC$13="",INDEX(bhpc_data[description],SMALL(MATCH(ROW(bhpc_data[sku]),ROW(bhpc_data[sku])),ROWS($A$15:A39)+$B$3)),INDEX(bhpc_data[description],SMALL(IF(ISNUMBER(MATCH(bhpc_data[size],$EC$13,0)),MATCH(ROW(bhpc_data[sku]),ROW(bhpc_data[sku])),""),ROWS($A$15:A39)+$B$3))),IF($EC$13="",INDEX(bhpc_data[description],SMALL(IF(ISNUMBER(MATCH(bhpc_data[sex],$EC$11,0)),MATCH(ROW(bhpc_data[sku]),ROW(bhpc_data[sku])),""),ROWS($A$15:A39)+$B$3)),INDEX(bhpc_data[description],SMALL(IF(ISNUMBER(MATCH(bhpc_data[sex],$EC$11,0)*MATCH(bhpc_data[size],$EC$13,0)),MATCH(ROW(bhpc_data[sku]),ROW(bhpc_data[sku])),""),ROWS($A$15:A39)+$B$3)))),IF($EC$11="",IF($EC$13="",INDEX(bhpc_data[description],SMALL(IF(ISNUMBER(MATCH(bhpc_data[category],$EC$9,0)),MATCH(ROW(bhpc_data[sku]),ROW(bhpc_data[sku])),""),ROWS($A$15:A39)+$B$3)),INDEX(bhpc_data[description],SMALL(IF(ISNUMBER(MATCH(bhpc_data[category],$EC$9,0)*MATCH(bhpc_data[size],$EC$13,0)),MATCH(ROW(bhpc_data[sku]),ROW(bhpc_data[sku])),""),ROWS($A$15:A39)+$B$3))),IF($EC$13="",INDEX(bhpc_data[description],SMALL(IF(ISNUMBER(MATCH(bhpc_data[category],$EC$9,0)*MATCH(bhpc_data[sex],$EC$11,0)),MATCH(ROW(bhpc_data[sku]),ROW(bhpc_data[sku])),""),ROWS($A$15:A39)+$B$3)),INDEX(bhpc_data[description],SMALL(IF(ISNUMBER(MATCH(bhpc_data[category],$EC$9,0)*MATCH(bhpc_data[sex],$EC$11,0)*MATCH(bhpc_data[size],$EC$13,0)),MATCH(ROW(bhpc_data[sku]),ROW(bhpc_data[sku])),""),ROWS($A$15:A39)+$B$3))))),"")</f>
        <v>BHPC WOMEN 2 EDP 100ML</v>
      </c>
      <c r="EG34" s="447">
        <f>IFERROR(IF('BHPC MANAGER'!$EE34="","",INDEX(inventory[ESISTENZA],MATCH('BHPC MANAGER'!$EE34,inventory[SKU],0))),0)</f>
        <v>5955</v>
      </c>
      <c r="EH34" s="448">
        <v>-1681</v>
      </c>
      <c r="EI34" s="448">
        <f t="shared" si="1"/>
        <v>4274</v>
      </c>
      <c r="EJ34" s="449">
        <v>-8</v>
      </c>
      <c r="EK34" s="450">
        <f t="shared" si="2"/>
        <v>4266</v>
      </c>
      <c r="FF34" s="263"/>
      <c r="FG34" s="263"/>
      <c r="FH34" s="263"/>
      <c r="FI34" s="263"/>
      <c r="FJ34" s="263"/>
      <c r="FK34" s="263"/>
      <c r="FL34" s="263"/>
      <c r="FM34" s="263"/>
      <c r="FN34" s="263"/>
      <c r="FO34" s="263"/>
      <c r="FP34" s="263"/>
      <c r="FQ34" s="263"/>
      <c r="FR34" s="263"/>
      <c r="FS34" s="263"/>
      <c r="FT34" s="263"/>
      <c r="FU34" s="263"/>
      <c r="FV34" s="263"/>
      <c r="FW34" s="263"/>
      <c r="FX34" s="263"/>
      <c r="FY34" s="263"/>
      <c r="FZ34" s="263"/>
      <c r="GA34" s="263"/>
      <c r="GB34" s="263"/>
      <c r="GC34" s="263"/>
      <c r="GD34" s="263"/>
      <c r="GE34" s="263"/>
      <c r="GF34" s="263"/>
      <c r="GG34" s="263"/>
      <c r="GH34" s="263"/>
      <c r="GI34" s="263"/>
      <c r="GJ34" s="263"/>
      <c r="GK34" s="263"/>
      <c r="GL34" s="263"/>
      <c r="GM34" s="263"/>
      <c r="GN34" s="263"/>
      <c r="GO34" s="263"/>
      <c r="GP34" s="263"/>
      <c r="GQ34" s="263"/>
      <c r="GR34" s="263"/>
      <c r="GS34" s="263"/>
      <c r="GT34" s="263"/>
      <c r="GU34" s="263"/>
      <c r="GV34" s="263"/>
      <c r="GW34" s="263"/>
      <c r="GX34" s="263"/>
      <c r="GY34" s="263"/>
      <c r="GZ34" s="263"/>
      <c r="HA34" s="263"/>
      <c r="HB34" s="263"/>
      <c r="HC34" s="263"/>
      <c r="HD34" s="263"/>
      <c r="HE34" s="263"/>
      <c r="HF34" s="263"/>
      <c r="HG34" s="263"/>
      <c r="HH34" s="263"/>
      <c r="HI34" s="263"/>
      <c r="HJ34" s="263"/>
      <c r="HK34" s="263"/>
      <c r="HL34" s="263"/>
      <c r="HM34" s="263"/>
      <c r="HN34" s="263"/>
      <c r="HO34" s="263"/>
      <c r="HP34" s="263"/>
      <c r="HQ34" s="263"/>
      <c r="HR34" s="263"/>
      <c r="HS34" s="263"/>
      <c r="HT34" s="263"/>
    </row>
    <row r="35" spans="6:228" ht="15" customHeight="1" thickBot="1" x14ac:dyDescent="0.4">
      <c r="F35" s="91"/>
      <c r="G35" s="803"/>
      <c r="H35" s="804"/>
      <c r="I35" s="805"/>
      <c r="J35" s="77"/>
      <c r="L35" s="381" t="str">
        <f t="array" ref="L35">IFERROR(IF($D$9="",IF($D$11="",IF($D$13="",IF($D$15="",INDEX(orderHistory[customer],SMALL(MATCH(ROW(orderHistory[customer]),ROW(orderHistory[customer])),ROWS($A$15:A40)+$B$3)),INDEX(orderHistory[customer],SMALL(IF(ISNUMBER(MATCH(YEAR(orderHistory[invoice_date]),$D$15,0)),MATCH(ROW(orderHistory[customer]),ROW(orderHistory[customer])),""),ROWS($A$15:A40)+$B$3))),IF($D$15="",INDEX(orderHistory[customer],SMALL(IF(ISNUMBER(MATCH(orderHistory[order_type],$D$13,0)),MATCH(ROW(orderHistory[customer]),ROW(orderHistory[customer])),""),ROWS($A$15:A40)+$B$3)),INDEX(orderHistory[customer],SMALL(IF(ISNUMBER(MATCH(orderHistory[order_type],$D$13,0)*MATCH(YEAR(orderHistory[invoice_date]),$D$15,0)),MATCH(ROW(orderHistory[customer]),ROW(orderHistory[customer])),""),ROWS($A$15:A40)+$B$3)))),IF($D$13="",IF($D$15="",INDEX(orderHistory[customer],SMALL(IF(ISNUMBER(MATCH(orderHistory[status],$D$11,0)),MATCH(ROW(orderHistory[customer]),ROW(orderHistory[customer])),""),ROWS($A$15:A40)+$B$3)),INDEX(orderHistory[customer],SMALL(IF(ISNUMBER(MATCH(orderHistory[status],$D$11,0)*MATCH(YEAR(orderHistory[invoice_date]),$D$15,0)),MATCH(ROW(orderHistory[customer]),ROW(orderHistory[customer])),""),ROWS($A$15:A40)+$B$3))),IF($D$15="",INDEX(orderHistory[customer],SMALL(IF(ISNUMBER(MATCH(orderHistory[status],$D$11,0)*MATCH(orderHistory[order_type],$D$13,0)),MATCH(ROW(orderHistory[customer]),ROW(orderHistory[customer])),""),ROWS($A$15:A40)+$B$3)),INDEX(orderHistory[customer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customer],SMALL(IF(ISNUMBER(MATCH(orderHistory[customer],$D$9,0)),MATCH(ROW(orderHistory[customer]),ROW(orderHistory[customer])),""),ROWS($A$15:A40)+$B$3)),INDEX(orderHistory[customer],SMALL(IF(ISNUMBER(MATCH(orderHistory[customer],$D$9,0)*MATCH(YEAR(orderHistory[invoice_date]),$D$15,0)),MATCH(ROW(orderHistory[customer]),ROW(orderHistory[customer])),""),ROWS($A$15:A40)+$B$3))),IF($D$15="",INDEX(orderHistory[customer],SMALL(IF(ISNUMBER(MATCH(orderHistory[customer],$D$9,0)*MATCH(orderHistory[order_type],$D$13,0)),MATCH(ROW(orderHistory[customer]),ROW(orderHistory[customer])),""),ROWS($A$15:A40)+$B$3)),INDEX(orderHistory[customer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customer],SMALL(IF(ISNUMBER(MATCH(orderHistory[customer],$D$9,0)*MATCH(orderHistory[status],$D$11,0)),MATCH(ROW(orderHistory[customer]),ROW(orderHistory[customer])),""),ROWS($A$15:A40)+$B$3)),INDEX(orderHistory[customer],SMALL(IF(ISNUMBER(MATCH(orderHistory[customer],$D$9,0)*MATCH(orderHistory[status],$D$11,0)*MATCH(YEAR(orderHistory[invoice_date]),$D$15,0)),MATCH(ROW(orderHistory[customer]),ROW(orderHistory[customer])),""),ROWS($A$15:A40)+$B$3))),IF($D$15="",INDEX(orderHistory[customer],SMALL(IF(ISNUMBER(MATCH(orderHistory[customer],$D$9,0)*MATCH(orderHistory[status],$D$11,0)*MATCH(orderHistory[order_type],$D$13,0)),MATCH(ROW(orderHistory[customer]),ROW(orderHistory[customer])),""),ROWS($A$15:A40)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BHPC DUBAI</v>
      </c>
      <c r="M35" s="382">
        <f t="array" ref="M35">IFERROR(IF($D$9="",IF($D$11="",IF($D$13="",IF($D$15="",INDEX(orderHistory[order_no],SMALL(MATCH(ROW(orderHistory[customer]),ROW(orderHistory[customer])),ROWS($A$15:A40)+$B$3)),INDEX(orderHistory[order_no],SMALL(IF(ISNUMBER(MATCH(YEAR(orderHistory[invoice_date]),$D$15,0)),MATCH(ROW(orderHistory[customer]),ROW(orderHistory[customer])),""),ROWS($A$15:A40)+$B$3))),IF($D$15="",INDEX(orderHistory[order_no],SMALL(IF(ISNUMBER(MATCH(orderHistory[order_type],$D$13,0)),MATCH(ROW(orderHistory[customer]),ROW(orderHistory[customer])),""),ROWS($A$15:A40)+$B$3)),INDEX(orderHistory[order_no],SMALL(IF(ISNUMBER(MATCH(orderHistory[order_type],$D$13,0)*MATCH(YEAR(orderHistory[invoice_date]),$D$15,0)),MATCH(ROW(orderHistory[customer]),ROW(orderHistory[customer])),""),ROWS($A$15:A40)+$B$3)))),IF($D$13="",IF($D$15="",INDEX(orderHistory[order_no],SMALL(IF(ISNUMBER(MATCH(orderHistory[status],$D$11,0)),MATCH(ROW(orderHistory[customer]),ROW(orderHistory[customer])),""),ROWS($A$15:A40)+$B$3)),INDEX(orderHistory[order_no],SMALL(IF(ISNUMBER(MATCH(orderHistory[status],$D$11,0)*MATCH(YEAR(orderHistory[invoice_date]),$D$15,0)),MATCH(ROW(orderHistory[customer]),ROW(orderHistory[customer])),""),ROWS($A$15:A40)+$B$3))),IF($D$15="",INDEX(orderHistory[order_no],SMALL(IF(ISNUMBER(MATCH(orderHistory[status],$D$11,0)*MATCH(orderHistory[order_type],$D$13,0)),MATCH(ROW(orderHistory[customer]),ROW(orderHistory[customer])),""),ROWS($A$15:A40)+$B$3)),INDEX(orderHistory[order_no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order_no],SMALL(IF(ISNUMBER(MATCH(orderHistory[customer],$D$9,0)),MATCH(ROW(orderHistory[customer]),ROW(orderHistory[customer])),""),ROWS($A$15:A40)+$B$3)),INDEX(orderHistory[order_no],SMALL(IF(ISNUMBER(MATCH(orderHistory[customer],$D$9,0)*MATCH(YEAR(orderHistory[invoice_date]),$D$15,0)),MATCH(ROW(orderHistory[customer]),ROW(orderHistory[customer])),""),ROWS($A$15:A40)+$B$3))),IF($D$15="",INDEX(orderHistory[order_no],SMALL(IF(ISNUMBER(MATCH(orderHistory[customer],$D$9,0)*MATCH(orderHistory[order_type],$D$13,0)),MATCH(ROW(orderHistory[customer]),ROW(orderHistory[customer])),""),ROWS($A$15:A40)+$B$3)),INDEX(orderHistory[order_no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order_no],SMALL(IF(ISNUMBER(MATCH(orderHistory[customer],$D$9,0)*MATCH(orderHistory[status],$D$11,0)),MATCH(ROW(orderHistory[customer]),ROW(orderHistory[customer])),""),ROWS($A$15:A40)+$B$3)),INDEX(orderHistory[order_no],SMALL(IF(ISNUMBER(MATCH(orderHistory[customer],$D$9,0)*MATCH(orderHistory[status],$D$11,0)*MATCH(YEAR(orderHistory[invoice_date]),$D$15,0)),MATCH(ROW(orderHistory[customer]),ROW(orderHistory[customer])),""),ROWS($A$15:A40)+$B$3))),IF($D$15="",INDEX(orderHistory[order_no],SMALL(IF(ISNUMBER(MATCH(orderHistory[customer],$D$9,0)*MATCH(orderHistory[status],$D$11,0)*MATCH(orderHistory[order_type],$D$13,0)),MATCH(ROW(orderHistory[customer]),ROW(orderHistory[customer])),""),ROWS($A$15:A40)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53</v>
      </c>
      <c r="N35" s="383" t="str">
        <f t="array" ref="N35">IFERROR(IF($D$9="",IF($D$11="",IF($D$13="",IF($D$15="",INDEX(orderHistory[order_type],SMALL(MATCH(ROW(orderHistory[customer]),ROW(orderHistory[customer])),ROWS($A$15:A40)+$B$3)),INDEX(orderHistory[order_type],SMALL(IF(ISNUMBER(MATCH(YEAR(orderHistory[invoice_date]),$D$15,0)),MATCH(ROW(orderHistory[customer]),ROW(orderHistory[customer])),""),ROWS($A$15:A40)+$B$3))),IF($D$15="",INDEX(orderHistory[order_type],SMALL(IF(ISNUMBER(MATCH(orderHistory[order_type],$D$13,0)),MATCH(ROW(orderHistory[customer]),ROW(orderHistory[customer])),""),ROWS($A$15:A40)+$B$3)),INDEX(orderHistory[order_type],SMALL(IF(ISNUMBER(MATCH(orderHistory[order_type],$D$13,0)*MATCH(YEAR(orderHistory[invoice_date]),$D$15,0)),MATCH(ROW(orderHistory[customer]),ROW(orderHistory[customer])),""),ROWS($A$15:A40)+$B$3)))),IF($D$13="",IF($D$15="",INDEX(orderHistory[order_type],SMALL(IF(ISNUMBER(MATCH(orderHistory[status],$D$11,0)),MATCH(ROW(orderHistory[customer]),ROW(orderHistory[customer])),""),ROWS($A$15:A40)+$B$3)),INDEX(orderHistory[order_type],SMALL(IF(ISNUMBER(MATCH(orderHistory[status],$D$11,0)*MATCH(YEAR(orderHistory[invoice_date]),$D$15,0)),MATCH(ROW(orderHistory[customer]),ROW(orderHistory[customer])),""),ROWS($A$15:A40)+$B$3))),IF($D$15="",INDEX(orderHistory[order_type],SMALL(IF(ISNUMBER(MATCH(orderHistory[status],$D$11,0)*MATCH(orderHistory[order_type],$D$13,0)),MATCH(ROW(orderHistory[customer]),ROW(orderHistory[customer])),""),ROWS($A$15:A40)+$B$3)),INDEX(orderHistory[order_type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order_type],SMALL(IF(ISNUMBER(MATCH(orderHistory[customer],$D$9,0)),MATCH(ROW(orderHistory[customer]),ROW(orderHistory[customer])),""),ROWS($A$15:A40)+$B$3)),INDEX(orderHistory[order_type],SMALL(IF(ISNUMBER(MATCH(orderHistory[customer],$D$9,0)*MATCH(YEAR(orderHistory[invoice_date]),$D$15,0)),MATCH(ROW(orderHistory[customer]),ROW(orderHistory[customer])),""),ROWS($A$15:A40)+$B$3))),IF($D$15="",INDEX(orderHistory[order_type],SMALL(IF(ISNUMBER(MATCH(orderHistory[customer],$D$9,0)*MATCH(orderHistory[order_type],$D$13,0)),MATCH(ROW(orderHistory[customer]),ROW(orderHistory[customer])),""),ROWS($A$15:A40)+$B$3)),INDEX(orderHistory[order_type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order_type],SMALL(IF(ISNUMBER(MATCH(orderHistory[customer],$D$9,0)*MATCH(orderHistory[status],$D$11,0)),MATCH(ROW(orderHistory[customer]),ROW(orderHistory[customer])),""),ROWS($A$15:A40)+$B$3)),INDEX(orderHistory[order_type],SMALL(IF(ISNUMBER(MATCH(orderHistory[customer],$D$9,0)*MATCH(orderHistory[status],$D$11,0)*MATCH(YEAR(orderHistory[invoice_date]),$D$15,0)),MATCH(ROW(orderHistory[customer]),ROW(orderHistory[customer])),""),ROWS($A$15:A40)+$B$3))),IF($D$15="",INDEX(orderHistory[order_type],SMALL(IF(ISNUMBER(MATCH(orderHistory[customer],$D$9,0)*MATCH(orderHistory[status],$D$11,0)*MATCH(orderHistory[order_type],$D$13,0)),MATCH(ROW(orderHistory[customer]),ROW(orderHistory[customer])),""),ROWS($A$15:A40)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SALE</v>
      </c>
      <c r="O35" s="384">
        <f t="array" ref="O35">IFERROR(IF($D$9="",IF($D$11="",IF($D$13="",IF($D$15="",INDEX(orderHistory[order_date],SMALL(MATCH(ROW(orderHistory[customer]),ROW(orderHistory[customer])),ROWS($A$15:A40)+$B$3)),INDEX(orderHistory[order_date],SMALL(IF(ISNUMBER(MATCH(YEAR(orderHistory[invoice_date]),$D$15,0)),MATCH(ROW(orderHistory[customer]),ROW(orderHistory[customer])),""),ROWS($A$15:A40)+$B$3))),IF($D$15="",INDEX(orderHistory[order_date],SMALL(IF(ISNUMBER(MATCH(orderHistory[order_type],$D$13,0)),MATCH(ROW(orderHistory[customer]),ROW(orderHistory[customer])),""),ROWS($A$15:A40)+$B$3)),INDEX(orderHistory[order_date],SMALL(IF(ISNUMBER(MATCH(orderHistory[order_type],$D$13,0)*MATCH(YEAR(orderHistory[invoice_date]),$D$15,0)),MATCH(ROW(orderHistory[customer]),ROW(orderHistory[customer])),""),ROWS($A$15:A40)+$B$3)))),IF($D$13="",IF($D$15="",INDEX(orderHistory[order_date],SMALL(IF(ISNUMBER(MATCH(orderHistory[status],$D$11,0)),MATCH(ROW(orderHistory[customer]),ROW(orderHistory[customer])),""),ROWS($A$15:A40)+$B$3)),INDEX(orderHistory[order_date],SMALL(IF(ISNUMBER(MATCH(orderHistory[status],$D$11,0)*MATCH(YEAR(orderHistory[invoice_date]),$D$15,0)),MATCH(ROW(orderHistory[customer]),ROW(orderHistory[customer])),""),ROWS($A$15:A40)+$B$3))),IF($D$15="",INDEX(orderHistory[order_date],SMALL(IF(ISNUMBER(MATCH(orderHistory[status],$D$11,0)*MATCH(orderHistory[order_type],$D$13,0)),MATCH(ROW(orderHistory[customer]),ROW(orderHistory[customer])),""),ROWS($A$15:A40)+$B$3)),INDEX(orderHistory[order_date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order_date],SMALL(IF(ISNUMBER(MATCH(orderHistory[customer],$D$9,0)),MATCH(ROW(orderHistory[customer]),ROW(orderHistory[customer])),""),ROWS($A$15:A40)+$B$3)),INDEX(orderHistory[order_date],SMALL(IF(ISNUMBER(MATCH(orderHistory[customer],$D$9,0)*MATCH(YEAR(orderHistory[invoice_date]),$D$15,0)),MATCH(ROW(orderHistory[customer]),ROW(orderHistory[customer])),""),ROWS($A$15:A40)+$B$3))),IF($D$15="",INDEX(orderHistory[order_date],SMALL(IF(ISNUMBER(MATCH(orderHistory[customer],$D$9,0)*MATCH(orderHistory[order_type],$D$13,0)),MATCH(ROW(orderHistory[customer]),ROW(orderHistory[customer])),""),ROWS($A$15:A40)+$B$3)),INDEX(orderHistory[order_date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order_date],SMALL(IF(ISNUMBER(MATCH(orderHistory[customer],$D$9,0)*MATCH(orderHistory[status],$D$11,0)),MATCH(ROW(orderHistory[customer]),ROW(orderHistory[customer])),""),ROWS($A$15:A40)+$B$3)),INDEX(orderHistory[order_date],SMALL(IF(ISNUMBER(MATCH(orderHistory[customer],$D$9,0)*MATCH(orderHistory[status],$D$11,0)*MATCH(YEAR(orderHistory[invoice_date]),$D$15,0)),MATCH(ROW(orderHistory[customer]),ROW(orderHistory[customer])),""),ROWS($A$15:A40)+$B$3))),IF($D$15="",INDEX(orderHistory[order_date],SMALL(IF(ISNUMBER(MATCH(orderHistory[customer],$D$9,0)*MATCH(orderHistory[status],$D$11,0)*MATCH(orderHistory[order_type],$D$13,0)),MATCH(ROW(orderHistory[customer]),ROW(orderHistory[customer])),""),ROWS($A$15:A40)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45436</v>
      </c>
      <c r="P35" s="385" t="str">
        <f t="array" ref="P35">IFERROR(IF($D$9="",IF($D$11="",IF($D$13="",IF($D$15="",INDEX(orderHistory[invoice_no],SMALL(MATCH(ROW(orderHistory[customer]),ROW(orderHistory[customer])),ROWS($A$15:A40)+$B$3)),INDEX(orderHistory[invoice_no],SMALL(IF(ISNUMBER(MATCH(YEAR(orderHistory[invoice_date]),$D$15,0)),MATCH(ROW(orderHistory[customer]),ROW(orderHistory[customer])),""),ROWS($A$15:A40)+$B$3))),IF($D$15="",INDEX(orderHistory[invoice_no],SMALL(IF(ISNUMBER(MATCH(orderHistory[order_type],$D$13,0)),MATCH(ROW(orderHistory[customer]),ROW(orderHistory[customer])),""),ROWS($A$15:A40)+$B$3)),INDEX(orderHistory[invoice_no],SMALL(IF(ISNUMBER(MATCH(orderHistory[order_type],$D$13,0)*MATCH(YEAR(orderHistory[invoice_date]),$D$15,0)),MATCH(ROW(orderHistory[customer]),ROW(orderHistory[customer])),""),ROWS($A$15:A40)+$B$3)))),IF($D$13="",IF($D$15="",INDEX(orderHistory[invoice_no],SMALL(IF(ISNUMBER(MATCH(orderHistory[status],$D$11,0)),MATCH(ROW(orderHistory[customer]),ROW(orderHistory[customer])),""),ROWS($A$15:A40)+$B$3)),INDEX(orderHistory[invoice_no],SMALL(IF(ISNUMBER(MATCH(orderHistory[status],$D$11,0)*MATCH(YEAR(orderHistory[invoice_date]),$D$15,0)),MATCH(ROW(orderHistory[customer]),ROW(orderHistory[customer])),""),ROWS($A$15:A40)+$B$3))),IF($D$15="",INDEX(orderHistory[invoice_no],SMALL(IF(ISNUMBER(MATCH(orderHistory[status],$D$11,0)*MATCH(orderHistory[order_type],$D$13,0)),MATCH(ROW(orderHistory[customer]),ROW(orderHistory[customer])),""),ROWS($A$15:A40)+$B$3)),INDEX(orderHistory[invoice_no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invoice_no],SMALL(IF(ISNUMBER(MATCH(orderHistory[customer],$D$9,0)),MATCH(ROW(orderHistory[customer]),ROW(orderHistory[customer])),""),ROWS($A$15:A40)+$B$3)),INDEX(orderHistory[invoice_no],SMALL(IF(ISNUMBER(MATCH(orderHistory[customer],$D$9,0)*MATCH(YEAR(orderHistory[invoice_date]),$D$15,0)),MATCH(ROW(orderHistory[customer]),ROW(orderHistory[customer])),""),ROWS($A$15:A40)+$B$3))),IF($D$15="",INDEX(orderHistory[invoice_no],SMALL(IF(ISNUMBER(MATCH(orderHistory[customer],$D$9,0)*MATCH(orderHistory[order_type],$D$13,0)),MATCH(ROW(orderHistory[customer]),ROW(orderHistory[customer])),""),ROWS($A$15:A40)+$B$3)),INDEX(orderHistory[invoice_no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invoice_no],SMALL(IF(ISNUMBER(MATCH(orderHistory[customer],$D$9,0)*MATCH(orderHistory[status],$D$11,0)),MATCH(ROW(orderHistory[customer]),ROW(orderHistory[customer])),""),ROWS($A$15:A40)+$B$3)),INDEX(orderHistory[invoice_no],SMALL(IF(ISNUMBER(MATCH(orderHistory[customer],$D$9,0)*MATCH(orderHistory[status],$D$11,0)*MATCH(YEAR(orderHistory[invoice_date]),$D$15,0)),MATCH(ROW(orderHistory[customer]),ROW(orderHistory[customer])),""),ROWS($A$15:A40)+$B$3))),IF($D$15="",INDEX(orderHistory[invoice_no],SMALL(IF(ISNUMBER(MATCH(orderHistory[customer],$D$9,0)*MATCH(orderHistory[status],$D$11,0)*MATCH(orderHistory[order_type],$D$13,0)),MATCH(ROW(orderHistory[customer]),ROW(orderHistory[customer])),""),ROWS($A$15:A40)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175</v>
      </c>
      <c r="Q35" s="386">
        <f t="array" ref="Q35">IFERROR(IF($D$9="",IF($D$11="",IF($D$13="",IF($D$15="",INDEX(orderHistory[invoice_date],SMALL(MATCH(ROW(orderHistory[customer]),ROW(orderHistory[customer])),ROWS($A$15:A40)+$B$3)),INDEX(orderHistory[invoice_date],SMALL(IF(ISNUMBER(MATCH(YEAR(orderHistory[invoice_date]),$D$15,0)),MATCH(ROW(orderHistory[customer]),ROW(orderHistory[customer])),""),ROWS($A$15:A40)+$B$3))),IF($D$15="",INDEX(orderHistory[invoice_date],SMALL(IF(ISNUMBER(MATCH(orderHistory[order_type],$D$13,0)),MATCH(ROW(orderHistory[customer]),ROW(orderHistory[customer])),""),ROWS($A$15:A40)+$B$3)),INDEX(orderHistory[invoice_date],SMALL(IF(ISNUMBER(MATCH(orderHistory[order_type],$D$13,0)*MATCH(YEAR(orderHistory[invoice_date]),$D$15,0)),MATCH(ROW(orderHistory[customer]),ROW(orderHistory[customer])),""),ROWS($A$15:A40)+$B$3)))),IF($D$13="",IF($D$15="",INDEX(orderHistory[invoice_date],SMALL(IF(ISNUMBER(MATCH(orderHistory[status],$D$11,0)),MATCH(ROW(orderHistory[customer]),ROW(orderHistory[customer])),""),ROWS($A$15:A40)+$B$3)),INDEX(orderHistory[invoice_date],SMALL(IF(ISNUMBER(MATCH(orderHistory[status],$D$11,0)*MATCH(YEAR(orderHistory[invoice_date]),$D$15,0)),MATCH(ROW(orderHistory[customer]),ROW(orderHistory[customer])),""),ROWS($A$15:A40)+$B$3))),IF($D$15="",INDEX(orderHistory[invoice_date],SMALL(IF(ISNUMBER(MATCH(orderHistory[status],$D$11,0)*MATCH(orderHistory[order_type],$D$13,0)),MATCH(ROW(orderHistory[customer]),ROW(orderHistory[customer])),""),ROWS($A$15:A40)+$B$3)),INDEX(orderHistory[invoice_date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invoice_date],SMALL(IF(ISNUMBER(MATCH(orderHistory[customer],$D$9,0)),MATCH(ROW(orderHistory[customer]),ROW(orderHistory[customer])),""),ROWS($A$15:A40)+$B$3)),INDEX(orderHistory[invoice_date],SMALL(IF(ISNUMBER(MATCH(orderHistory[customer],$D$9,0)*MATCH(YEAR(orderHistory[invoice_date]),$D$15,0)),MATCH(ROW(orderHistory[customer]),ROW(orderHistory[customer])),""),ROWS($A$15:A40)+$B$3))),IF($D$15="",INDEX(orderHistory[invoice_date],SMALL(IF(ISNUMBER(MATCH(orderHistory[customer],$D$9,0)*MATCH(orderHistory[order_type],$D$13,0)),MATCH(ROW(orderHistory[customer]),ROW(orderHistory[customer])),""),ROWS($A$15:A40)+$B$3)),INDEX(orderHistory[invoice_date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invoice_date],SMALL(IF(ISNUMBER(MATCH(orderHistory[customer],$D$9,0)*MATCH(orderHistory[status],$D$11,0)),MATCH(ROW(orderHistory[customer]),ROW(orderHistory[customer])),""),ROWS($A$15:A40)+$B$3)),INDEX(orderHistory[invoice_date],SMALL(IF(ISNUMBER(MATCH(orderHistory[customer],$D$9,0)*MATCH(orderHistory[status],$D$11,0)*MATCH(YEAR(orderHistory[invoice_date]),$D$15,0)),MATCH(ROW(orderHistory[customer]),ROW(orderHistory[customer])),""),ROWS($A$15:A40)+$B$3))),IF($D$15="",INDEX(orderHistory[invoice_date],SMALL(IF(ISNUMBER(MATCH(orderHistory[customer],$D$9,0)*MATCH(orderHistory[status],$D$11,0)*MATCH(orderHistory[order_type],$D$13,0)),MATCH(ROW(orderHistory[customer]),ROW(orderHistory[customer])),""),ROWS($A$15:A40)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45436</v>
      </c>
      <c r="R35" s="387">
        <f t="array" ref="R35">IFERROR(IF($D$9="",IF($D$11="",IF($D$13="",IF($D$15="",INDEX(orderHistory[inv_amount],SMALL(MATCH(ROW(orderHistory[customer]),ROW(orderHistory[customer])),ROWS($A$15:A40)+$B$3)),INDEX(orderHistory[inv_amount],SMALL(IF(ISNUMBER(MATCH(YEAR(orderHistory[invoice_date]),$D$15,0)),MATCH(ROW(orderHistory[customer]),ROW(orderHistory[customer])),""),ROWS($A$15:A40)+$B$3))),IF($D$15="",INDEX(orderHistory[inv_amount],SMALL(IF(ISNUMBER(MATCH(orderHistory[order_type],$D$13,0)),MATCH(ROW(orderHistory[customer]),ROW(orderHistory[customer])),""),ROWS($A$15:A40)+$B$3)),INDEX(orderHistory[inv_amount],SMALL(IF(ISNUMBER(MATCH(orderHistory[order_type],$D$13,0)*MATCH(YEAR(orderHistory[invoice_date]),$D$15,0)),MATCH(ROW(orderHistory[customer]),ROW(orderHistory[customer])),""),ROWS($A$15:A40)+$B$3)))),IF($D$13="",IF($D$15="",INDEX(orderHistory[inv_amount],SMALL(IF(ISNUMBER(MATCH(orderHistory[status],$D$11,0)),MATCH(ROW(orderHistory[customer]),ROW(orderHistory[customer])),""),ROWS($A$15:A40)+$B$3)),INDEX(orderHistory[inv_amount],SMALL(IF(ISNUMBER(MATCH(orderHistory[status],$D$11,0)*MATCH(YEAR(orderHistory[invoice_date]),$D$15,0)),MATCH(ROW(orderHistory[customer]),ROW(orderHistory[customer])),""),ROWS($A$15:A40)+$B$3))),IF($D$15="",INDEX(orderHistory[inv_amount],SMALL(IF(ISNUMBER(MATCH(orderHistory[status],$D$11,0)*MATCH(orderHistory[order_type],$D$13,0)),MATCH(ROW(orderHistory[customer]),ROW(orderHistory[customer])),""),ROWS($A$15:A40)+$B$3)),INDEX(orderHistory[inv_amount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inv_amount],SMALL(IF(ISNUMBER(MATCH(orderHistory[customer],$D$9,0)),MATCH(ROW(orderHistory[customer]),ROW(orderHistory[customer])),""),ROWS($A$15:A40)+$B$3)),INDEX(orderHistory[inv_amount],SMALL(IF(ISNUMBER(MATCH(orderHistory[customer],$D$9,0)*MATCH(YEAR(orderHistory[invoice_date]),$D$15,0)),MATCH(ROW(orderHistory[customer]),ROW(orderHistory[customer])),""),ROWS($A$15:A40)+$B$3))),IF($D$15="",INDEX(orderHistory[inv_amount],SMALL(IF(ISNUMBER(MATCH(orderHistory[customer],$D$9,0)*MATCH(orderHistory[order_type],$D$13,0)),MATCH(ROW(orderHistory[customer]),ROW(orderHistory[customer])),""),ROWS($A$15:A40)+$B$3)),INDEX(orderHistory[inv_amount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inv_amount],SMALL(IF(ISNUMBER(MATCH(orderHistory[customer],$D$9,0)*MATCH(orderHistory[status],$D$11,0)),MATCH(ROW(orderHistory[customer]),ROW(orderHistory[customer])),""),ROWS($A$15:A40)+$B$3)),INDEX(orderHistory[inv_amount],SMALL(IF(ISNUMBER(MATCH(orderHistory[customer],$D$9,0)*MATCH(orderHistory[status],$D$11,0)*MATCH(YEAR(orderHistory[inv_amount]),$D$15,0)),MATCH(ROW(orderHistory[customer]),ROW(orderHistory[customer])),""),ROWS($A$15:A40)+$B$3))),IF($D$15="",INDEX(orderHistory[inv_amount],SMALL(IF(ISNUMBER(MATCH(orderHistory[customer],$D$9,0)*MATCH(orderHistory[status],$D$11,0)*MATCH(orderHistory[order_type],$D$13,0)),MATCH(ROW(orderHistory[customer]),ROW(orderHistory[customer])),""),ROWS($A$15:A40)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8409.6</v>
      </c>
      <c r="S35" s="465" t="str">
        <f t="array" ref="S35">IFERROR(IF($D$9="",IF($D$11="",IF($D$13="",IF($D$15="",INDEX(orderHistory[lock_goods],SMALL(MATCH(ROW(orderHistory[customer]),ROW(orderHistory[customer])),ROWS($A$15:A40)+$B$3)),INDEX(orderHistory[lock_goods],SMALL(IF(ISNUMBER(MATCH(YEAR(orderHistory[invoice_date]),$D$15,0)),MATCH(ROW(orderHistory[customer]),ROW(orderHistory[customer])),""),ROWS($A$15:A40)+$B$3))),IF($D$15="",INDEX(orderHistory[lock_goods],SMALL(IF(ISNUMBER(MATCH(orderHistory[order_type],$D$13,0)),MATCH(ROW(orderHistory[customer]),ROW(orderHistory[customer])),""),ROWS($A$15:A40)+$B$3)),INDEX(orderHistory[lock_goods],SMALL(IF(ISNUMBER(MATCH(orderHistory[order_type],$D$13,0)*MATCH(YEAR(orderHistory[invoice_date]),$D$15,0)),MATCH(ROW(orderHistory[customer]),ROW(orderHistory[customer])),""),ROWS($A$15:A40)+$B$3)))),IF($D$13="",IF($D$15="",INDEX(orderHistory[lock_goods],SMALL(IF(ISNUMBER(MATCH(orderHistory[status],$D$11,0)),MATCH(ROW(orderHistory[customer]),ROW(orderHistory[customer])),""),ROWS($A$15:A40)+$B$3)),INDEX(orderHistory[lock_goods],SMALL(IF(ISNUMBER(MATCH(orderHistory[status],$D$11,0)*MATCH(YEAR(orderHistory[invoice_date]),$D$15,0)),MATCH(ROW(orderHistory[customer]),ROW(orderHistory[customer])),""),ROWS($A$15:A40)+$B$3))),IF($D$15="",INDEX(orderHistory[lock_goods],SMALL(IF(ISNUMBER(MATCH(orderHistory[status],$D$11,0)*MATCH(orderHistory[order_type],$D$13,0)),MATCH(ROW(orderHistory[customer]),ROW(orderHistory[customer])),""),ROWS($A$15:A40)+$B$3)),INDEX(orderHistory[lock_goods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lock_goods],SMALL(IF(ISNUMBER(MATCH(orderHistory[customer],$D$9,0)),MATCH(ROW(orderHistory[customer]),ROW(orderHistory[customer])),""),ROWS($A$15:A40)+$B$3)),INDEX(orderHistory[lock_goods],SMALL(IF(ISNUMBER(MATCH(orderHistory[customer],$D$9,0)*MATCH(YEAR(orderHistory[invoice_date]),$D$15,0)),MATCH(ROW(orderHistory[customer]),ROW(orderHistory[customer])),""),ROWS($A$15:A40)+$B$3))),IF($D$15="",INDEX(orderHistory[lock_goods],SMALL(IF(ISNUMBER(MATCH(orderHistory[customer],$D$9,0)*MATCH(orderHistory[order_type],$D$13,0)),MATCH(ROW(orderHistory[customer]),ROW(orderHistory[customer])),""),ROWS($A$15:A40)+$B$3)),INDEX(orderHistory[lock_goods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lock_goods],SMALL(IF(ISNUMBER(MATCH(orderHistory[customer],$D$9,0)*MATCH(orderHistory[status],$D$11,0)),MATCH(ROW(orderHistory[customer]),ROW(orderHistory[customer])),""),ROWS($A$15:A40)+$B$3)),INDEX(orderHistory[lock_goods],SMALL(IF(ISNUMBER(MATCH(orderHistory[customer],$D$9,0)*MATCH(orderHistory[status],$D$11,0)*MATCH(YEAR(orderHistory[payed]),$D$15,0)),MATCH(ROW(orderHistory[customer]),ROW(orderHistory[customer])),""),ROWS($A$15:A40)+$B$3))),IF($D$15="",INDEX(orderHistory[lock_goods],SMALL(IF(ISNUMBER(MATCH(orderHistory[customer],$D$9,0)*MATCH(orderHistory[status],$D$11,0)*MATCH(orderHistory[order_type],$D$13,0)),MATCH(ROW(orderHistory[customer]),ROW(orderHistory[customer])),""),ROWS($A$15:A40)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GOODS SENT</v>
      </c>
      <c r="T35" s="388" t="b">
        <f t="array" ref="T35">IFERROR(IF($D$9="",IF($D$11="",IF($D$13="",IF($D$15="",INDEX(orderHistory[payed],SMALL(MATCH(ROW(orderHistory[customer]),ROW(orderHistory[customer])),ROWS($A$15:A40)+$B$3)),INDEX(orderHistory[payed],SMALL(IF(ISNUMBER(MATCH(YEAR(orderHistory[invoice_date]),$D$15,0)),MATCH(ROW(orderHistory[customer]),ROW(orderHistory[customer])),""),ROWS($A$15:A40)+$B$3))),IF($D$15="",INDEX(orderHistory[payed],SMALL(IF(ISNUMBER(MATCH(orderHistory[order_type],$D$13,0)),MATCH(ROW(orderHistory[customer]),ROW(orderHistory[customer])),""),ROWS($A$15:A40)+$B$3)),INDEX(orderHistory[payed],SMALL(IF(ISNUMBER(MATCH(orderHistory[order_type],$D$13,0)*MATCH(YEAR(orderHistory[invoice_date]),$D$15,0)),MATCH(ROW(orderHistory[customer]),ROW(orderHistory[customer])),""),ROWS($A$15:A40)+$B$3)))),IF($D$13="",IF($D$15="",INDEX(orderHistory[payed],SMALL(IF(ISNUMBER(MATCH(orderHistory[status],$D$11,0)),MATCH(ROW(orderHistory[customer]),ROW(orderHistory[customer])),""),ROWS($A$15:A40)+$B$3)),INDEX(orderHistory[payed],SMALL(IF(ISNUMBER(MATCH(orderHistory[status],$D$11,0)*MATCH(YEAR(orderHistory[invoice_date]),$D$15,0)),MATCH(ROW(orderHistory[customer]),ROW(orderHistory[customer])),""),ROWS($A$15:A40)+$B$3))),IF($D$15="",INDEX(orderHistory[payed],SMALL(IF(ISNUMBER(MATCH(orderHistory[status],$D$11,0)*MATCH(orderHistory[order_type],$D$13,0)),MATCH(ROW(orderHistory[customer]),ROW(orderHistory[customer])),""),ROWS($A$15:A40)+$B$3)),INDEX(orderHistory[payed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payed],SMALL(IF(ISNUMBER(MATCH(orderHistory[customer],$D$9,0)),MATCH(ROW(orderHistory[customer]),ROW(orderHistory[customer])),""),ROWS($A$15:A40)+$B$3)),INDEX(orderHistory[payed],SMALL(IF(ISNUMBER(MATCH(orderHistory[customer],$D$9,0)*MATCH(YEAR(orderHistory[invoice_date]),$D$15,0)),MATCH(ROW(orderHistory[customer]),ROW(orderHistory[customer])),""),ROWS($A$15:A40)+$B$3))),IF($D$15="",INDEX(orderHistory[payed],SMALL(IF(ISNUMBER(MATCH(orderHistory[customer],$D$9,0)*MATCH(orderHistory[order_type],$D$13,0)),MATCH(ROW(orderHistory[customer]),ROW(orderHistory[customer])),""),ROWS($A$15:A40)+$B$3)),INDEX(orderHistory[payed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payed],SMALL(IF(ISNUMBER(MATCH(orderHistory[customer],$D$9,0)*MATCH(orderHistory[status],$D$11,0)),MATCH(ROW(orderHistory[customer]),ROW(orderHistory[customer])),""),ROWS($A$15:A40)+$B$3)),INDEX(orderHistory[payed],SMALL(IF(ISNUMBER(MATCH(orderHistory[customer],$D$9,0)*MATCH(orderHistory[status],$D$11,0)*MATCH(YEAR(orderHistory[payed]),$D$15,0)),MATCH(ROW(orderHistory[customer]),ROW(orderHistory[customer])),""),ROWS($A$15:A40)+$B$3))),IF($D$15="",INDEX(orderHistory[payed],SMALL(IF(ISNUMBER(MATCH(orderHistory[customer],$D$9,0)*MATCH(orderHistory[status],$D$11,0)*MATCH(orderHistory[order_type],$D$13,0)),MATCH(ROW(orderHistory[customer]),ROW(orderHistory[customer])),""),ROWS($A$15:A40)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1</v>
      </c>
      <c r="U35" s="383" t="str">
        <f t="array" ref="U35">IFERROR(IF($D$9="",IF($D$11="",IF($D$13="",IF($D$15="",INDEX(orderHistory[shipping_method],SMALL(MATCH(ROW(orderHistory[customer]),ROW(orderHistory[customer])),ROWS($A$15:A40)+$B$3)),INDEX(orderHistory[shipping_method],SMALL(IF(ISNUMBER(MATCH(YEAR(orderHistory[invoice_date]),$D$15,0)),MATCH(ROW(orderHistory[customer]),ROW(orderHistory[customer])),""),ROWS($A$15:A40)+$B$3))),IF($D$15="",INDEX(orderHistory[shipping_method],SMALL(IF(ISNUMBER(MATCH(orderHistory[order_type],$D$13,0)),MATCH(ROW(orderHistory[customer]),ROW(orderHistory[customer])),""),ROWS($A$15:A40)+$B$3)),INDEX(orderHistory[shipping_method],SMALL(IF(ISNUMBER(MATCH(orderHistory[order_type],$D$13,0)*MATCH(YEAR(orderHistory[invoice_date]),$D$15,0)),MATCH(ROW(orderHistory[customer]),ROW(orderHistory[customer])),""),ROWS($A$15:A40)+$B$3)))),IF($D$13="",IF($D$15="",INDEX(orderHistory[shipping_method],SMALL(IF(ISNUMBER(MATCH(orderHistory[status],$D$11,0)),MATCH(ROW(orderHistory[customer]),ROW(orderHistory[customer])),""),ROWS($A$15:A40)+$B$3)),INDEX(orderHistory[shipping_method],SMALL(IF(ISNUMBER(MATCH(orderHistory[status],$D$11,0)*MATCH(YEAR(orderHistory[invoice_date]),$D$15,0)),MATCH(ROW(orderHistory[customer]),ROW(orderHistory[customer])),""),ROWS($A$15:A40)+$B$3))),IF($D$15="",INDEX(orderHistory[shipping_method],SMALL(IF(ISNUMBER(MATCH(orderHistory[status],$D$11,0)*MATCH(orderHistory[order_type],$D$13,0)),MATCH(ROW(orderHistory[customer]),ROW(orderHistory[customer])),""),ROWS($A$15:A40)+$B$3)),INDEX(orderHistory[shipping_method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shipping_method],SMALL(IF(ISNUMBER(MATCH(orderHistory[customer],$D$9,0)),MATCH(ROW(orderHistory[customer]),ROW(orderHistory[customer])),""),ROWS($A$15:A40)+$B$3)),INDEX(orderHistory[shipping_method],SMALL(IF(ISNUMBER(MATCH(orderHistory[customer],$D$9,0)*MATCH(YEAR(orderHistory[invoice_date]),$D$15,0)),MATCH(ROW(orderHistory[customer]),ROW(orderHistory[customer])),""),ROWS($A$15:A40)+$B$3))),IF($D$15="",INDEX(orderHistory[shipping_method],SMALL(IF(ISNUMBER(MATCH(orderHistory[customer],$D$9,0)*MATCH(orderHistory[order_type],$D$13,0)),MATCH(ROW(orderHistory[customer]),ROW(orderHistory[customer])),""),ROWS($A$15:A40)+$B$3)),INDEX(orderHistory[shipping_method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shipping_method],SMALL(IF(ISNUMBER(MATCH(orderHistory[customer],$D$9,0)*MATCH(orderHistory[status],$D$11,0)),MATCH(ROW(orderHistory[customer]),ROW(orderHistory[customer])),""),ROWS($A$15:A40)+$B$3)),INDEX(orderHistory[shipping_method],SMALL(IF(ISNUMBER(MATCH(orderHistory[customer],$D$9,0)*MATCH(orderHistory[status],$D$11,0)*MATCH(YEAR(orderHistory[shipping_method]),$D$15,0)),MATCH(ROW(orderHistory[customer]),ROW(orderHistory[customer])),""),ROWS($A$15:A40)+$B$3))),IF($D$15="",INDEX(orderHistory[shipping_method],SMALL(IF(ISNUMBER(MATCH(orderHistory[customer],$D$9,0)*MATCH(orderHistory[status],$D$11,0)*MATCH(orderHistory[order_type],$D$13,0)),MATCH(ROW(orderHistory[customer]),ROW(orderHistory[customer])),""),ROWS($A$15:A40)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BY AIR</v>
      </c>
      <c r="V35" s="388" t="str">
        <f t="array" ref="V35">IFERROR(IF($D$9="",IF($D$11="",IF($D$13="",IF($D$15="",INDEX(orderHistory[status],SMALL(MATCH(ROW(orderHistory[customer]),ROW(orderHistory[customer])),ROWS($A$15:A40)+$B$3)),INDEX(orderHistory[status],SMALL(IF(ISNUMBER(MATCH(YEAR(orderHistory[invoice_date]),$D$15,0)),MATCH(ROW(orderHistory[customer]),ROW(orderHistory[customer])),""),ROWS($A$15:A40)+$B$3))),IF($D$15="",INDEX(orderHistory[status],SMALL(IF(ISNUMBER(MATCH(orderHistory[order_type],$D$13,0)),MATCH(ROW(orderHistory[customer]),ROW(orderHistory[customer])),""),ROWS($A$15:A40)+$B$3)),INDEX(orderHistory[status],SMALL(IF(ISNUMBER(MATCH(orderHistory[order_type],$D$13,0)*MATCH(YEAR(orderHistory[invoice_date]),$D$15,0)),MATCH(ROW(orderHistory[customer]),ROW(orderHistory[customer])),""),ROWS($A$15:A40)+$B$3)))),IF($D$13="",IF($D$15="",INDEX(orderHistory[status],SMALL(IF(ISNUMBER(MATCH(orderHistory[status],$D$11,0)),MATCH(ROW(orderHistory[customer]),ROW(orderHistory[customer])),""),ROWS($A$15:A40)+$B$3)),INDEX(orderHistory[status],SMALL(IF(ISNUMBER(MATCH(orderHistory[status],$D$11,0)*MATCH(YEAR(orderHistory[invoice_date]),$D$15,0)),MATCH(ROW(orderHistory[customer]),ROW(orderHistory[customer])),""),ROWS($A$15:A40)+$B$3))),IF($D$15="",INDEX(orderHistory[status],SMALL(IF(ISNUMBER(MATCH(orderHistory[status],$D$11,0)*MATCH(orderHistory[order_type],$D$13,0)),MATCH(ROW(orderHistory[customer]),ROW(orderHistory[customer])),""),ROWS($A$15:A40)+$B$3)),INDEX(orderHistory[status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status],SMALL(IF(ISNUMBER(MATCH(orderHistory[customer],$D$9,0)),MATCH(ROW(orderHistory[customer]),ROW(orderHistory[customer])),""),ROWS($A$15:A40)+$B$3)),INDEX(orderHistory[status],SMALL(IF(ISNUMBER(MATCH(orderHistory[customer],$D$9,0)*MATCH(YEAR(orderHistory[invoice_date]),$D$15,0)),MATCH(ROW(orderHistory[customer]),ROW(orderHistory[customer])),""),ROWS($A$15:A40)+$B$3))),IF($D$15="",INDEX(orderHistory[status],SMALL(IF(ISNUMBER(MATCH(orderHistory[customer],$D$9,0)*MATCH(orderHistory[order_type],$D$13,0)),MATCH(ROW(orderHistory[customer]),ROW(orderHistory[customer])),""),ROWS($A$15:A40)+$B$3)),INDEX(orderHistory[status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status],SMALL(IF(ISNUMBER(MATCH(orderHistory[customer],$D$9,0)*MATCH(orderHistory[status],$D$11,0)),MATCH(ROW(orderHistory[customer]),ROW(orderHistory[customer])),""),ROWS($A$15:A40)+$B$3)),INDEX(orderHistory[status],SMALL(IF(ISNUMBER(MATCH(orderHistory[customer],$D$9,0)*MATCH(orderHistory[status],$D$11,0)*MATCH(YEAR(orderHistory[status]),$D$15,0)),MATCH(ROW(orderHistory[customer]),ROW(orderHistory[customer])),""),ROWS($A$15:A40)+$B$3))),IF($D$15="",INDEX(orderHistory[status],SMALL(IF(ISNUMBER(MATCH(orderHistory[customer],$D$9,0)*MATCH(orderHistory[status],$D$11,0)*MATCH(orderHistory[order_type],$D$13,0)),MATCH(ROW(orderHistory[customer]),ROW(orderHistory[customer])),""),ROWS($A$15:A40)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SHIPPED</v>
      </c>
      <c r="W35" s="547" t="str">
        <f t="array" ref="W35">IFERROR(IF($D$9="",IF($D$11="",IF($D$13="",IF($D$15="",INDEX(orderHistory[custom_docs],SMALL(MATCH(ROW(orderHistory[customer]),ROW(orderHistory[customer])),ROWS($A$15:A40)+$B$3)),INDEX(orderHistory[custom_docs],SMALL(IF(ISNUMBER(MATCH(YEAR(orderHistory[invoice_date]),$D$15,0)),MATCH(ROW(orderHistory[customer]),ROW(orderHistory[customer])),""),ROWS($A$15:A40)+$B$3))),IF($D$15="",INDEX(orderHistory[custom_docs],SMALL(IF(ISNUMBER(MATCH(orderHistory[order_type],$D$13,0)),MATCH(ROW(orderHistory[customer]),ROW(orderHistory[customer])),""),ROWS($A$15:A40)+$B$3)),INDEX(orderHistory[custom_docs],SMALL(IF(ISNUMBER(MATCH(orderHistory[order_type],$D$13,0)*MATCH(YEAR(orderHistory[invoice_date]),$D$15,0)),MATCH(ROW(orderHistory[customer]),ROW(orderHistory[customer])),""),ROWS($A$15:A40)+$B$3)))),IF($D$13="",IF($D$15="",INDEX(orderHistory[custom_docs],SMALL(IF(ISNUMBER(MATCH(orderHistory[status],$D$11,0)),MATCH(ROW(orderHistory[customer]),ROW(orderHistory[customer])),""),ROWS($A$15:A40)+$B$3)),INDEX(orderHistory[custom_docs],SMALL(IF(ISNUMBER(MATCH(orderHistory[status],$D$11,0)*MATCH(YEAR(orderHistory[invoice_date]),$D$15,0)),MATCH(ROW(orderHistory[customer]),ROW(orderHistory[customer])),""),ROWS($A$15:A40)+$B$3))),IF($D$15="",INDEX(orderHistory[custom_docs],SMALL(IF(ISNUMBER(MATCH(orderHistory[status],$D$11,0)*MATCH(orderHistory[order_type],$D$13,0)),MATCH(ROW(orderHistory[customer]),ROW(orderHistory[customer])),""),ROWS($A$15:A40)+$B$3)),INDEX(orderHistory[custom_docs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custom_docs],SMALL(IF(ISNUMBER(MATCH(orderHistory[customer],$D$9,0)),MATCH(ROW(orderHistory[customer]),ROW(orderHistory[customer])),""),ROWS($A$15:A40)+$B$3)),INDEX(orderHistory[custom_docs],SMALL(IF(ISNUMBER(MATCH(orderHistory[customer],$D$9,0)*MATCH(YEAR(orderHistory[invoice_date]),$D$15,0)),MATCH(ROW(orderHistory[customer]),ROW(orderHistory[customer])),""),ROWS($A$15:A40)+$B$3))),IF($D$15="",INDEX(orderHistory[custom_docs],SMALL(IF(ISNUMBER(MATCH(orderHistory[customer],$D$9,0)*MATCH(orderHistory[order_type],$D$13,0)),MATCH(ROW(orderHistory[customer]),ROW(orderHistory[customer])),""),ROWS($A$15:A40)+$B$3)),INDEX(orderHistory[custom_docs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custom_docs],SMALL(IF(ISNUMBER(MATCH(orderHistory[customer],$D$9,0)*MATCH(orderHistory[status],$D$11,0)),MATCH(ROW(orderHistory[customer]),ROW(orderHistory[customer])),""),ROWS($A$15:A40)+$B$3)),INDEX(orderHistory[custom_docs],SMALL(IF(ISNUMBER(MATCH(orderHistory[customer],$D$9,0)*MATCH(orderHistory[status],$D$11,0)*MATCH(YEAR(orderHistory[status]),$D$15,0)),MATCH(ROW(orderHistory[customer]),ROW(orderHistory[customer])),""),ROWS($A$15:A40)+$B$3))),IF($D$15="",INDEX(orderHistory[custom_docs],SMALL(IF(ISNUMBER(MATCH(orderHistory[customer],$D$9,0)*MATCH(orderHistory[status],$D$11,0)*MATCH(orderHistory[order_type],$D$13,0)),MATCH(ROW(orderHistory[customer]),ROW(orderHistory[customer])),""),ROWS($A$15:A40)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OK</v>
      </c>
      <c r="AQ35" s="308"/>
      <c r="AU35" s="271"/>
      <c r="AW35" s="306"/>
      <c r="BJ35" s="271"/>
      <c r="BK35" s="296"/>
      <c r="BL35" s="297"/>
      <c r="BM35" s="298"/>
      <c r="BN35" s="297"/>
      <c r="BO35" s="298"/>
      <c r="BZ35" s="487"/>
      <c r="CA35" s="401" t="str">
        <f>IFERROR(IF(BZ35="","",INDEX(bhpc_data[description],MATCH(BZ35,bhpc_data[sku],0))),"")</f>
        <v/>
      </c>
      <c r="CB35" s="403"/>
      <c r="CC35" s="888"/>
      <c r="CD35" s="403"/>
      <c r="CE35" s="890"/>
      <c r="CF35" s="404"/>
      <c r="CG35" s="405" t="str">
        <f>IFERROR(ROUNDUP(CB35/INDEX(bhpc_data[units_per_carton],MATCH(BZ35,bhpc_data[sku],0)),0),"")</f>
        <v/>
      </c>
      <c r="CH35" s="406" t="str">
        <f>IFERROR(ROUNDUP(CD35/INDEX(bhpc_data[units_per_carton],MATCH(BZ35,bhpc_data[sku],0)),0),"")</f>
        <v/>
      </c>
      <c r="CI35" s="406" t="str">
        <f>IFERROR(ROUNDUP(CF35/INDEX(bhpc_data[units_per_carton],MATCH(BZ35,bhpc_data[sku])),0),"")</f>
        <v/>
      </c>
      <c r="CJ35" s="406" t="str">
        <f>IFERROR(((CB35+CD35+CF35)/INDEX(bhpc_data[units_per_carton],MATCH(BZ35,bhpc_data[sku],0)))*INDEX(bhpc_data[net_weight],MATCH(BZ35,bhpc_data[sku],0)),"")</f>
        <v/>
      </c>
      <c r="CK35" s="406" t="str">
        <f>IFERROR(((CB35+CD35+CF35)/INDEX(bhpc_data[units_per_carton],MATCH(BZ35,bhpc_data[sku],0)))*INDEX(bhpc_data[gross_weight],MATCH(BZ35,bhpc_data[sku],0)),"")</f>
        <v/>
      </c>
      <c r="CL35" s="602" t="str">
        <f>IFERROR((CB35+CD35+CF35)/INDEX(bhpc_data[units_per_carton],MATCH(BZ35,bhpc_data[sku],0))*INDEX(bhpc_data[length],MATCH(BZ35,bhpc_data[sku],0))*INDEX(bhpc_data[width],MATCH(BZ35,bhpc_data[sku],0))*INDEX(bhpc_data[height],MATCH(BZ35,bhpc_data[sku],0))/1000000000,"")</f>
        <v/>
      </c>
      <c r="CM35" s="407" t="str">
        <f>IFERROR(INDEX(bhpc_data[category],MATCH(BZ35,bhpc_data[sku],0)),"")</f>
        <v/>
      </c>
      <c r="CN35" s="407" t="str">
        <f>IFERROR(INDEX(bhpc_data[size],MATCH(BZ35,bhpc_data[sku],0)),"")</f>
        <v/>
      </c>
      <c r="CO35" s="408" t="str">
        <f>IFERROR(INDEX(bhpc_data[hs_code],MATCH(BZ35,bhpc_data[sku],0)),"")</f>
        <v/>
      </c>
      <c r="CP35" s="489" t="str">
        <f>IFERROR(INDEX(bhpc_data[sku_geko],MATCH(BZ35,bhpc_data[sku],0)),"")</f>
        <v/>
      </c>
      <c r="CQ35" s="404"/>
      <c r="CR35" s="517" t="str">
        <f>IFERROR(IF(BZ35="","",IF($BX$15="SALE",INDEX(inventory[COSTO UNITARIO],MATCH(BZ35,inventory[SKU],0)),IF($BX$15="SAMPLING",INDEX(inventory[COSTO UNITARIO],MATCH(BZ35,inventory[SKU],0)),""))),"")</f>
        <v/>
      </c>
      <c r="CS35" s="517" t="str">
        <f t="shared" si="5"/>
        <v/>
      </c>
      <c r="CT35" s="896" t="str">
        <f t="shared" si="6"/>
        <v/>
      </c>
      <c r="CU35" s="469" t="str">
        <f t="shared" si="0"/>
        <v/>
      </c>
      <c r="CV35" s="351"/>
      <c r="CW35" s="351"/>
      <c r="CX35" s="369"/>
      <c r="CY35" s="370"/>
      <c r="CZ35" s="368"/>
      <c r="DH35" s="215"/>
      <c r="EE35" s="439" t="str" cm="1">
        <f t="array" ref="EE35">IFERROR(IF($EC$9="",IF($EC$11="",IF($EC$13="",INDEX(bhpc_data[sku],SMALL(MATCH(ROW(bhpc_data[sku]),ROW(bhpc_data[sku])),ROWS($A$15:A40)+$B$3)),INDEX(bhpc_data[sku],SMALL(IF(ISNUMBER(MATCH(bhpc_data[size],$EC$13,0)),MATCH(ROW(bhpc_data[sku]),ROW(bhpc_data[sku])),""),ROWS($A$15:A40)+$B$3))),IF($EC$13="",INDEX(bhpc_data[sku],SMALL(IF(ISNUMBER(MATCH(bhpc_data[sex],$EC$11,0)),MATCH(ROW(bhpc_data[sku]),ROW(bhpc_data[sku])),""),ROWS($A$15:A40)+$B$3)),INDEX(bhpc_data[sku],SMALL(IF(ISNUMBER(MATCH(bhpc_data[sex],$EC$11,0)*MATCH(bhpc_data[size],$EC$13,0)),MATCH(ROW(bhpc_data[sku]),ROW(bhpc_data[sku])),""),ROWS($A$15:A40)+$B$3)))),IF($EC$11="",IF($EC$13="",INDEX(bhpc_data[sku],SMALL(IF(ISNUMBER(MATCH(bhpc_data[category],$EC$9,0)),MATCH(ROW(bhpc_data[sku]),ROW(bhpc_data[sku])),""),ROWS($A$15:A40)+$B$3)),INDEX(bhpc_data[sku],SMALL(IF(ISNUMBER(MATCH(bhpc_data[category],$EC$9,0)*MATCH(bhpc_data[size],$EC$13,0)),MATCH(ROW(bhpc_data[sku]),ROW(bhpc_data[sku])),""),ROWS($A$15:A40)+$B$3))),IF($EC$13="",INDEX(bhpc_data[sku],SMALL(IF(ISNUMBER(MATCH(bhpc_data[category],$EC$9,0)*MATCH(bhpc_data[sex],$EC$11,0)),MATCH(ROW(bhpc_data[sku]),ROW(bhpc_data[sku])),""),ROWS($A$15:A40)+$B$3)),INDEX(bhpc_data[sku],SMALL(IF(ISNUMBER(MATCH(bhpc_data[category],$EC$9,0)*MATCH(bhpc_data[sex],$EC$11,0)*MATCH(bhpc_data[size],$EC$13,0)),MATCH(ROW(bhpc_data[sku]),ROW(bhpc_data[sku])),""),ROWS($A$15:A40)+$B$3))))),"")</f>
        <v>P06000</v>
      </c>
      <c r="EF35" s="440" t="str" cm="1">
        <f t="array" ref="EF35">IFERROR(IF($EC$9="",IF($EC$11="",IF($EC$13="",INDEX(bhpc_data[description],SMALL(MATCH(ROW(bhpc_data[sku]),ROW(bhpc_data[sku])),ROWS($A$15:A40)+$B$3)),INDEX(bhpc_data[description],SMALL(IF(ISNUMBER(MATCH(bhpc_data[size],$EC$13,0)),MATCH(ROW(bhpc_data[sku]),ROW(bhpc_data[sku])),""),ROWS($A$15:A40)+$B$3))),IF($EC$13="",INDEX(bhpc_data[description],SMALL(IF(ISNUMBER(MATCH(bhpc_data[sex],$EC$11,0)),MATCH(ROW(bhpc_data[sku]),ROW(bhpc_data[sku])),""),ROWS($A$15:A40)+$B$3)),INDEX(bhpc_data[description],SMALL(IF(ISNUMBER(MATCH(bhpc_data[sex],$EC$11,0)*MATCH(bhpc_data[size],$EC$13,0)),MATCH(ROW(bhpc_data[sku]),ROW(bhpc_data[sku])),""),ROWS($A$15:A40)+$B$3)))),IF($EC$11="",IF($EC$13="",INDEX(bhpc_data[description],SMALL(IF(ISNUMBER(MATCH(bhpc_data[category],$EC$9,0)),MATCH(ROW(bhpc_data[sku]),ROW(bhpc_data[sku])),""),ROWS($A$15:A40)+$B$3)),INDEX(bhpc_data[description],SMALL(IF(ISNUMBER(MATCH(bhpc_data[category],$EC$9,0)*MATCH(bhpc_data[size],$EC$13,0)),MATCH(ROW(bhpc_data[sku]),ROW(bhpc_data[sku])),""),ROWS($A$15:A40)+$B$3))),IF($EC$13="",INDEX(bhpc_data[description],SMALL(IF(ISNUMBER(MATCH(bhpc_data[category],$EC$9,0)*MATCH(bhpc_data[sex],$EC$11,0)),MATCH(ROW(bhpc_data[sku]),ROW(bhpc_data[sku])),""),ROWS($A$15:A40)+$B$3)),INDEX(bhpc_data[description],SMALL(IF(ISNUMBER(MATCH(bhpc_data[category],$EC$9,0)*MATCH(bhpc_data[sex],$EC$11,0)*MATCH(bhpc_data[size],$EC$13,0)),MATCH(ROW(bhpc_data[sku]),ROW(bhpc_data[sku])),""),ROWS($A$15:A40)+$B$3))))),"")</f>
        <v>BHPC PRESTIGE TROPHY 100ML EDP MEN</v>
      </c>
      <c r="EG35" s="441">
        <f>IFERROR(IF('BHPC MANAGER'!$EE35="","",INDEX(inventory[ESISTENZA],MATCH('BHPC MANAGER'!$EE35,inventory[SKU],0))),0)</f>
        <v>5672</v>
      </c>
      <c r="EH35" s="442">
        <v>-5208</v>
      </c>
      <c r="EI35" s="442">
        <f t="shared" si="1"/>
        <v>464</v>
      </c>
      <c r="EJ35" s="443">
        <v>0</v>
      </c>
      <c r="EK35" s="444">
        <f t="shared" si="2"/>
        <v>464</v>
      </c>
      <c r="FF35" s="263"/>
      <c r="FG35" s="263"/>
      <c r="FH35" s="263"/>
      <c r="FI35" s="263"/>
      <c r="FJ35" s="263"/>
      <c r="FK35" s="263"/>
      <c r="FL35" s="263"/>
      <c r="FM35" s="263"/>
      <c r="FN35" s="263"/>
      <c r="FO35" s="263"/>
      <c r="FP35" s="263"/>
      <c r="FQ35" s="263"/>
      <c r="FR35" s="263"/>
      <c r="FS35" s="263"/>
      <c r="FT35" s="263"/>
      <c r="FU35" s="263"/>
      <c r="FV35" s="263"/>
      <c r="FW35" s="263"/>
      <c r="FX35" s="263"/>
      <c r="FY35" s="263"/>
      <c r="FZ35" s="263"/>
      <c r="GA35" s="263"/>
      <c r="GB35" s="263"/>
      <c r="GC35" s="263"/>
      <c r="GD35" s="263"/>
      <c r="GE35" s="263"/>
      <c r="GF35" s="263"/>
      <c r="GG35" s="263"/>
      <c r="GH35" s="263"/>
      <c r="GI35" s="263"/>
      <c r="GJ35" s="263"/>
      <c r="GK35" s="263"/>
      <c r="GL35" s="263"/>
      <c r="GM35" s="263"/>
      <c r="GN35" s="263"/>
      <c r="GO35" s="263"/>
      <c r="GP35" s="263"/>
      <c r="GQ35" s="263"/>
      <c r="GR35" s="263"/>
      <c r="GS35" s="263"/>
      <c r="GT35" s="263"/>
      <c r="GU35" s="263"/>
      <c r="GV35" s="263"/>
      <c r="GW35" s="263"/>
      <c r="GX35" s="263"/>
      <c r="GY35" s="263"/>
      <c r="GZ35" s="263"/>
      <c r="HA35" s="263"/>
      <c r="HB35" s="263"/>
      <c r="HC35" s="263"/>
      <c r="HD35" s="263"/>
      <c r="HE35" s="263"/>
      <c r="HF35" s="263"/>
      <c r="HG35" s="263"/>
      <c r="HH35" s="263"/>
      <c r="HI35" s="263"/>
      <c r="HJ35" s="263"/>
      <c r="HK35" s="263"/>
      <c r="HL35" s="263"/>
      <c r="HM35" s="263"/>
      <c r="HN35" s="263"/>
      <c r="HO35" s="263"/>
      <c r="HP35" s="263"/>
      <c r="HQ35" s="263"/>
      <c r="HR35" s="263"/>
      <c r="HS35" s="263"/>
      <c r="HT35" s="263"/>
    </row>
    <row r="36" spans="6:228" ht="15" customHeight="1" thickBot="1" x14ac:dyDescent="0.4">
      <c r="F36" s="91"/>
      <c r="G36" s="803"/>
      <c r="H36" s="804"/>
      <c r="I36" s="805"/>
      <c r="J36" s="77"/>
      <c r="L36" s="381" t="str">
        <f t="array" ref="L36">IFERROR(IF($D$9="",IF($D$11="",IF($D$13="",IF($D$15="",INDEX(orderHistory[customer],SMALL(MATCH(ROW(orderHistory[customer]),ROW(orderHistory[customer])),ROWS($A$15:A41)+$B$3)),INDEX(orderHistory[customer],SMALL(IF(ISNUMBER(MATCH(YEAR(orderHistory[invoice_date]),$D$15,0)),MATCH(ROW(orderHistory[customer]),ROW(orderHistory[customer])),""),ROWS($A$15:A41)+$B$3))),IF($D$15="",INDEX(orderHistory[customer],SMALL(IF(ISNUMBER(MATCH(orderHistory[order_type],$D$13,0)),MATCH(ROW(orderHistory[customer]),ROW(orderHistory[customer])),""),ROWS($A$15:A41)+$B$3)),INDEX(orderHistory[customer],SMALL(IF(ISNUMBER(MATCH(orderHistory[order_type],$D$13,0)*MATCH(YEAR(orderHistory[invoice_date]),$D$15,0)),MATCH(ROW(orderHistory[customer]),ROW(orderHistory[customer])),""),ROWS($A$15:A41)+$B$3)))),IF($D$13="",IF($D$15="",INDEX(orderHistory[customer],SMALL(IF(ISNUMBER(MATCH(orderHistory[status],$D$11,0)),MATCH(ROW(orderHistory[customer]),ROW(orderHistory[customer])),""),ROWS($A$15:A41)+$B$3)),INDEX(orderHistory[customer],SMALL(IF(ISNUMBER(MATCH(orderHistory[status],$D$11,0)*MATCH(YEAR(orderHistory[invoice_date]),$D$15,0)),MATCH(ROW(orderHistory[customer]),ROW(orderHistory[customer])),""),ROWS($A$15:A41)+$B$3))),IF($D$15="",INDEX(orderHistory[customer],SMALL(IF(ISNUMBER(MATCH(orderHistory[status],$D$11,0)*MATCH(orderHistory[order_type],$D$13,0)),MATCH(ROW(orderHistory[customer]),ROW(orderHistory[customer])),""),ROWS($A$15:A41)+$B$3)),INDEX(orderHistory[customer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customer],SMALL(IF(ISNUMBER(MATCH(orderHistory[customer],$D$9,0)),MATCH(ROW(orderHistory[customer]),ROW(orderHistory[customer])),""),ROWS($A$15:A41)+$B$3)),INDEX(orderHistory[customer],SMALL(IF(ISNUMBER(MATCH(orderHistory[customer],$D$9,0)*MATCH(YEAR(orderHistory[invoice_date]),$D$15,0)),MATCH(ROW(orderHistory[customer]),ROW(orderHistory[customer])),""),ROWS($A$15:A41)+$B$3))),IF($D$15="",INDEX(orderHistory[customer],SMALL(IF(ISNUMBER(MATCH(orderHistory[customer],$D$9,0)*MATCH(orderHistory[order_type],$D$13,0)),MATCH(ROW(orderHistory[customer]),ROW(orderHistory[customer])),""),ROWS($A$15:A41)+$B$3)),INDEX(orderHistory[customer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customer],SMALL(IF(ISNUMBER(MATCH(orderHistory[customer],$D$9,0)*MATCH(orderHistory[status],$D$11,0)),MATCH(ROW(orderHistory[customer]),ROW(orderHistory[customer])),""),ROWS($A$15:A41)+$B$3)),INDEX(orderHistory[customer],SMALL(IF(ISNUMBER(MATCH(orderHistory[customer],$D$9,0)*MATCH(orderHistory[status],$D$11,0)*MATCH(YEAR(orderHistory[invoice_date]),$D$15,0)),MATCH(ROW(orderHistory[customer]),ROW(orderHistory[customer])),""),ROWS($A$15:A41)+$B$3))),IF($D$15="",INDEX(orderHistory[customer],SMALL(IF(ISNUMBER(MATCH(orderHistory[customer],$D$9,0)*MATCH(orderHistory[status],$D$11,0)*MATCH(orderHistory[order_type],$D$13,0)),MATCH(ROW(orderHistory[customer]),ROW(orderHistory[customer])),""),ROWS($A$15:A41)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LUXUM BEAUTY - HAMBURG</v>
      </c>
      <c r="M36" s="382">
        <f t="array" ref="M36">IFERROR(IF($D$9="",IF($D$11="",IF($D$13="",IF($D$15="",INDEX(orderHistory[order_no],SMALL(MATCH(ROW(orderHistory[customer]),ROW(orderHistory[customer])),ROWS($A$15:A41)+$B$3)),INDEX(orderHistory[order_no],SMALL(IF(ISNUMBER(MATCH(YEAR(orderHistory[invoice_date]),$D$15,0)),MATCH(ROW(orderHistory[customer]),ROW(orderHistory[customer])),""),ROWS($A$15:A41)+$B$3))),IF($D$15="",INDEX(orderHistory[order_no],SMALL(IF(ISNUMBER(MATCH(orderHistory[order_type],$D$13,0)),MATCH(ROW(orderHistory[customer]),ROW(orderHistory[customer])),""),ROWS($A$15:A41)+$B$3)),INDEX(orderHistory[order_no],SMALL(IF(ISNUMBER(MATCH(orderHistory[order_type],$D$13,0)*MATCH(YEAR(orderHistory[invoice_date]),$D$15,0)),MATCH(ROW(orderHistory[customer]),ROW(orderHistory[customer])),""),ROWS($A$15:A41)+$B$3)))),IF($D$13="",IF($D$15="",INDEX(orderHistory[order_no],SMALL(IF(ISNUMBER(MATCH(orderHistory[status],$D$11,0)),MATCH(ROW(orderHistory[customer]),ROW(orderHistory[customer])),""),ROWS($A$15:A41)+$B$3)),INDEX(orderHistory[order_no],SMALL(IF(ISNUMBER(MATCH(orderHistory[status],$D$11,0)*MATCH(YEAR(orderHistory[invoice_date]),$D$15,0)),MATCH(ROW(orderHistory[customer]),ROW(orderHistory[customer])),""),ROWS($A$15:A41)+$B$3))),IF($D$15="",INDEX(orderHistory[order_no],SMALL(IF(ISNUMBER(MATCH(orderHistory[status],$D$11,0)*MATCH(orderHistory[order_type],$D$13,0)),MATCH(ROW(orderHistory[customer]),ROW(orderHistory[customer])),""),ROWS($A$15:A41)+$B$3)),INDEX(orderHistory[order_no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order_no],SMALL(IF(ISNUMBER(MATCH(orderHistory[customer],$D$9,0)),MATCH(ROW(orderHistory[customer]),ROW(orderHistory[customer])),""),ROWS($A$15:A41)+$B$3)),INDEX(orderHistory[order_no],SMALL(IF(ISNUMBER(MATCH(orderHistory[customer],$D$9,0)*MATCH(YEAR(orderHistory[invoice_date]),$D$15,0)),MATCH(ROW(orderHistory[customer]),ROW(orderHistory[customer])),""),ROWS($A$15:A41)+$B$3))),IF($D$15="",INDEX(orderHistory[order_no],SMALL(IF(ISNUMBER(MATCH(orderHistory[customer],$D$9,0)*MATCH(orderHistory[order_type],$D$13,0)),MATCH(ROW(orderHistory[customer]),ROW(orderHistory[customer])),""),ROWS($A$15:A41)+$B$3)),INDEX(orderHistory[order_no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order_no],SMALL(IF(ISNUMBER(MATCH(orderHistory[customer],$D$9,0)*MATCH(orderHistory[status],$D$11,0)),MATCH(ROW(orderHistory[customer]),ROW(orderHistory[customer])),""),ROWS($A$15:A41)+$B$3)),INDEX(orderHistory[order_no],SMALL(IF(ISNUMBER(MATCH(orderHistory[customer],$D$9,0)*MATCH(orderHistory[status],$D$11,0)*MATCH(YEAR(orderHistory[invoice_date]),$D$15,0)),MATCH(ROW(orderHistory[customer]),ROW(orderHistory[customer])),""),ROWS($A$15:A41)+$B$3))),IF($D$15="",INDEX(orderHistory[order_no],SMALL(IF(ISNUMBER(MATCH(orderHistory[customer],$D$9,0)*MATCH(orderHistory[status],$D$11,0)*MATCH(orderHistory[order_type],$D$13,0)),MATCH(ROW(orderHistory[customer]),ROW(orderHistory[customer])),""),ROWS($A$15:A41)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34</v>
      </c>
      <c r="N36" s="383" t="str">
        <f t="array" ref="N36">IFERROR(IF($D$9="",IF($D$11="",IF($D$13="",IF($D$15="",INDEX(orderHistory[order_type],SMALL(MATCH(ROW(orderHistory[customer]),ROW(orderHistory[customer])),ROWS($A$15:A41)+$B$3)),INDEX(orderHistory[order_type],SMALL(IF(ISNUMBER(MATCH(YEAR(orderHistory[invoice_date]),$D$15,0)),MATCH(ROW(orderHistory[customer]),ROW(orderHistory[customer])),""),ROWS($A$15:A41)+$B$3))),IF($D$15="",INDEX(orderHistory[order_type],SMALL(IF(ISNUMBER(MATCH(orderHistory[order_type],$D$13,0)),MATCH(ROW(orderHistory[customer]),ROW(orderHistory[customer])),""),ROWS($A$15:A41)+$B$3)),INDEX(orderHistory[order_type],SMALL(IF(ISNUMBER(MATCH(orderHistory[order_type],$D$13,0)*MATCH(YEAR(orderHistory[invoice_date]),$D$15,0)),MATCH(ROW(orderHistory[customer]),ROW(orderHistory[customer])),""),ROWS($A$15:A41)+$B$3)))),IF($D$13="",IF($D$15="",INDEX(orderHistory[order_type],SMALL(IF(ISNUMBER(MATCH(orderHistory[status],$D$11,0)),MATCH(ROW(orderHistory[customer]),ROW(orderHistory[customer])),""),ROWS($A$15:A41)+$B$3)),INDEX(orderHistory[order_type],SMALL(IF(ISNUMBER(MATCH(orderHistory[status],$D$11,0)*MATCH(YEAR(orderHistory[invoice_date]),$D$15,0)),MATCH(ROW(orderHistory[customer]),ROW(orderHistory[customer])),""),ROWS($A$15:A41)+$B$3))),IF($D$15="",INDEX(orderHistory[order_type],SMALL(IF(ISNUMBER(MATCH(orderHistory[status],$D$11,0)*MATCH(orderHistory[order_type],$D$13,0)),MATCH(ROW(orderHistory[customer]),ROW(orderHistory[customer])),""),ROWS($A$15:A41)+$B$3)),INDEX(orderHistory[order_type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order_type],SMALL(IF(ISNUMBER(MATCH(orderHistory[customer],$D$9,0)),MATCH(ROW(orderHistory[customer]),ROW(orderHistory[customer])),""),ROWS($A$15:A41)+$B$3)),INDEX(orderHistory[order_type],SMALL(IF(ISNUMBER(MATCH(orderHistory[customer],$D$9,0)*MATCH(YEAR(orderHistory[invoice_date]),$D$15,0)),MATCH(ROW(orderHistory[customer]),ROW(orderHistory[customer])),""),ROWS($A$15:A41)+$B$3))),IF($D$15="",INDEX(orderHistory[order_type],SMALL(IF(ISNUMBER(MATCH(orderHistory[customer],$D$9,0)*MATCH(orderHistory[order_type],$D$13,0)),MATCH(ROW(orderHistory[customer]),ROW(orderHistory[customer])),""),ROWS($A$15:A41)+$B$3)),INDEX(orderHistory[order_type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order_type],SMALL(IF(ISNUMBER(MATCH(orderHistory[customer],$D$9,0)*MATCH(orderHistory[status],$D$11,0)),MATCH(ROW(orderHistory[customer]),ROW(orderHistory[customer])),""),ROWS($A$15:A41)+$B$3)),INDEX(orderHistory[order_type],SMALL(IF(ISNUMBER(MATCH(orderHistory[customer],$D$9,0)*MATCH(orderHistory[status],$D$11,0)*MATCH(YEAR(orderHistory[invoice_date]),$D$15,0)),MATCH(ROW(orderHistory[customer]),ROW(orderHistory[customer])),""),ROWS($A$15:A41)+$B$3))),IF($D$15="",INDEX(orderHistory[order_type],SMALL(IF(ISNUMBER(MATCH(orderHistory[customer],$D$9,0)*MATCH(orderHistory[status],$D$11,0)*MATCH(orderHistory[order_type],$D$13,0)),MATCH(ROW(orderHistory[customer]),ROW(orderHistory[customer])),""),ROWS($A$15:A41)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SALE</v>
      </c>
      <c r="O36" s="384">
        <f t="array" ref="O36">IFERROR(IF($D$9="",IF($D$11="",IF($D$13="",IF($D$15="",INDEX(orderHistory[order_date],SMALL(MATCH(ROW(orderHistory[customer]),ROW(orderHistory[customer])),ROWS($A$15:A41)+$B$3)),INDEX(orderHistory[order_date],SMALL(IF(ISNUMBER(MATCH(YEAR(orderHistory[invoice_date]),$D$15,0)),MATCH(ROW(orderHistory[customer]),ROW(orderHistory[customer])),""),ROWS($A$15:A41)+$B$3))),IF($D$15="",INDEX(orderHistory[order_date],SMALL(IF(ISNUMBER(MATCH(orderHistory[order_type],$D$13,0)),MATCH(ROW(orderHistory[customer]),ROW(orderHistory[customer])),""),ROWS($A$15:A41)+$B$3)),INDEX(orderHistory[order_date],SMALL(IF(ISNUMBER(MATCH(orderHistory[order_type],$D$13,0)*MATCH(YEAR(orderHistory[invoice_date]),$D$15,0)),MATCH(ROW(orderHistory[customer]),ROW(orderHistory[customer])),""),ROWS($A$15:A41)+$B$3)))),IF($D$13="",IF($D$15="",INDEX(orderHistory[order_date],SMALL(IF(ISNUMBER(MATCH(orderHistory[status],$D$11,0)),MATCH(ROW(orderHistory[customer]),ROW(orderHistory[customer])),""),ROWS($A$15:A41)+$B$3)),INDEX(orderHistory[order_date],SMALL(IF(ISNUMBER(MATCH(orderHistory[status],$D$11,0)*MATCH(YEAR(orderHistory[invoice_date]),$D$15,0)),MATCH(ROW(orderHistory[customer]),ROW(orderHistory[customer])),""),ROWS($A$15:A41)+$B$3))),IF($D$15="",INDEX(orderHistory[order_date],SMALL(IF(ISNUMBER(MATCH(orderHistory[status],$D$11,0)*MATCH(orderHistory[order_type],$D$13,0)),MATCH(ROW(orderHistory[customer]),ROW(orderHistory[customer])),""),ROWS($A$15:A41)+$B$3)),INDEX(orderHistory[order_date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order_date],SMALL(IF(ISNUMBER(MATCH(orderHistory[customer],$D$9,0)),MATCH(ROW(orderHistory[customer]),ROW(orderHistory[customer])),""),ROWS($A$15:A41)+$B$3)),INDEX(orderHistory[order_date],SMALL(IF(ISNUMBER(MATCH(orderHistory[customer],$D$9,0)*MATCH(YEAR(orderHistory[invoice_date]),$D$15,0)),MATCH(ROW(orderHistory[customer]),ROW(orderHistory[customer])),""),ROWS($A$15:A41)+$B$3))),IF($D$15="",INDEX(orderHistory[order_date],SMALL(IF(ISNUMBER(MATCH(orderHistory[customer],$D$9,0)*MATCH(orderHistory[order_type],$D$13,0)),MATCH(ROW(orderHistory[customer]),ROW(orderHistory[customer])),""),ROWS($A$15:A41)+$B$3)),INDEX(orderHistory[order_date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order_date],SMALL(IF(ISNUMBER(MATCH(orderHistory[customer],$D$9,0)*MATCH(orderHistory[status],$D$11,0)),MATCH(ROW(orderHistory[customer]),ROW(orderHistory[customer])),""),ROWS($A$15:A41)+$B$3)),INDEX(orderHistory[order_date],SMALL(IF(ISNUMBER(MATCH(orderHistory[customer],$D$9,0)*MATCH(orderHistory[status],$D$11,0)*MATCH(YEAR(orderHistory[invoice_date]),$D$15,0)),MATCH(ROW(orderHistory[customer]),ROW(orderHistory[customer])),""),ROWS($A$15:A41)+$B$3))),IF($D$15="",INDEX(orderHistory[order_date],SMALL(IF(ISNUMBER(MATCH(orderHistory[customer],$D$9,0)*MATCH(orderHistory[status],$D$11,0)*MATCH(orderHistory[order_type],$D$13,0)),MATCH(ROW(orderHistory[customer]),ROW(orderHistory[customer])),""),ROWS($A$15:A41)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45397</v>
      </c>
      <c r="P36" s="385" t="str">
        <f t="array" ref="P36">IFERROR(IF($D$9="",IF($D$11="",IF($D$13="",IF($D$15="",INDEX(orderHistory[invoice_no],SMALL(MATCH(ROW(orderHistory[customer]),ROW(orderHistory[customer])),ROWS($A$15:A41)+$B$3)),INDEX(orderHistory[invoice_no],SMALL(IF(ISNUMBER(MATCH(YEAR(orderHistory[invoice_date]),$D$15,0)),MATCH(ROW(orderHistory[customer]),ROW(orderHistory[customer])),""),ROWS($A$15:A41)+$B$3))),IF($D$15="",INDEX(orderHistory[invoice_no],SMALL(IF(ISNUMBER(MATCH(orderHistory[order_type],$D$13,0)),MATCH(ROW(orderHistory[customer]),ROW(orderHistory[customer])),""),ROWS($A$15:A41)+$B$3)),INDEX(orderHistory[invoice_no],SMALL(IF(ISNUMBER(MATCH(orderHistory[order_type],$D$13,0)*MATCH(YEAR(orderHistory[invoice_date]),$D$15,0)),MATCH(ROW(orderHistory[customer]),ROW(orderHistory[customer])),""),ROWS($A$15:A41)+$B$3)))),IF($D$13="",IF($D$15="",INDEX(orderHistory[invoice_no],SMALL(IF(ISNUMBER(MATCH(orderHistory[status],$D$11,0)),MATCH(ROW(orderHistory[customer]),ROW(orderHistory[customer])),""),ROWS($A$15:A41)+$B$3)),INDEX(orderHistory[invoice_no],SMALL(IF(ISNUMBER(MATCH(orderHistory[status],$D$11,0)*MATCH(YEAR(orderHistory[invoice_date]),$D$15,0)),MATCH(ROW(orderHistory[customer]),ROW(orderHistory[customer])),""),ROWS($A$15:A41)+$B$3))),IF($D$15="",INDEX(orderHistory[invoice_no],SMALL(IF(ISNUMBER(MATCH(orderHistory[status],$D$11,0)*MATCH(orderHistory[order_type],$D$13,0)),MATCH(ROW(orderHistory[customer]),ROW(orderHistory[customer])),""),ROWS($A$15:A41)+$B$3)),INDEX(orderHistory[invoice_no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invoice_no],SMALL(IF(ISNUMBER(MATCH(orderHistory[customer],$D$9,0)),MATCH(ROW(orderHistory[customer]),ROW(orderHistory[customer])),""),ROWS($A$15:A41)+$B$3)),INDEX(orderHistory[invoice_no],SMALL(IF(ISNUMBER(MATCH(orderHistory[customer],$D$9,0)*MATCH(YEAR(orderHistory[invoice_date]),$D$15,0)),MATCH(ROW(orderHistory[customer]),ROW(orderHistory[customer])),""),ROWS($A$15:A41)+$B$3))),IF($D$15="",INDEX(orderHistory[invoice_no],SMALL(IF(ISNUMBER(MATCH(orderHistory[customer],$D$9,0)*MATCH(orderHistory[order_type],$D$13,0)),MATCH(ROW(orderHistory[customer]),ROW(orderHistory[customer])),""),ROWS($A$15:A41)+$B$3)),INDEX(orderHistory[invoice_no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invoice_no],SMALL(IF(ISNUMBER(MATCH(orderHistory[customer],$D$9,0)*MATCH(orderHistory[status],$D$11,0)),MATCH(ROW(orderHistory[customer]),ROW(orderHistory[customer])),""),ROWS($A$15:A41)+$B$3)),INDEX(orderHistory[invoice_no],SMALL(IF(ISNUMBER(MATCH(orderHistory[customer],$D$9,0)*MATCH(orderHistory[status],$D$11,0)*MATCH(YEAR(orderHistory[invoice_date]),$D$15,0)),MATCH(ROW(orderHistory[customer]),ROW(orderHistory[customer])),""),ROWS($A$15:A41)+$B$3))),IF($D$15="",INDEX(orderHistory[invoice_no],SMALL(IF(ISNUMBER(MATCH(orderHistory[customer],$D$9,0)*MATCH(orderHistory[status],$D$11,0)*MATCH(orderHistory[order_type],$D$13,0)),MATCH(ROW(orderHistory[customer]),ROW(orderHistory[customer])),""),ROWS($A$15:A41)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174</v>
      </c>
      <c r="Q36" s="386">
        <f t="array" ref="Q36">IFERROR(IF($D$9="",IF($D$11="",IF($D$13="",IF($D$15="",INDEX(orderHistory[invoice_date],SMALL(MATCH(ROW(orderHistory[customer]),ROW(orderHistory[customer])),ROWS($A$15:A41)+$B$3)),INDEX(orderHistory[invoice_date],SMALL(IF(ISNUMBER(MATCH(YEAR(orderHistory[invoice_date]),$D$15,0)),MATCH(ROW(orderHistory[customer]),ROW(orderHistory[customer])),""),ROWS($A$15:A41)+$B$3))),IF($D$15="",INDEX(orderHistory[invoice_date],SMALL(IF(ISNUMBER(MATCH(orderHistory[order_type],$D$13,0)),MATCH(ROW(orderHistory[customer]),ROW(orderHistory[customer])),""),ROWS($A$15:A41)+$B$3)),INDEX(orderHistory[invoice_date],SMALL(IF(ISNUMBER(MATCH(orderHistory[order_type],$D$13,0)*MATCH(YEAR(orderHistory[invoice_date]),$D$15,0)),MATCH(ROW(orderHistory[customer]),ROW(orderHistory[customer])),""),ROWS($A$15:A41)+$B$3)))),IF($D$13="",IF($D$15="",INDEX(orderHistory[invoice_date],SMALL(IF(ISNUMBER(MATCH(orderHistory[status],$D$11,0)),MATCH(ROW(orderHistory[customer]),ROW(orderHistory[customer])),""),ROWS($A$15:A41)+$B$3)),INDEX(orderHistory[invoice_date],SMALL(IF(ISNUMBER(MATCH(orderHistory[status],$D$11,0)*MATCH(YEAR(orderHistory[invoice_date]),$D$15,0)),MATCH(ROW(orderHistory[customer]),ROW(orderHistory[customer])),""),ROWS($A$15:A41)+$B$3))),IF($D$15="",INDEX(orderHistory[invoice_date],SMALL(IF(ISNUMBER(MATCH(orderHistory[status],$D$11,0)*MATCH(orderHistory[order_type],$D$13,0)),MATCH(ROW(orderHistory[customer]),ROW(orderHistory[customer])),""),ROWS($A$15:A41)+$B$3)),INDEX(orderHistory[invoice_date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invoice_date],SMALL(IF(ISNUMBER(MATCH(orderHistory[customer],$D$9,0)),MATCH(ROW(orderHistory[customer]),ROW(orderHistory[customer])),""),ROWS($A$15:A41)+$B$3)),INDEX(orderHistory[invoice_date],SMALL(IF(ISNUMBER(MATCH(orderHistory[customer],$D$9,0)*MATCH(YEAR(orderHistory[invoice_date]),$D$15,0)),MATCH(ROW(orderHistory[customer]),ROW(orderHistory[customer])),""),ROWS($A$15:A41)+$B$3))),IF($D$15="",INDEX(orderHistory[invoice_date],SMALL(IF(ISNUMBER(MATCH(orderHistory[customer],$D$9,0)*MATCH(orderHistory[order_type],$D$13,0)),MATCH(ROW(orderHistory[customer]),ROW(orderHistory[customer])),""),ROWS($A$15:A41)+$B$3)),INDEX(orderHistory[invoice_date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invoice_date],SMALL(IF(ISNUMBER(MATCH(orderHistory[customer],$D$9,0)*MATCH(orderHistory[status],$D$11,0)),MATCH(ROW(orderHistory[customer]),ROW(orderHistory[customer])),""),ROWS($A$15:A41)+$B$3)),INDEX(orderHistory[invoice_date],SMALL(IF(ISNUMBER(MATCH(orderHistory[customer],$D$9,0)*MATCH(orderHistory[status],$D$11,0)*MATCH(YEAR(orderHistory[invoice_date]),$D$15,0)),MATCH(ROW(orderHistory[customer]),ROW(orderHistory[customer])),""),ROWS($A$15:A41)+$B$3))),IF($D$15="",INDEX(orderHistory[invoice_date],SMALL(IF(ISNUMBER(MATCH(orderHistory[customer],$D$9,0)*MATCH(orderHistory[status],$D$11,0)*MATCH(orderHistory[order_type],$D$13,0)),MATCH(ROW(orderHistory[customer]),ROW(orderHistory[customer])),""),ROWS($A$15:A41)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45435</v>
      </c>
      <c r="R36" s="387">
        <f t="array" ref="R36">IFERROR(IF($D$9="",IF($D$11="",IF($D$13="",IF($D$15="",INDEX(orderHistory[inv_amount],SMALL(MATCH(ROW(orderHistory[customer]),ROW(orderHistory[customer])),ROWS($A$15:A41)+$B$3)),INDEX(orderHistory[inv_amount],SMALL(IF(ISNUMBER(MATCH(YEAR(orderHistory[invoice_date]),$D$15,0)),MATCH(ROW(orderHistory[customer]),ROW(orderHistory[customer])),""),ROWS($A$15:A41)+$B$3))),IF($D$15="",INDEX(orderHistory[inv_amount],SMALL(IF(ISNUMBER(MATCH(orderHistory[order_type],$D$13,0)),MATCH(ROW(orderHistory[customer]),ROW(orderHistory[customer])),""),ROWS($A$15:A41)+$B$3)),INDEX(orderHistory[inv_amount],SMALL(IF(ISNUMBER(MATCH(orderHistory[order_type],$D$13,0)*MATCH(YEAR(orderHistory[invoice_date]),$D$15,0)),MATCH(ROW(orderHistory[customer]),ROW(orderHistory[customer])),""),ROWS($A$15:A41)+$B$3)))),IF($D$13="",IF($D$15="",INDEX(orderHistory[inv_amount],SMALL(IF(ISNUMBER(MATCH(orderHistory[status],$D$11,0)),MATCH(ROW(orderHistory[customer]),ROW(orderHistory[customer])),""),ROWS($A$15:A41)+$B$3)),INDEX(orderHistory[inv_amount],SMALL(IF(ISNUMBER(MATCH(orderHistory[status],$D$11,0)*MATCH(YEAR(orderHistory[invoice_date]),$D$15,0)),MATCH(ROW(orderHistory[customer]),ROW(orderHistory[customer])),""),ROWS($A$15:A41)+$B$3))),IF($D$15="",INDEX(orderHistory[inv_amount],SMALL(IF(ISNUMBER(MATCH(orderHistory[status],$D$11,0)*MATCH(orderHistory[order_type],$D$13,0)),MATCH(ROW(orderHistory[customer]),ROW(orderHistory[customer])),""),ROWS($A$15:A41)+$B$3)),INDEX(orderHistory[inv_amount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inv_amount],SMALL(IF(ISNUMBER(MATCH(orderHistory[customer],$D$9,0)),MATCH(ROW(orderHistory[customer]),ROW(orderHistory[customer])),""),ROWS($A$15:A41)+$B$3)),INDEX(orderHistory[inv_amount],SMALL(IF(ISNUMBER(MATCH(orderHistory[customer],$D$9,0)*MATCH(YEAR(orderHistory[invoice_date]),$D$15,0)),MATCH(ROW(orderHistory[customer]),ROW(orderHistory[customer])),""),ROWS($A$15:A41)+$B$3))),IF($D$15="",INDEX(orderHistory[inv_amount],SMALL(IF(ISNUMBER(MATCH(orderHistory[customer],$D$9,0)*MATCH(orderHistory[order_type],$D$13,0)),MATCH(ROW(orderHistory[customer]),ROW(orderHistory[customer])),""),ROWS($A$15:A41)+$B$3)),INDEX(orderHistory[inv_amount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inv_amount],SMALL(IF(ISNUMBER(MATCH(orderHistory[customer],$D$9,0)*MATCH(orderHistory[status],$D$11,0)),MATCH(ROW(orderHistory[customer]),ROW(orderHistory[customer])),""),ROWS($A$15:A41)+$B$3)),INDEX(orderHistory[inv_amount],SMALL(IF(ISNUMBER(MATCH(orderHistory[customer],$D$9,0)*MATCH(orderHistory[status],$D$11,0)*MATCH(YEAR(orderHistory[inv_amount]),$D$15,0)),MATCH(ROW(orderHistory[customer]),ROW(orderHistory[customer])),""),ROWS($A$15:A41)+$B$3))),IF($D$15="",INDEX(orderHistory[inv_amount],SMALL(IF(ISNUMBER(MATCH(orderHistory[customer],$D$9,0)*MATCH(orderHistory[status],$D$11,0)*MATCH(orderHistory[order_type],$D$13,0)),MATCH(ROW(orderHistory[customer]),ROW(orderHistory[customer])),""),ROWS($A$15:A41)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12825</v>
      </c>
      <c r="S36" s="465" t="str">
        <f t="array" ref="S36">IFERROR(IF($D$9="",IF($D$11="",IF($D$13="",IF($D$15="",INDEX(orderHistory[lock_goods],SMALL(MATCH(ROW(orderHistory[customer]),ROW(orderHistory[customer])),ROWS($A$15:A41)+$B$3)),INDEX(orderHistory[lock_goods],SMALL(IF(ISNUMBER(MATCH(YEAR(orderHistory[invoice_date]),$D$15,0)),MATCH(ROW(orderHistory[customer]),ROW(orderHistory[customer])),""),ROWS($A$15:A41)+$B$3))),IF($D$15="",INDEX(orderHistory[lock_goods],SMALL(IF(ISNUMBER(MATCH(orderHistory[order_type],$D$13,0)),MATCH(ROW(orderHistory[customer]),ROW(orderHistory[customer])),""),ROWS($A$15:A41)+$B$3)),INDEX(orderHistory[lock_goods],SMALL(IF(ISNUMBER(MATCH(orderHistory[order_type],$D$13,0)*MATCH(YEAR(orderHistory[invoice_date]),$D$15,0)),MATCH(ROW(orderHistory[customer]),ROW(orderHistory[customer])),""),ROWS($A$15:A41)+$B$3)))),IF($D$13="",IF($D$15="",INDEX(orderHistory[lock_goods],SMALL(IF(ISNUMBER(MATCH(orderHistory[status],$D$11,0)),MATCH(ROW(orderHistory[customer]),ROW(orderHistory[customer])),""),ROWS($A$15:A41)+$B$3)),INDEX(orderHistory[lock_goods],SMALL(IF(ISNUMBER(MATCH(orderHistory[status],$D$11,0)*MATCH(YEAR(orderHistory[invoice_date]),$D$15,0)),MATCH(ROW(orderHistory[customer]),ROW(orderHistory[customer])),""),ROWS($A$15:A41)+$B$3))),IF($D$15="",INDEX(orderHistory[lock_goods],SMALL(IF(ISNUMBER(MATCH(orderHistory[status],$D$11,0)*MATCH(orderHistory[order_type],$D$13,0)),MATCH(ROW(orderHistory[customer]),ROW(orderHistory[customer])),""),ROWS($A$15:A41)+$B$3)),INDEX(orderHistory[lock_goods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lock_goods],SMALL(IF(ISNUMBER(MATCH(orderHistory[customer],$D$9,0)),MATCH(ROW(orderHistory[customer]),ROW(orderHistory[customer])),""),ROWS($A$15:A41)+$B$3)),INDEX(orderHistory[lock_goods],SMALL(IF(ISNUMBER(MATCH(orderHistory[customer],$D$9,0)*MATCH(YEAR(orderHistory[invoice_date]),$D$15,0)),MATCH(ROW(orderHistory[customer]),ROW(orderHistory[customer])),""),ROWS($A$15:A41)+$B$3))),IF($D$15="",INDEX(orderHistory[lock_goods],SMALL(IF(ISNUMBER(MATCH(orderHistory[customer],$D$9,0)*MATCH(orderHistory[order_type],$D$13,0)),MATCH(ROW(orderHistory[customer]),ROW(orderHistory[customer])),""),ROWS($A$15:A41)+$B$3)),INDEX(orderHistory[lock_goods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lock_goods],SMALL(IF(ISNUMBER(MATCH(orderHistory[customer],$D$9,0)*MATCH(orderHistory[status],$D$11,0)),MATCH(ROW(orderHistory[customer]),ROW(orderHistory[customer])),""),ROWS($A$15:A41)+$B$3)),INDEX(orderHistory[lock_goods],SMALL(IF(ISNUMBER(MATCH(orderHistory[customer],$D$9,0)*MATCH(orderHistory[status],$D$11,0)*MATCH(YEAR(orderHistory[payed]),$D$15,0)),MATCH(ROW(orderHistory[customer]),ROW(orderHistory[customer])),""),ROWS($A$15:A41)+$B$3))),IF($D$15="",INDEX(orderHistory[lock_goods],SMALL(IF(ISNUMBER(MATCH(orderHistory[customer],$D$9,0)*MATCH(orderHistory[status],$D$11,0)*MATCH(orderHistory[order_type],$D$13,0)),MATCH(ROW(orderHistory[customer]),ROW(orderHistory[customer])),""),ROWS($A$15:A41)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GOODS SENT</v>
      </c>
      <c r="T36" s="388" t="b">
        <f t="array" ref="T36">IFERROR(IF($D$9="",IF($D$11="",IF($D$13="",IF($D$15="",INDEX(orderHistory[payed],SMALL(MATCH(ROW(orderHistory[customer]),ROW(orderHistory[customer])),ROWS($A$15:A41)+$B$3)),INDEX(orderHistory[payed],SMALL(IF(ISNUMBER(MATCH(YEAR(orderHistory[invoice_date]),$D$15,0)),MATCH(ROW(orderHistory[customer]),ROW(orderHistory[customer])),""),ROWS($A$15:A41)+$B$3))),IF($D$15="",INDEX(orderHistory[payed],SMALL(IF(ISNUMBER(MATCH(orderHistory[order_type],$D$13,0)),MATCH(ROW(orderHistory[customer]),ROW(orderHistory[customer])),""),ROWS($A$15:A41)+$B$3)),INDEX(orderHistory[payed],SMALL(IF(ISNUMBER(MATCH(orderHistory[order_type],$D$13,0)*MATCH(YEAR(orderHistory[invoice_date]),$D$15,0)),MATCH(ROW(orderHistory[customer]),ROW(orderHistory[customer])),""),ROWS($A$15:A41)+$B$3)))),IF($D$13="",IF($D$15="",INDEX(orderHistory[payed],SMALL(IF(ISNUMBER(MATCH(orderHistory[status],$D$11,0)),MATCH(ROW(orderHistory[customer]),ROW(orderHistory[customer])),""),ROWS($A$15:A41)+$B$3)),INDEX(orderHistory[payed],SMALL(IF(ISNUMBER(MATCH(orderHistory[status],$D$11,0)*MATCH(YEAR(orderHistory[invoice_date]),$D$15,0)),MATCH(ROW(orderHistory[customer]),ROW(orderHistory[customer])),""),ROWS($A$15:A41)+$B$3))),IF($D$15="",INDEX(orderHistory[payed],SMALL(IF(ISNUMBER(MATCH(orderHistory[status],$D$11,0)*MATCH(orderHistory[order_type],$D$13,0)),MATCH(ROW(orderHistory[customer]),ROW(orderHistory[customer])),""),ROWS($A$15:A41)+$B$3)),INDEX(orderHistory[payed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payed],SMALL(IF(ISNUMBER(MATCH(orderHistory[customer],$D$9,0)),MATCH(ROW(orderHistory[customer]),ROW(orderHistory[customer])),""),ROWS($A$15:A41)+$B$3)),INDEX(orderHistory[payed],SMALL(IF(ISNUMBER(MATCH(orderHistory[customer],$D$9,0)*MATCH(YEAR(orderHistory[invoice_date]),$D$15,0)),MATCH(ROW(orderHistory[customer]),ROW(orderHistory[customer])),""),ROWS($A$15:A41)+$B$3))),IF($D$15="",INDEX(orderHistory[payed],SMALL(IF(ISNUMBER(MATCH(orderHistory[customer],$D$9,0)*MATCH(orderHistory[order_type],$D$13,0)),MATCH(ROW(orderHistory[customer]),ROW(orderHistory[customer])),""),ROWS($A$15:A41)+$B$3)),INDEX(orderHistory[payed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payed],SMALL(IF(ISNUMBER(MATCH(orderHistory[customer],$D$9,0)*MATCH(orderHistory[status],$D$11,0)),MATCH(ROW(orderHistory[customer]),ROW(orderHistory[customer])),""),ROWS($A$15:A41)+$B$3)),INDEX(orderHistory[payed],SMALL(IF(ISNUMBER(MATCH(orderHistory[customer],$D$9,0)*MATCH(orderHistory[status],$D$11,0)*MATCH(YEAR(orderHistory[payed]),$D$15,0)),MATCH(ROW(orderHistory[customer]),ROW(orderHistory[customer])),""),ROWS($A$15:A41)+$B$3))),IF($D$15="",INDEX(orderHistory[payed],SMALL(IF(ISNUMBER(MATCH(orderHistory[customer],$D$9,0)*MATCH(orderHistory[status],$D$11,0)*MATCH(orderHistory[order_type],$D$13,0)),MATCH(ROW(orderHistory[customer]),ROW(orderHistory[customer])),""),ROWS($A$15:A41)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1</v>
      </c>
      <c r="U36" s="383" t="str">
        <f t="array" ref="U36">IFERROR(IF($D$9="",IF($D$11="",IF($D$13="",IF($D$15="",INDEX(orderHistory[shipping_method],SMALL(MATCH(ROW(orderHistory[customer]),ROW(orderHistory[customer])),ROWS($A$15:A41)+$B$3)),INDEX(orderHistory[shipping_method],SMALL(IF(ISNUMBER(MATCH(YEAR(orderHistory[invoice_date]),$D$15,0)),MATCH(ROW(orderHistory[customer]),ROW(orderHistory[customer])),""),ROWS($A$15:A41)+$B$3))),IF($D$15="",INDEX(orderHistory[shipping_method],SMALL(IF(ISNUMBER(MATCH(orderHistory[order_type],$D$13,0)),MATCH(ROW(orderHistory[customer]),ROW(orderHistory[customer])),""),ROWS($A$15:A41)+$B$3)),INDEX(orderHistory[shipping_method],SMALL(IF(ISNUMBER(MATCH(orderHistory[order_type],$D$13,0)*MATCH(YEAR(orderHistory[invoice_date]),$D$15,0)),MATCH(ROW(orderHistory[customer]),ROW(orderHistory[customer])),""),ROWS($A$15:A41)+$B$3)))),IF($D$13="",IF($D$15="",INDEX(orderHistory[shipping_method],SMALL(IF(ISNUMBER(MATCH(orderHistory[status],$D$11,0)),MATCH(ROW(orderHistory[customer]),ROW(orderHistory[customer])),""),ROWS($A$15:A41)+$B$3)),INDEX(orderHistory[shipping_method],SMALL(IF(ISNUMBER(MATCH(orderHistory[status],$D$11,0)*MATCH(YEAR(orderHistory[invoice_date]),$D$15,0)),MATCH(ROW(orderHistory[customer]),ROW(orderHistory[customer])),""),ROWS($A$15:A41)+$B$3))),IF($D$15="",INDEX(orderHistory[shipping_method],SMALL(IF(ISNUMBER(MATCH(orderHistory[status],$D$11,0)*MATCH(orderHistory[order_type],$D$13,0)),MATCH(ROW(orderHistory[customer]),ROW(orderHistory[customer])),""),ROWS($A$15:A41)+$B$3)),INDEX(orderHistory[shipping_method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shipping_method],SMALL(IF(ISNUMBER(MATCH(orderHistory[customer],$D$9,0)),MATCH(ROW(orderHistory[customer]),ROW(orderHistory[customer])),""),ROWS($A$15:A41)+$B$3)),INDEX(orderHistory[shipping_method],SMALL(IF(ISNUMBER(MATCH(orderHistory[customer],$D$9,0)*MATCH(YEAR(orderHistory[invoice_date]),$D$15,0)),MATCH(ROW(orderHistory[customer]),ROW(orderHistory[customer])),""),ROWS($A$15:A41)+$B$3))),IF($D$15="",INDEX(orderHistory[shipping_method],SMALL(IF(ISNUMBER(MATCH(orderHistory[customer],$D$9,0)*MATCH(orderHistory[order_type],$D$13,0)),MATCH(ROW(orderHistory[customer]),ROW(orderHistory[customer])),""),ROWS($A$15:A41)+$B$3)),INDEX(orderHistory[shipping_method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shipping_method],SMALL(IF(ISNUMBER(MATCH(orderHistory[customer],$D$9,0)*MATCH(orderHistory[status],$D$11,0)),MATCH(ROW(orderHistory[customer]),ROW(orderHistory[customer])),""),ROWS($A$15:A41)+$B$3)),INDEX(orderHistory[shipping_method],SMALL(IF(ISNUMBER(MATCH(orderHistory[customer],$D$9,0)*MATCH(orderHistory[status],$D$11,0)*MATCH(YEAR(orderHistory[shipping_method]),$D$15,0)),MATCH(ROW(orderHistory[customer]),ROW(orderHistory[customer])),""),ROWS($A$15:A41)+$B$3))),IF($D$15="",INDEX(orderHistory[shipping_method],SMALL(IF(ISNUMBER(MATCH(orderHistory[customer],$D$9,0)*MATCH(orderHistory[status],$D$11,0)*MATCH(orderHistory[order_type],$D$13,0)),MATCH(ROW(orderHistory[customer]),ROW(orderHistory[customer])),""),ROWS($A$15:A41)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BY ROAD</v>
      </c>
      <c r="V36" s="388" t="str">
        <f t="array" ref="V36">IFERROR(IF($D$9="",IF($D$11="",IF($D$13="",IF($D$15="",INDEX(orderHistory[status],SMALL(MATCH(ROW(orderHistory[customer]),ROW(orderHistory[customer])),ROWS($A$15:A41)+$B$3)),INDEX(orderHistory[status],SMALL(IF(ISNUMBER(MATCH(YEAR(orderHistory[invoice_date]),$D$15,0)),MATCH(ROW(orderHistory[customer]),ROW(orderHistory[customer])),""),ROWS($A$15:A41)+$B$3))),IF($D$15="",INDEX(orderHistory[status],SMALL(IF(ISNUMBER(MATCH(orderHistory[order_type],$D$13,0)),MATCH(ROW(orderHistory[customer]),ROW(orderHistory[customer])),""),ROWS($A$15:A41)+$B$3)),INDEX(orderHistory[status],SMALL(IF(ISNUMBER(MATCH(orderHistory[order_type],$D$13,0)*MATCH(YEAR(orderHistory[invoice_date]),$D$15,0)),MATCH(ROW(orderHistory[customer]),ROW(orderHistory[customer])),""),ROWS($A$15:A41)+$B$3)))),IF($D$13="",IF($D$15="",INDEX(orderHistory[status],SMALL(IF(ISNUMBER(MATCH(orderHistory[status],$D$11,0)),MATCH(ROW(orderHistory[customer]),ROW(orderHistory[customer])),""),ROWS($A$15:A41)+$B$3)),INDEX(orderHistory[status],SMALL(IF(ISNUMBER(MATCH(orderHistory[status],$D$11,0)*MATCH(YEAR(orderHistory[invoice_date]),$D$15,0)),MATCH(ROW(orderHistory[customer]),ROW(orderHistory[customer])),""),ROWS($A$15:A41)+$B$3))),IF($D$15="",INDEX(orderHistory[status],SMALL(IF(ISNUMBER(MATCH(orderHistory[status],$D$11,0)*MATCH(orderHistory[order_type],$D$13,0)),MATCH(ROW(orderHistory[customer]),ROW(orderHistory[customer])),""),ROWS($A$15:A41)+$B$3)),INDEX(orderHistory[status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status],SMALL(IF(ISNUMBER(MATCH(orderHistory[customer],$D$9,0)),MATCH(ROW(orderHistory[customer]),ROW(orderHistory[customer])),""),ROWS($A$15:A41)+$B$3)),INDEX(orderHistory[status],SMALL(IF(ISNUMBER(MATCH(orderHistory[customer],$D$9,0)*MATCH(YEAR(orderHistory[invoice_date]),$D$15,0)),MATCH(ROW(orderHistory[customer]),ROW(orderHistory[customer])),""),ROWS($A$15:A41)+$B$3))),IF($D$15="",INDEX(orderHistory[status],SMALL(IF(ISNUMBER(MATCH(orderHistory[customer],$D$9,0)*MATCH(orderHistory[order_type],$D$13,0)),MATCH(ROW(orderHistory[customer]),ROW(orderHistory[customer])),""),ROWS($A$15:A41)+$B$3)),INDEX(orderHistory[status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status],SMALL(IF(ISNUMBER(MATCH(orderHistory[customer],$D$9,0)*MATCH(orderHistory[status],$D$11,0)),MATCH(ROW(orderHistory[customer]),ROW(orderHistory[customer])),""),ROWS($A$15:A41)+$B$3)),INDEX(orderHistory[status],SMALL(IF(ISNUMBER(MATCH(orderHistory[customer],$D$9,0)*MATCH(orderHistory[status],$D$11,0)*MATCH(YEAR(orderHistory[status]),$D$15,0)),MATCH(ROW(orderHistory[customer]),ROW(orderHistory[customer])),""),ROWS($A$15:A41)+$B$3))),IF($D$15="",INDEX(orderHistory[status],SMALL(IF(ISNUMBER(MATCH(orderHistory[customer],$D$9,0)*MATCH(orderHistory[status],$D$11,0)*MATCH(orderHistory[order_type],$D$13,0)),MATCH(ROW(orderHistory[customer]),ROW(orderHistory[customer])),""),ROWS($A$15:A41)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SHIPPED</v>
      </c>
      <c r="W36" s="547" t="str">
        <f t="array" ref="W36">IFERROR(IF($D$9="",IF($D$11="",IF($D$13="",IF($D$15="",INDEX(orderHistory[custom_docs],SMALL(MATCH(ROW(orderHistory[customer]),ROW(orderHistory[customer])),ROWS($A$15:A41)+$B$3)),INDEX(orderHistory[custom_docs],SMALL(IF(ISNUMBER(MATCH(YEAR(orderHistory[invoice_date]),$D$15,0)),MATCH(ROW(orderHistory[customer]),ROW(orderHistory[customer])),""),ROWS($A$15:A41)+$B$3))),IF($D$15="",INDEX(orderHistory[custom_docs],SMALL(IF(ISNUMBER(MATCH(orderHistory[order_type],$D$13,0)),MATCH(ROW(orderHistory[customer]),ROW(orderHistory[customer])),""),ROWS($A$15:A41)+$B$3)),INDEX(orderHistory[custom_docs],SMALL(IF(ISNUMBER(MATCH(orderHistory[order_type],$D$13,0)*MATCH(YEAR(orderHistory[invoice_date]),$D$15,0)),MATCH(ROW(orderHistory[customer]),ROW(orderHistory[customer])),""),ROWS($A$15:A41)+$B$3)))),IF($D$13="",IF($D$15="",INDEX(orderHistory[custom_docs],SMALL(IF(ISNUMBER(MATCH(orderHistory[status],$D$11,0)),MATCH(ROW(orderHistory[customer]),ROW(orderHistory[customer])),""),ROWS($A$15:A41)+$B$3)),INDEX(orderHistory[custom_docs],SMALL(IF(ISNUMBER(MATCH(orderHistory[status],$D$11,0)*MATCH(YEAR(orderHistory[invoice_date]),$D$15,0)),MATCH(ROW(orderHistory[customer]),ROW(orderHistory[customer])),""),ROWS($A$15:A41)+$B$3))),IF($D$15="",INDEX(orderHistory[custom_docs],SMALL(IF(ISNUMBER(MATCH(orderHistory[status],$D$11,0)*MATCH(orderHistory[order_type],$D$13,0)),MATCH(ROW(orderHistory[customer]),ROW(orderHistory[customer])),""),ROWS($A$15:A41)+$B$3)),INDEX(orderHistory[custom_docs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custom_docs],SMALL(IF(ISNUMBER(MATCH(orderHistory[customer],$D$9,0)),MATCH(ROW(orderHistory[customer]),ROW(orderHistory[customer])),""),ROWS($A$15:A41)+$B$3)),INDEX(orderHistory[custom_docs],SMALL(IF(ISNUMBER(MATCH(orderHistory[customer],$D$9,0)*MATCH(YEAR(orderHistory[invoice_date]),$D$15,0)),MATCH(ROW(orderHistory[customer]),ROW(orderHistory[customer])),""),ROWS($A$15:A41)+$B$3))),IF($D$15="",INDEX(orderHistory[custom_docs],SMALL(IF(ISNUMBER(MATCH(orderHistory[customer],$D$9,0)*MATCH(orderHistory[order_type],$D$13,0)),MATCH(ROW(orderHistory[customer]),ROW(orderHistory[customer])),""),ROWS($A$15:A41)+$B$3)),INDEX(orderHistory[custom_docs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custom_docs],SMALL(IF(ISNUMBER(MATCH(orderHistory[customer],$D$9,0)*MATCH(orderHistory[status],$D$11,0)),MATCH(ROW(orderHistory[customer]),ROW(orderHistory[customer])),""),ROWS($A$15:A41)+$B$3)),INDEX(orderHistory[custom_docs],SMALL(IF(ISNUMBER(MATCH(orderHistory[customer],$D$9,0)*MATCH(orderHistory[status],$D$11,0)*MATCH(YEAR(orderHistory[status]),$D$15,0)),MATCH(ROW(orderHistory[customer]),ROW(orderHistory[customer])),""),ROWS($A$15:A41)+$B$3))),IF($D$15="",INDEX(orderHistory[custom_docs],SMALL(IF(ISNUMBER(MATCH(orderHistory[customer],$D$9,0)*MATCH(orderHistory[status],$D$11,0)*MATCH(orderHistory[order_type],$D$13,0)),MATCH(ROW(orderHistory[customer]),ROW(orderHistory[customer])),""),ROWS($A$15:A41)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OK</v>
      </c>
      <c r="AQ36" s="335"/>
      <c r="AR36" s="358"/>
      <c r="AS36" s="336"/>
      <c r="AT36" s="336"/>
      <c r="AU36" s="336"/>
      <c r="AW36" s="306"/>
      <c r="BJ36" s="271"/>
      <c r="BK36" s="296"/>
      <c r="BL36" s="297"/>
      <c r="BM36" s="298"/>
      <c r="BN36" s="297"/>
      <c r="BO36" s="298"/>
      <c r="BZ36" s="487"/>
      <c r="CA36" s="401" t="str">
        <f>IFERROR(IF(BZ36="","",INDEX(bhpc_data[description],MATCH(BZ36,bhpc_data[sku],0))),"")</f>
        <v/>
      </c>
      <c r="CB36" s="403"/>
      <c r="CC36" s="888"/>
      <c r="CD36" s="409"/>
      <c r="CE36" s="890"/>
      <c r="CF36" s="404"/>
      <c r="CG36" s="405" t="str">
        <f>IFERROR(ROUNDUP(CB36/INDEX(bhpc_data[units_per_carton],MATCH(BZ36,bhpc_data[sku],0)),0),"")</f>
        <v/>
      </c>
      <c r="CH36" s="406" t="str">
        <f>IFERROR(ROUNDUP(CD36/INDEX(bhpc_data[units_per_carton],MATCH(BZ36,bhpc_data[sku],0)),0),"")</f>
        <v/>
      </c>
      <c r="CI36" s="406" t="str">
        <f>IFERROR(ROUNDUP(CF36/INDEX(bhpc_data[units_per_carton],MATCH(BZ36,bhpc_data[sku])),0),"")</f>
        <v/>
      </c>
      <c r="CJ36" s="406" t="str">
        <f>IFERROR(((CB36+CD36+CF36)/INDEX(bhpc_data[units_per_carton],MATCH(BZ36,bhpc_data[sku],0)))*INDEX(bhpc_data[net_weight],MATCH(BZ36,bhpc_data[sku],0)),"")</f>
        <v/>
      </c>
      <c r="CK36" s="406" t="str">
        <f>IFERROR(((CB36+CD36+CF36)/INDEX(bhpc_data[units_per_carton],MATCH(BZ36,bhpc_data[sku],0)))*INDEX(bhpc_data[gross_weight],MATCH(BZ36,bhpc_data[sku],0)),"")</f>
        <v/>
      </c>
      <c r="CL36" s="602" t="str">
        <f>IFERROR((CB36+CD36+CF36)/INDEX(bhpc_data[units_per_carton],MATCH(BZ36,bhpc_data[sku],0))*INDEX(bhpc_data[length],MATCH(BZ36,bhpc_data[sku],0))*INDEX(bhpc_data[width],MATCH(BZ36,bhpc_data[sku],0))*INDEX(bhpc_data[height],MATCH(BZ36,bhpc_data[sku],0))/1000000000,"")</f>
        <v/>
      </c>
      <c r="CM36" s="407" t="str">
        <f>IFERROR(INDEX(bhpc_data[category],MATCH(BZ36,bhpc_data[sku],0)),"")</f>
        <v/>
      </c>
      <c r="CN36" s="407" t="str">
        <f>IFERROR(INDEX(bhpc_data[size],MATCH(BZ36,bhpc_data[sku],0)),"")</f>
        <v/>
      </c>
      <c r="CO36" s="408" t="str">
        <f>IFERROR(INDEX(bhpc_data[hs_code],MATCH(BZ36,bhpc_data[sku],0)),"")</f>
        <v/>
      </c>
      <c r="CP36" s="489" t="str">
        <f>IFERROR(INDEX(bhpc_data[sku_geko],MATCH(BZ36,bhpc_data[sku],0)),"")</f>
        <v/>
      </c>
      <c r="CQ36" s="404"/>
      <c r="CR36" s="516" t="str">
        <f>IFERROR(IF(BZ36="","",IF($BX$15="SALE",INDEX(inventory[COSTO UNITARIO],MATCH(BZ36,inventory[SKU],0)),IF($BX$15="SAMPLING",INDEX(inventory[COSTO UNITARIO],MATCH(BZ36,inventory[SKU],0)),""))),"")</f>
        <v/>
      </c>
      <c r="CS36" s="516" t="str">
        <f t="shared" si="5"/>
        <v/>
      </c>
      <c r="CT36" s="896" t="str">
        <f t="shared" si="6"/>
        <v/>
      </c>
      <c r="CU36" s="469" t="str">
        <f t="shared" si="0"/>
        <v/>
      </c>
      <c r="CV36" s="351"/>
      <c r="CW36" s="351"/>
      <c r="CX36" s="369"/>
      <c r="CZ36" s="368"/>
      <c r="DH36" s="215"/>
      <c r="EE36" s="445" t="str" cm="1">
        <f t="array" ref="EE36">IFERROR(IF($EC$9="",IF($EC$11="",IF($EC$13="",INDEX(bhpc_data[sku],SMALL(MATCH(ROW(bhpc_data[sku]),ROW(bhpc_data[sku])),ROWS($A$15:A41)+$B$3)),INDEX(bhpc_data[sku],SMALL(IF(ISNUMBER(MATCH(bhpc_data[size],$EC$13,0)),MATCH(ROW(bhpc_data[sku]),ROW(bhpc_data[sku])),""),ROWS($A$15:A41)+$B$3))),IF($EC$13="",INDEX(bhpc_data[sku],SMALL(IF(ISNUMBER(MATCH(bhpc_data[sex],$EC$11,0)),MATCH(ROW(bhpc_data[sku]),ROW(bhpc_data[sku])),""),ROWS($A$15:A41)+$B$3)),INDEX(bhpc_data[sku],SMALL(IF(ISNUMBER(MATCH(bhpc_data[sex],$EC$11,0)*MATCH(bhpc_data[size],$EC$13,0)),MATCH(ROW(bhpc_data[sku]),ROW(bhpc_data[sku])),""),ROWS($A$15:A41)+$B$3)))),IF($EC$11="",IF($EC$13="",INDEX(bhpc_data[sku],SMALL(IF(ISNUMBER(MATCH(bhpc_data[category],$EC$9,0)),MATCH(ROW(bhpc_data[sku]),ROW(bhpc_data[sku])),""),ROWS($A$15:A41)+$B$3)),INDEX(bhpc_data[sku],SMALL(IF(ISNUMBER(MATCH(bhpc_data[category],$EC$9,0)*MATCH(bhpc_data[size],$EC$13,0)),MATCH(ROW(bhpc_data[sku]),ROW(bhpc_data[sku])),""),ROWS($A$15:A41)+$B$3))),IF($EC$13="",INDEX(bhpc_data[sku],SMALL(IF(ISNUMBER(MATCH(bhpc_data[category],$EC$9,0)*MATCH(bhpc_data[sex],$EC$11,0)),MATCH(ROW(bhpc_data[sku]),ROW(bhpc_data[sku])),""),ROWS($A$15:A41)+$B$3)),INDEX(bhpc_data[sku],SMALL(IF(ISNUMBER(MATCH(bhpc_data[category],$EC$9,0)*MATCH(bhpc_data[sex],$EC$11,0)*MATCH(bhpc_data[size],$EC$13,0)),MATCH(ROW(bhpc_data[sku]),ROW(bhpc_data[sku])),""),ROWS($A$15:A41)+$B$3))))),"")</f>
        <v>P06001</v>
      </c>
      <c r="EF36" s="446" t="str" cm="1">
        <f t="array" ref="EF36">IFERROR(IF($EC$9="",IF($EC$11="",IF($EC$13="",INDEX(bhpc_data[description],SMALL(MATCH(ROW(bhpc_data[sku]),ROW(bhpc_data[sku])),ROWS($A$15:A41)+$B$3)),INDEX(bhpc_data[description],SMALL(IF(ISNUMBER(MATCH(bhpc_data[size],$EC$13,0)),MATCH(ROW(bhpc_data[sku]),ROW(bhpc_data[sku])),""),ROWS($A$15:A41)+$B$3))),IF($EC$13="",INDEX(bhpc_data[description],SMALL(IF(ISNUMBER(MATCH(bhpc_data[sex],$EC$11,0)),MATCH(ROW(bhpc_data[sku]),ROW(bhpc_data[sku])),""),ROWS($A$15:A41)+$B$3)),INDEX(bhpc_data[description],SMALL(IF(ISNUMBER(MATCH(bhpc_data[sex],$EC$11,0)*MATCH(bhpc_data[size],$EC$13,0)),MATCH(ROW(bhpc_data[sku]),ROW(bhpc_data[sku])),""),ROWS($A$15:A41)+$B$3)))),IF($EC$11="",IF($EC$13="",INDEX(bhpc_data[description],SMALL(IF(ISNUMBER(MATCH(bhpc_data[category],$EC$9,0)),MATCH(ROW(bhpc_data[sku]),ROW(bhpc_data[sku])),""),ROWS($A$15:A41)+$B$3)),INDEX(bhpc_data[description],SMALL(IF(ISNUMBER(MATCH(bhpc_data[category],$EC$9,0)*MATCH(bhpc_data[size],$EC$13,0)),MATCH(ROW(bhpc_data[sku]),ROW(bhpc_data[sku])),""),ROWS($A$15:A41)+$B$3))),IF($EC$13="",INDEX(bhpc_data[description],SMALL(IF(ISNUMBER(MATCH(bhpc_data[category],$EC$9,0)*MATCH(bhpc_data[sex],$EC$11,0)),MATCH(ROW(bhpc_data[sku]),ROW(bhpc_data[sku])),""),ROWS($A$15:A41)+$B$3)),INDEX(bhpc_data[description],SMALL(IF(ISNUMBER(MATCH(bhpc_data[category],$EC$9,0)*MATCH(bhpc_data[sex],$EC$11,0)*MATCH(bhpc_data[size],$EC$13,0)),MATCH(ROW(bhpc_data[sku]),ROW(bhpc_data[sku])),""),ROWS($A$15:A41)+$B$3))))),"")</f>
        <v>BHPC PRESTIGE HERITAGE OUD 100ML EDP MEN</v>
      </c>
      <c r="EG36" s="447">
        <f>IFERROR(IF('BHPC MANAGER'!$EE36="","",INDEX(inventory[ESISTENZA],MATCH('BHPC MANAGER'!$EE36,inventory[SKU],0))),0)</f>
        <v>887</v>
      </c>
      <c r="EH36" s="448">
        <v>-882</v>
      </c>
      <c r="EI36" s="448">
        <f t="shared" si="1"/>
        <v>5</v>
      </c>
      <c r="EJ36" s="449">
        <v>0</v>
      </c>
      <c r="EK36" s="450">
        <f t="shared" si="2"/>
        <v>5</v>
      </c>
      <c r="FF36" s="263"/>
      <c r="FG36" s="263"/>
      <c r="FH36" s="263"/>
      <c r="FI36" s="263"/>
      <c r="FJ36" s="263"/>
      <c r="FK36" s="263"/>
      <c r="FL36" s="263"/>
      <c r="FM36" s="263"/>
      <c r="FN36" s="263"/>
      <c r="FO36" s="263"/>
      <c r="FP36" s="263"/>
      <c r="FQ36" s="263"/>
      <c r="FR36" s="263"/>
      <c r="FS36" s="263"/>
      <c r="FT36" s="263"/>
      <c r="FU36" s="263"/>
      <c r="FV36" s="263"/>
      <c r="FW36" s="263"/>
      <c r="FX36" s="263"/>
      <c r="FY36" s="263"/>
      <c r="FZ36" s="263"/>
      <c r="GA36" s="263"/>
      <c r="GB36" s="263"/>
      <c r="GC36" s="263"/>
      <c r="GD36" s="263"/>
      <c r="GE36" s="263"/>
      <c r="GF36" s="263"/>
      <c r="GG36" s="263"/>
      <c r="GH36" s="263"/>
      <c r="GI36" s="263"/>
      <c r="GJ36" s="263"/>
      <c r="GK36" s="263"/>
      <c r="GL36" s="263"/>
      <c r="GM36" s="263"/>
      <c r="GN36" s="263"/>
      <c r="GO36" s="263"/>
      <c r="GP36" s="263"/>
      <c r="GQ36" s="263"/>
      <c r="GR36" s="263"/>
      <c r="GS36" s="263"/>
      <c r="GT36" s="263"/>
      <c r="GU36" s="263"/>
      <c r="GV36" s="263"/>
      <c r="GW36" s="263"/>
      <c r="GX36" s="263"/>
      <c r="GY36" s="263"/>
      <c r="GZ36" s="263"/>
      <c r="HA36" s="263"/>
      <c r="HB36" s="263"/>
      <c r="HC36" s="263"/>
      <c r="HD36" s="263"/>
      <c r="HE36" s="263"/>
      <c r="HF36" s="263"/>
      <c r="HG36" s="263"/>
      <c r="HH36" s="263"/>
      <c r="HI36" s="263"/>
      <c r="HJ36" s="263"/>
      <c r="HK36" s="263"/>
      <c r="HL36" s="263"/>
      <c r="HM36" s="263"/>
      <c r="HN36" s="263"/>
      <c r="HO36" s="263"/>
      <c r="HP36" s="263"/>
      <c r="HQ36" s="263"/>
      <c r="HR36" s="263"/>
      <c r="HS36" s="263"/>
      <c r="HT36" s="263"/>
    </row>
    <row r="37" spans="6:228" ht="15" customHeight="1" x14ac:dyDescent="0.35">
      <c r="F37" s="91"/>
      <c r="G37" s="803"/>
      <c r="H37" s="804"/>
      <c r="I37" s="805"/>
      <c r="J37" s="77"/>
      <c r="L37" s="381" t="str">
        <f t="array" ref="L37">IFERROR(IF($D$9="",IF($D$11="",IF($D$13="",IF($D$15="",INDEX(orderHistory[customer],SMALL(MATCH(ROW(orderHistory[customer]),ROW(orderHistory[customer])),ROWS($A$15:A42)+$B$3)),INDEX(orderHistory[customer],SMALL(IF(ISNUMBER(MATCH(YEAR(orderHistory[invoice_date]),$D$15,0)),MATCH(ROW(orderHistory[customer]),ROW(orderHistory[customer])),""),ROWS($A$15:A42)+$B$3))),IF($D$15="",INDEX(orderHistory[customer],SMALL(IF(ISNUMBER(MATCH(orderHistory[order_type],$D$13,0)),MATCH(ROW(orderHistory[customer]),ROW(orderHistory[customer])),""),ROWS($A$15:A42)+$B$3)),INDEX(orderHistory[customer],SMALL(IF(ISNUMBER(MATCH(orderHistory[order_type],$D$13,0)*MATCH(YEAR(orderHistory[invoice_date]),$D$15,0)),MATCH(ROW(orderHistory[customer]),ROW(orderHistory[customer])),""),ROWS($A$15:A42)+$B$3)))),IF($D$13="",IF($D$15="",INDEX(orderHistory[customer],SMALL(IF(ISNUMBER(MATCH(orderHistory[status],$D$11,0)),MATCH(ROW(orderHistory[customer]),ROW(orderHistory[customer])),""),ROWS($A$15:A42)+$B$3)),INDEX(orderHistory[customer],SMALL(IF(ISNUMBER(MATCH(orderHistory[status],$D$11,0)*MATCH(YEAR(orderHistory[invoice_date]),$D$15,0)),MATCH(ROW(orderHistory[customer]),ROW(orderHistory[customer])),""),ROWS($A$15:A42)+$B$3))),IF($D$15="",INDEX(orderHistory[customer],SMALL(IF(ISNUMBER(MATCH(orderHistory[status],$D$11,0)*MATCH(orderHistory[order_type],$D$13,0)),MATCH(ROW(orderHistory[customer]),ROW(orderHistory[customer])),""),ROWS($A$15:A42)+$B$3)),INDEX(orderHistory[customer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customer],SMALL(IF(ISNUMBER(MATCH(orderHistory[customer],$D$9,0)),MATCH(ROW(orderHistory[customer]),ROW(orderHistory[customer])),""),ROWS($A$15:A42)+$B$3)),INDEX(orderHistory[customer],SMALL(IF(ISNUMBER(MATCH(orderHistory[customer],$D$9,0)*MATCH(YEAR(orderHistory[invoice_date]),$D$15,0)),MATCH(ROW(orderHistory[customer]),ROW(orderHistory[customer])),""),ROWS($A$15:A42)+$B$3))),IF($D$15="",INDEX(orderHistory[customer],SMALL(IF(ISNUMBER(MATCH(orderHistory[customer],$D$9,0)*MATCH(orderHistory[order_type],$D$13,0)),MATCH(ROW(orderHistory[customer]),ROW(orderHistory[customer])),""),ROWS($A$15:A42)+$B$3)),INDEX(orderHistory[customer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customer],SMALL(IF(ISNUMBER(MATCH(orderHistory[customer],$D$9,0)*MATCH(orderHistory[status],$D$11,0)),MATCH(ROW(orderHistory[customer]),ROW(orderHistory[customer])),""),ROWS($A$15:A42)+$B$3)),INDEX(orderHistory[customer],SMALL(IF(ISNUMBER(MATCH(orderHistory[customer],$D$9,0)*MATCH(orderHistory[status],$D$11,0)*MATCH(YEAR(orderHistory[invoice_date]),$D$15,0)),MATCH(ROW(orderHistory[customer]),ROW(orderHistory[customer])),""),ROWS($A$15:A42)+$B$3))),IF($D$15="",INDEX(orderHistory[customer],SMALL(IF(ISNUMBER(MATCH(orderHistory[customer],$D$9,0)*MATCH(orderHistory[status],$D$11,0)*MATCH(orderHistory[order_type],$D$13,0)),MATCH(ROW(orderHistory[customer]),ROW(orderHistory[customer])),""),ROWS($A$15:A42)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BLUE OCEAN UK</v>
      </c>
      <c r="M37" s="382">
        <f t="array" ref="M37">IFERROR(IF($D$9="",IF($D$11="",IF($D$13="",IF($D$15="",INDEX(orderHistory[order_no],SMALL(MATCH(ROW(orderHistory[customer]),ROW(orderHistory[customer])),ROWS($A$15:A42)+$B$3)),INDEX(orderHistory[order_no],SMALL(IF(ISNUMBER(MATCH(YEAR(orderHistory[invoice_date]),$D$15,0)),MATCH(ROW(orderHistory[customer]),ROW(orderHistory[customer])),""),ROWS($A$15:A42)+$B$3))),IF($D$15="",INDEX(orderHistory[order_no],SMALL(IF(ISNUMBER(MATCH(orderHistory[order_type],$D$13,0)),MATCH(ROW(orderHistory[customer]),ROW(orderHistory[customer])),""),ROWS($A$15:A42)+$B$3)),INDEX(orderHistory[order_no],SMALL(IF(ISNUMBER(MATCH(orderHistory[order_type],$D$13,0)*MATCH(YEAR(orderHistory[invoice_date]),$D$15,0)),MATCH(ROW(orderHistory[customer]),ROW(orderHistory[customer])),""),ROWS($A$15:A42)+$B$3)))),IF($D$13="",IF($D$15="",INDEX(orderHistory[order_no],SMALL(IF(ISNUMBER(MATCH(orderHistory[status],$D$11,0)),MATCH(ROW(orderHistory[customer]),ROW(orderHistory[customer])),""),ROWS($A$15:A42)+$B$3)),INDEX(orderHistory[order_no],SMALL(IF(ISNUMBER(MATCH(orderHistory[status],$D$11,0)*MATCH(YEAR(orderHistory[invoice_date]),$D$15,0)),MATCH(ROW(orderHistory[customer]),ROW(orderHistory[customer])),""),ROWS($A$15:A42)+$B$3))),IF($D$15="",INDEX(orderHistory[order_no],SMALL(IF(ISNUMBER(MATCH(orderHistory[status],$D$11,0)*MATCH(orderHistory[order_type],$D$13,0)),MATCH(ROW(orderHistory[customer]),ROW(orderHistory[customer])),""),ROWS($A$15:A42)+$B$3)),INDEX(orderHistory[order_no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order_no],SMALL(IF(ISNUMBER(MATCH(orderHistory[customer],$D$9,0)),MATCH(ROW(orderHistory[customer]),ROW(orderHistory[customer])),""),ROWS($A$15:A42)+$B$3)),INDEX(orderHistory[order_no],SMALL(IF(ISNUMBER(MATCH(orderHistory[customer],$D$9,0)*MATCH(YEAR(orderHistory[invoice_date]),$D$15,0)),MATCH(ROW(orderHistory[customer]),ROW(orderHistory[customer])),""),ROWS($A$15:A42)+$B$3))),IF($D$15="",INDEX(orderHistory[order_no],SMALL(IF(ISNUMBER(MATCH(orderHistory[customer],$D$9,0)*MATCH(orderHistory[order_type],$D$13,0)),MATCH(ROW(orderHistory[customer]),ROW(orderHistory[customer])),""),ROWS($A$15:A42)+$B$3)),INDEX(orderHistory[order_no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order_no],SMALL(IF(ISNUMBER(MATCH(orderHistory[customer],$D$9,0)*MATCH(orderHistory[status],$D$11,0)),MATCH(ROW(orderHistory[customer]),ROW(orderHistory[customer])),""),ROWS($A$15:A42)+$B$3)),INDEX(orderHistory[order_no],SMALL(IF(ISNUMBER(MATCH(orderHistory[customer],$D$9,0)*MATCH(orderHistory[status],$D$11,0)*MATCH(YEAR(orderHistory[invoice_date]),$D$15,0)),MATCH(ROW(orderHistory[customer]),ROW(orderHistory[customer])),""),ROWS($A$15:A42)+$B$3))),IF($D$15="",INDEX(orderHistory[order_no],SMALL(IF(ISNUMBER(MATCH(orderHistory[customer],$D$9,0)*MATCH(orderHistory[status],$D$11,0)*MATCH(orderHistory[order_type],$D$13,0)),MATCH(ROW(orderHistory[customer]),ROW(orderHistory[customer])),""),ROWS($A$15:A42)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38</v>
      </c>
      <c r="N37" s="383" t="str">
        <f t="array" ref="N37">IFERROR(IF($D$9="",IF($D$11="",IF($D$13="",IF($D$15="",INDEX(orderHistory[order_type],SMALL(MATCH(ROW(orderHistory[customer]),ROW(orderHistory[customer])),ROWS($A$15:A42)+$B$3)),INDEX(orderHistory[order_type],SMALL(IF(ISNUMBER(MATCH(YEAR(orderHistory[invoice_date]),$D$15,0)),MATCH(ROW(orderHistory[customer]),ROW(orderHistory[customer])),""),ROWS($A$15:A42)+$B$3))),IF($D$15="",INDEX(orderHistory[order_type],SMALL(IF(ISNUMBER(MATCH(orderHistory[order_type],$D$13,0)),MATCH(ROW(orderHistory[customer]),ROW(orderHistory[customer])),""),ROWS($A$15:A42)+$B$3)),INDEX(orderHistory[order_type],SMALL(IF(ISNUMBER(MATCH(orderHistory[order_type],$D$13,0)*MATCH(YEAR(orderHistory[invoice_date]),$D$15,0)),MATCH(ROW(orderHistory[customer]),ROW(orderHistory[customer])),""),ROWS($A$15:A42)+$B$3)))),IF($D$13="",IF($D$15="",INDEX(orderHistory[order_type],SMALL(IF(ISNUMBER(MATCH(orderHistory[status],$D$11,0)),MATCH(ROW(orderHistory[customer]),ROW(orderHistory[customer])),""),ROWS($A$15:A42)+$B$3)),INDEX(orderHistory[order_type],SMALL(IF(ISNUMBER(MATCH(orderHistory[status],$D$11,0)*MATCH(YEAR(orderHistory[invoice_date]),$D$15,0)),MATCH(ROW(orderHistory[customer]),ROW(orderHistory[customer])),""),ROWS($A$15:A42)+$B$3))),IF($D$15="",INDEX(orderHistory[order_type],SMALL(IF(ISNUMBER(MATCH(orderHistory[status],$D$11,0)*MATCH(orderHistory[order_type],$D$13,0)),MATCH(ROW(orderHistory[customer]),ROW(orderHistory[customer])),""),ROWS($A$15:A42)+$B$3)),INDEX(orderHistory[order_type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order_type],SMALL(IF(ISNUMBER(MATCH(orderHistory[customer],$D$9,0)),MATCH(ROW(orderHistory[customer]),ROW(orderHistory[customer])),""),ROWS($A$15:A42)+$B$3)),INDEX(orderHistory[order_type],SMALL(IF(ISNUMBER(MATCH(orderHistory[customer],$D$9,0)*MATCH(YEAR(orderHistory[invoice_date]),$D$15,0)),MATCH(ROW(orderHistory[customer]),ROW(orderHistory[customer])),""),ROWS($A$15:A42)+$B$3))),IF($D$15="",INDEX(orderHistory[order_type],SMALL(IF(ISNUMBER(MATCH(orderHistory[customer],$D$9,0)*MATCH(orderHistory[order_type],$D$13,0)),MATCH(ROW(orderHistory[customer]),ROW(orderHistory[customer])),""),ROWS($A$15:A42)+$B$3)),INDEX(orderHistory[order_type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order_type],SMALL(IF(ISNUMBER(MATCH(orderHistory[customer],$D$9,0)*MATCH(orderHistory[status],$D$11,0)),MATCH(ROW(orderHistory[customer]),ROW(orderHistory[customer])),""),ROWS($A$15:A42)+$B$3)),INDEX(orderHistory[order_type],SMALL(IF(ISNUMBER(MATCH(orderHistory[customer],$D$9,0)*MATCH(orderHistory[status],$D$11,0)*MATCH(YEAR(orderHistory[invoice_date]),$D$15,0)),MATCH(ROW(orderHistory[customer]),ROW(orderHistory[customer])),""),ROWS($A$15:A42)+$B$3))),IF($D$15="",INDEX(orderHistory[order_type],SMALL(IF(ISNUMBER(MATCH(orderHistory[customer],$D$9,0)*MATCH(orderHistory[status],$D$11,0)*MATCH(orderHistory[order_type],$D$13,0)),MATCH(ROW(orderHistory[customer]),ROW(orderHistory[customer])),""),ROWS($A$15:A42)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SALE</v>
      </c>
      <c r="O37" s="384">
        <f t="array" ref="O37">IFERROR(IF($D$9="",IF($D$11="",IF($D$13="",IF($D$15="",INDEX(orderHistory[order_date],SMALL(MATCH(ROW(orderHistory[customer]),ROW(orderHistory[customer])),ROWS($A$15:A42)+$B$3)),INDEX(orderHistory[order_date],SMALL(IF(ISNUMBER(MATCH(YEAR(orderHistory[invoice_date]),$D$15,0)),MATCH(ROW(orderHistory[customer]),ROW(orderHistory[customer])),""),ROWS($A$15:A42)+$B$3))),IF($D$15="",INDEX(orderHistory[order_date],SMALL(IF(ISNUMBER(MATCH(orderHistory[order_type],$D$13,0)),MATCH(ROW(orderHistory[customer]),ROW(orderHistory[customer])),""),ROWS($A$15:A42)+$B$3)),INDEX(orderHistory[order_date],SMALL(IF(ISNUMBER(MATCH(orderHistory[order_type],$D$13,0)*MATCH(YEAR(orderHistory[invoice_date]),$D$15,0)),MATCH(ROW(orderHistory[customer]),ROW(orderHistory[customer])),""),ROWS($A$15:A42)+$B$3)))),IF($D$13="",IF($D$15="",INDEX(orderHistory[order_date],SMALL(IF(ISNUMBER(MATCH(orderHistory[status],$D$11,0)),MATCH(ROW(orderHistory[customer]),ROW(orderHistory[customer])),""),ROWS($A$15:A42)+$B$3)),INDEX(orderHistory[order_date],SMALL(IF(ISNUMBER(MATCH(orderHistory[status],$D$11,0)*MATCH(YEAR(orderHistory[invoice_date]),$D$15,0)),MATCH(ROW(orderHistory[customer]),ROW(orderHistory[customer])),""),ROWS($A$15:A42)+$B$3))),IF($D$15="",INDEX(orderHistory[order_date],SMALL(IF(ISNUMBER(MATCH(orderHistory[status],$D$11,0)*MATCH(orderHistory[order_type],$D$13,0)),MATCH(ROW(orderHistory[customer]),ROW(orderHistory[customer])),""),ROWS($A$15:A42)+$B$3)),INDEX(orderHistory[order_date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order_date],SMALL(IF(ISNUMBER(MATCH(orderHistory[customer],$D$9,0)),MATCH(ROW(orderHistory[customer]),ROW(orderHistory[customer])),""),ROWS($A$15:A42)+$B$3)),INDEX(orderHistory[order_date],SMALL(IF(ISNUMBER(MATCH(orderHistory[customer],$D$9,0)*MATCH(YEAR(orderHistory[invoice_date]),$D$15,0)),MATCH(ROW(orderHistory[customer]),ROW(orderHistory[customer])),""),ROWS($A$15:A42)+$B$3))),IF($D$15="",INDEX(orderHistory[order_date],SMALL(IF(ISNUMBER(MATCH(orderHistory[customer],$D$9,0)*MATCH(orderHistory[order_type],$D$13,0)),MATCH(ROW(orderHistory[customer]),ROW(orderHistory[customer])),""),ROWS($A$15:A42)+$B$3)),INDEX(orderHistory[order_date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order_date],SMALL(IF(ISNUMBER(MATCH(orderHistory[customer],$D$9,0)*MATCH(orderHistory[status],$D$11,0)),MATCH(ROW(orderHistory[customer]),ROW(orderHistory[customer])),""),ROWS($A$15:A42)+$B$3)),INDEX(orderHistory[order_date],SMALL(IF(ISNUMBER(MATCH(orderHistory[customer],$D$9,0)*MATCH(orderHistory[status],$D$11,0)*MATCH(YEAR(orderHistory[invoice_date]),$D$15,0)),MATCH(ROW(orderHistory[customer]),ROW(orderHistory[customer])),""),ROWS($A$15:A42)+$B$3))),IF($D$15="",INDEX(orderHistory[order_date],SMALL(IF(ISNUMBER(MATCH(orderHistory[customer],$D$9,0)*MATCH(orderHistory[status],$D$11,0)*MATCH(orderHistory[order_type],$D$13,0)),MATCH(ROW(orderHistory[customer]),ROW(orderHistory[customer])),""),ROWS($A$15:A42)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45411</v>
      </c>
      <c r="P37" s="385" t="str">
        <f t="array" ref="P37">IFERROR(IF($D$9="",IF($D$11="",IF($D$13="",IF($D$15="",INDEX(orderHistory[invoice_no],SMALL(MATCH(ROW(orderHistory[customer]),ROW(orderHistory[customer])),ROWS($A$15:A42)+$B$3)),INDEX(orderHistory[invoice_no],SMALL(IF(ISNUMBER(MATCH(YEAR(orderHistory[invoice_date]),$D$15,0)),MATCH(ROW(orderHistory[customer]),ROW(orderHistory[customer])),""),ROWS($A$15:A42)+$B$3))),IF($D$15="",INDEX(orderHistory[invoice_no],SMALL(IF(ISNUMBER(MATCH(orderHistory[order_type],$D$13,0)),MATCH(ROW(orderHistory[customer]),ROW(orderHistory[customer])),""),ROWS($A$15:A42)+$B$3)),INDEX(orderHistory[invoice_no],SMALL(IF(ISNUMBER(MATCH(orderHistory[order_type],$D$13,0)*MATCH(YEAR(orderHistory[invoice_date]),$D$15,0)),MATCH(ROW(orderHistory[customer]),ROW(orderHistory[customer])),""),ROWS($A$15:A42)+$B$3)))),IF($D$13="",IF($D$15="",INDEX(orderHistory[invoice_no],SMALL(IF(ISNUMBER(MATCH(orderHistory[status],$D$11,0)),MATCH(ROW(orderHistory[customer]),ROW(orderHistory[customer])),""),ROWS($A$15:A42)+$B$3)),INDEX(orderHistory[invoice_no],SMALL(IF(ISNUMBER(MATCH(orderHistory[status],$D$11,0)*MATCH(YEAR(orderHistory[invoice_date]),$D$15,0)),MATCH(ROW(orderHistory[customer]),ROW(orderHistory[customer])),""),ROWS($A$15:A42)+$B$3))),IF($D$15="",INDEX(orderHistory[invoice_no],SMALL(IF(ISNUMBER(MATCH(orderHistory[status],$D$11,0)*MATCH(orderHistory[order_type],$D$13,0)),MATCH(ROW(orderHistory[customer]),ROW(orderHistory[customer])),""),ROWS($A$15:A42)+$B$3)),INDEX(orderHistory[invoice_no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invoice_no],SMALL(IF(ISNUMBER(MATCH(orderHistory[customer],$D$9,0)),MATCH(ROW(orderHistory[customer]),ROW(orderHistory[customer])),""),ROWS($A$15:A42)+$B$3)),INDEX(orderHistory[invoice_no],SMALL(IF(ISNUMBER(MATCH(orderHistory[customer],$D$9,0)*MATCH(YEAR(orderHistory[invoice_date]),$D$15,0)),MATCH(ROW(orderHistory[customer]),ROW(orderHistory[customer])),""),ROWS($A$15:A42)+$B$3))),IF($D$15="",INDEX(orderHistory[invoice_no],SMALL(IF(ISNUMBER(MATCH(orderHistory[customer],$D$9,0)*MATCH(orderHistory[order_type],$D$13,0)),MATCH(ROW(orderHistory[customer]),ROW(orderHistory[customer])),""),ROWS($A$15:A42)+$B$3)),INDEX(orderHistory[invoice_no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invoice_no],SMALL(IF(ISNUMBER(MATCH(orderHistory[customer],$D$9,0)*MATCH(orderHistory[status],$D$11,0)),MATCH(ROW(orderHistory[customer]),ROW(orderHistory[customer])),""),ROWS($A$15:A42)+$B$3)),INDEX(orderHistory[invoice_no],SMALL(IF(ISNUMBER(MATCH(orderHistory[customer],$D$9,0)*MATCH(orderHistory[status],$D$11,0)*MATCH(YEAR(orderHistory[invoice_date]),$D$15,0)),MATCH(ROW(orderHistory[customer]),ROW(orderHistory[customer])),""),ROWS($A$15:A42)+$B$3))),IF($D$15="",INDEX(orderHistory[invoice_no],SMALL(IF(ISNUMBER(MATCH(orderHistory[customer],$D$9,0)*MATCH(orderHistory[status],$D$11,0)*MATCH(orderHistory[order_type],$D$13,0)),MATCH(ROW(orderHistory[customer]),ROW(orderHistory[customer])),""),ROWS($A$15:A42)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173</v>
      </c>
      <c r="Q37" s="386">
        <f t="array" ref="Q37">IFERROR(IF($D$9="",IF($D$11="",IF($D$13="",IF($D$15="",INDEX(orderHistory[invoice_date],SMALL(MATCH(ROW(orderHistory[customer]),ROW(orderHistory[customer])),ROWS($A$15:A42)+$B$3)),INDEX(orderHistory[invoice_date],SMALL(IF(ISNUMBER(MATCH(YEAR(orderHistory[invoice_date]),$D$15,0)),MATCH(ROW(orderHistory[customer]),ROW(orderHistory[customer])),""),ROWS($A$15:A42)+$B$3))),IF($D$15="",INDEX(orderHistory[invoice_date],SMALL(IF(ISNUMBER(MATCH(orderHistory[order_type],$D$13,0)),MATCH(ROW(orderHistory[customer]),ROW(orderHistory[customer])),""),ROWS($A$15:A42)+$B$3)),INDEX(orderHistory[invoice_date],SMALL(IF(ISNUMBER(MATCH(orderHistory[order_type],$D$13,0)*MATCH(YEAR(orderHistory[invoice_date]),$D$15,0)),MATCH(ROW(orderHistory[customer]),ROW(orderHistory[customer])),""),ROWS($A$15:A42)+$B$3)))),IF($D$13="",IF($D$15="",INDEX(orderHistory[invoice_date],SMALL(IF(ISNUMBER(MATCH(orderHistory[status],$D$11,0)),MATCH(ROW(orderHistory[customer]),ROW(orderHistory[customer])),""),ROWS($A$15:A42)+$B$3)),INDEX(orderHistory[invoice_date],SMALL(IF(ISNUMBER(MATCH(orderHistory[status],$D$11,0)*MATCH(YEAR(orderHistory[invoice_date]),$D$15,0)),MATCH(ROW(orderHistory[customer]),ROW(orderHistory[customer])),""),ROWS($A$15:A42)+$B$3))),IF($D$15="",INDEX(orderHistory[invoice_date],SMALL(IF(ISNUMBER(MATCH(orderHistory[status],$D$11,0)*MATCH(orderHistory[order_type],$D$13,0)),MATCH(ROW(orderHistory[customer]),ROW(orderHistory[customer])),""),ROWS($A$15:A42)+$B$3)),INDEX(orderHistory[invoice_date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invoice_date],SMALL(IF(ISNUMBER(MATCH(orderHistory[customer],$D$9,0)),MATCH(ROW(orderHistory[customer]),ROW(orderHistory[customer])),""),ROWS($A$15:A42)+$B$3)),INDEX(orderHistory[invoice_date],SMALL(IF(ISNUMBER(MATCH(orderHistory[customer],$D$9,0)*MATCH(YEAR(orderHistory[invoice_date]),$D$15,0)),MATCH(ROW(orderHistory[customer]),ROW(orderHistory[customer])),""),ROWS($A$15:A42)+$B$3))),IF($D$15="",INDEX(orderHistory[invoice_date],SMALL(IF(ISNUMBER(MATCH(orderHistory[customer],$D$9,0)*MATCH(orderHistory[order_type],$D$13,0)),MATCH(ROW(orderHistory[customer]),ROW(orderHistory[customer])),""),ROWS($A$15:A42)+$B$3)),INDEX(orderHistory[invoice_date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invoice_date],SMALL(IF(ISNUMBER(MATCH(orderHistory[customer],$D$9,0)*MATCH(orderHistory[status],$D$11,0)),MATCH(ROW(orderHistory[customer]),ROW(orderHistory[customer])),""),ROWS($A$15:A42)+$B$3)),INDEX(orderHistory[invoice_date],SMALL(IF(ISNUMBER(MATCH(orderHistory[customer],$D$9,0)*MATCH(orderHistory[status],$D$11,0)*MATCH(YEAR(orderHistory[invoice_date]),$D$15,0)),MATCH(ROW(orderHistory[customer]),ROW(orderHistory[customer])),""),ROWS($A$15:A42)+$B$3))),IF($D$15="",INDEX(orderHistory[invoice_date],SMALL(IF(ISNUMBER(MATCH(orderHistory[customer],$D$9,0)*MATCH(orderHistory[status],$D$11,0)*MATCH(orderHistory[order_type],$D$13,0)),MATCH(ROW(orderHistory[customer]),ROW(orderHistory[customer])),""),ROWS($A$15:A42)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45435</v>
      </c>
      <c r="R37" s="387">
        <f t="array" ref="R37">IFERROR(IF($D$9="",IF($D$11="",IF($D$13="",IF($D$15="",INDEX(orderHistory[inv_amount],SMALL(MATCH(ROW(orderHistory[customer]),ROW(orderHistory[customer])),ROWS($A$15:A42)+$B$3)),INDEX(orderHistory[inv_amount],SMALL(IF(ISNUMBER(MATCH(YEAR(orderHistory[invoice_date]),$D$15,0)),MATCH(ROW(orderHistory[customer]),ROW(orderHistory[customer])),""),ROWS($A$15:A42)+$B$3))),IF($D$15="",INDEX(orderHistory[inv_amount],SMALL(IF(ISNUMBER(MATCH(orderHistory[order_type],$D$13,0)),MATCH(ROW(orderHistory[customer]),ROW(orderHistory[customer])),""),ROWS($A$15:A42)+$B$3)),INDEX(orderHistory[inv_amount],SMALL(IF(ISNUMBER(MATCH(orderHistory[order_type],$D$13,0)*MATCH(YEAR(orderHistory[invoice_date]),$D$15,0)),MATCH(ROW(orderHistory[customer]),ROW(orderHistory[customer])),""),ROWS($A$15:A42)+$B$3)))),IF($D$13="",IF($D$15="",INDEX(orderHistory[inv_amount],SMALL(IF(ISNUMBER(MATCH(orderHistory[status],$D$11,0)),MATCH(ROW(orderHistory[customer]),ROW(orderHistory[customer])),""),ROWS($A$15:A42)+$B$3)),INDEX(orderHistory[inv_amount],SMALL(IF(ISNUMBER(MATCH(orderHistory[status],$D$11,0)*MATCH(YEAR(orderHistory[invoice_date]),$D$15,0)),MATCH(ROW(orderHistory[customer]),ROW(orderHistory[customer])),""),ROWS($A$15:A42)+$B$3))),IF($D$15="",INDEX(orderHistory[inv_amount],SMALL(IF(ISNUMBER(MATCH(orderHistory[status],$D$11,0)*MATCH(orderHistory[order_type],$D$13,0)),MATCH(ROW(orderHistory[customer]),ROW(orderHistory[customer])),""),ROWS($A$15:A42)+$B$3)),INDEX(orderHistory[inv_amount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inv_amount],SMALL(IF(ISNUMBER(MATCH(orderHistory[customer],$D$9,0)),MATCH(ROW(orderHistory[customer]),ROW(orderHistory[customer])),""),ROWS($A$15:A42)+$B$3)),INDEX(orderHistory[inv_amount],SMALL(IF(ISNUMBER(MATCH(orderHistory[customer],$D$9,0)*MATCH(YEAR(orderHistory[invoice_date]),$D$15,0)),MATCH(ROW(orderHistory[customer]),ROW(orderHistory[customer])),""),ROWS($A$15:A42)+$B$3))),IF($D$15="",INDEX(orderHistory[inv_amount],SMALL(IF(ISNUMBER(MATCH(orderHistory[customer],$D$9,0)*MATCH(orderHistory[order_type],$D$13,0)),MATCH(ROW(orderHistory[customer]),ROW(orderHistory[customer])),""),ROWS($A$15:A42)+$B$3)),INDEX(orderHistory[inv_amount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inv_amount],SMALL(IF(ISNUMBER(MATCH(orderHistory[customer],$D$9,0)*MATCH(orderHistory[status],$D$11,0)),MATCH(ROW(orderHistory[customer]),ROW(orderHistory[customer])),""),ROWS($A$15:A42)+$B$3)),INDEX(orderHistory[inv_amount],SMALL(IF(ISNUMBER(MATCH(orderHistory[customer],$D$9,0)*MATCH(orderHistory[status],$D$11,0)*MATCH(YEAR(orderHistory[inv_amount]),$D$15,0)),MATCH(ROW(orderHistory[customer]),ROW(orderHistory[customer])),""),ROWS($A$15:A42)+$B$3))),IF($D$15="",INDEX(orderHistory[inv_amount],SMALL(IF(ISNUMBER(MATCH(orderHistory[customer],$D$9,0)*MATCH(orderHistory[status],$D$11,0)*MATCH(orderHistory[order_type],$D$13,0)),MATCH(ROW(orderHistory[customer]),ROW(orderHistory[customer])),""),ROWS($A$15:A42)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10225.799999999999</v>
      </c>
      <c r="S37" s="465" t="str">
        <f t="array" ref="S37">IFERROR(IF($D$9="",IF($D$11="",IF($D$13="",IF($D$15="",INDEX(orderHistory[lock_goods],SMALL(MATCH(ROW(orderHistory[customer]),ROW(orderHistory[customer])),ROWS($A$15:A42)+$B$3)),INDEX(orderHistory[lock_goods],SMALL(IF(ISNUMBER(MATCH(YEAR(orderHistory[invoice_date]),$D$15,0)),MATCH(ROW(orderHistory[customer]),ROW(orderHistory[customer])),""),ROWS($A$15:A42)+$B$3))),IF($D$15="",INDEX(orderHistory[lock_goods],SMALL(IF(ISNUMBER(MATCH(orderHistory[order_type],$D$13,0)),MATCH(ROW(orderHistory[customer]),ROW(orderHistory[customer])),""),ROWS($A$15:A42)+$B$3)),INDEX(orderHistory[lock_goods],SMALL(IF(ISNUMBER(MATCH(orderHistory[order_type],$D$13,0)*MATCH(YEAR(orderHistory[invoice_date]),$D$15,0)),MATCH(ROW(orderHistory[customer]),ROW(orderHistory[customer])),""),ROWS($A$15:A42)+$B$3)))),IF($D$13="",IF($D$15="",INDEX(orderHistory[lock_goods],SMALL(IF(ISNUMBER(MATCH(orderHistory[status],$D$11,0)),MATCH(ROW(orderHistory[customer]),ROW(orderHistory[customer])),""),ROWS($A$15:A42)+$B$3)),INDEX(orderHistory[lock_goods],SMALL(IF(ISNUMBER(MATCH(orderHistory[status],$D$11,0)*MATCH(YEAR(orderHistory[invoice_date]),$D$15,0)),MATCH(ROW(orderHistory[customer]),ROW(orderHistory[customer])),""),ROWS($A$15:A42)+$B$3))),IF($D$15="",INDEX(orderHistory[lock_goods],SMALL(IF(ISNUMBER(MATCH(orderHistory[status],$D$11,0)*MATCH(orderHistory[order_type],$D$13,0)),MATCH(ROW(orderHistory[customer]),ROW(orderHistory[customer])),""),ROWS($A$15:A42)+$B$3)),INDEX(orderHistory[lock_goods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lock_goods],SMALL(IF(ISNUMBER(MATCH(orderHistory[customer],$D$9,0)),MATCH(ROW(orderHistory[customer]),ROW(orderHistory[customer])),""),ROWS($A$15:A42)+$B$3)),INDEX(orderHistory[lock_goods],SMALL(IF(ISNUMBER(MATCH(orderHistory[customer],$D$9,0)*MATCH(YEAR(orderHistory[invoice_date]),$D$15,0)),MATCH(ROW(orderHistory[customer]),ROW(orderHistory[customer])),""),ROWS($A$15:A42)+$B$3))),IF($D$15="",INDEX(orderHistory[lock_goods],SMALL(IF(ISNUMBER(MATCH(orderHistory[customer],$D$9,0)*MATCH(orderHistory[order_type],$D$13,0)),MATCH(ROW(orderHistory[customer]),ROW(orderHistory[customer])),""),ROWS($A$15:A42)+$B$3)),INDEX(orderHistory[lock_goods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lock_goods],SMALL(IF(ISNUMBER(MATCH(orderHistory[customer],$D$9,0)*MATCH(orderHistory[status],$D$11,0)),MATCH(ROW(orderHistory[customer]),ROW(orderHistory[customer])),""),ROWS($A$15:A42)+$B$3)),INDEX(orderHistory[lock_goods],SMALL(IF(ISNUMBER(MATCH(orderHistory[customer],$D$9,0)*MATCH(orderHistory[status],$D$11,0)*MATCH(YEAR(orderHistory[payed]),$D$15,0)),MATCH(ROW(orderHistory[customer]),ROW(orderHistory[customer])),""),ROWS($A$15:A42)+$B$3))),IF($D$15="",INDEX(orderHistory[lock_goods],SMALL(IF(ISNUMBER(MATCH(orderHistory[customer],$D$9,0)*MATCH(orderHistory[status],$D$11,0)*MATCH(orderHistory[order_type],$D$13,0)),MATCH(ROW(orderHistory[customer]),ROW(orderHistory[customer])),""),ROWS($A$15:A42)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GOODS SENT</v>
      </c>
      <c r="T37" s="388" t="b">
        <f t="array" ref="T37">IFERROR(IF($D$9="",IF($D$11="",IF($D$13="",IF($D$15="",INDEX(orderHistory[payed],SMALL(MATCH(ROW(orderHistory[customer]),ROW(orderHistory[customer])),ROWS($A$15:A42)+$B$3)),INDEX(orderHistory[payed],SMALL(IF(ISNUMBER(MATCH(YEAR(orderHistory[invoice_date]),$D$15,0)),MATCH(ROW(orderHistory[customer]),ROW(orderHistory[customer])),""),ROWS($A$15:A42)+$B$3))),IF($D$15="",INDEX(orderHistory[payed],SMALL(IF(ISNUMBER(MATCH(orderHistory[order_type],$D$13,0)),MATCH(ROW(orderHistory[customer]),ROW(orderHistory[customer])),""),ROWS($A$15:A42)+$B$3)),INDEX(orderHistory[payed],SMALL(IF(ISNUMBER(MATCH(orderHistory[order_type],$D$13,0)*MATCH(YEAR(orderHistory[invoice_date]),$D$15,0)),MATCH(ROW(orderHistory[customer]),ROW(orderHistory[customer])),""),ROWS($A$15:A42)+$B$3)))),IF($D$13="",IF($D$15="",INDEX(orderHistory[payed],SMALL(IF(ISNUMBER(MATCH(orderHistory[status],$D$11,0)),MATCH(ROW(orderHistory[customer]),ROW(orderHistory[customer])),""),ROWS($A$15:A42)+$B$3)),INDEX(orderHistory[payed],SMALL(IF(ISNUMBER(MATCH(orderHistory[status],$D$11,0)*MATCH(YEAR(orderHistory[invoice_date]),$D$15,0)),MATCH(ROW(orderHistory[customer]),ROW(orderHistory[customer])),""),ROWS($A$15:A42)+$B$3))),IF($D$15="",INDEX(orderHistory[payed],SMALL(IF(ISNUMBER(MATCH(orderHistory[status],$D$11,0)*MATCH(orderHistory[order_type],$D$13,0)),MATCH(ROW(orderHistory[customer]),ROW(orderHistory[customer])),""),ROWS($A$15:A42)+$B$3)),INDEX(orderHistory[payed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payed],SMALL(IF(ISNUMBER(MATCH(orderHistory[customer],$D$9,0)),MATCH(ROW(orderHistory[customer]),ROW(orderHistory[customer])),""),ROWS($A$15:A42)+$B$3)),INDEX(orderHistory[payed],SMALL(IF(ISNUMBER(MATCH(orderHistory[customer],$D$9,0)*MATCH(YEAR(orderHistory[invoice_date]),$D$15,0)),MATCH(ROW(orderHistory[customer]),ROW(orderHistory[customer])),""),ROWS($A$15:A42)+$B$3))),IF($D$15="",INDEX(orderHistory[payed],SMALL(IF(ISNUMBER(MATCH(orderHistory[customer],$D$9,0)*MATCH(orderHistory[order_type],$D$13,0)),MATCH(ROW(orderHistory[customer]),ROW(orderHistory[customer])),""),ROWS($A$15:A42)+$B$3)),INDEX(orderHistory[payed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payed],SMALL(IF(ISNUMBER(MATCH(orderHistory[customer],$D$9,0)*MATCH(orderHistory[status],$D$11,0)),MATCH(ROW(orderHistory[customer]),ROW(orderHistory[customer])),""),ROWS($A$15:A42)+$B$3)),INDEX(orderHistory[payed],SMALL(IF(ISNUMBER(MATCH(orderHistory[customer],$D$9,0)*MATCH(orderHistory[status],$D$11,0)*MATCH(YEAR(orderHistory[payed]),$D$15,0)),MATCH(ROW(orderHistory[customer]),ROW(orderHistory[customer])),""),ROWS($A$15:A42)+$B$3))),IF($D$15="",INDEX(orderHistory[payed],SMALL(IF(ISNUMBER(MATCH(orderHistory[customer],$D$9,0)*MATCH(orderHistory[status],$D$11,0)*MATCH(orderHistory[order_type],$D$13,0)),MATCH(ROW(orderHistory[customer]),ROW(orderHistory[customer])),""),ROWS($A$15:A42)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1</v>
      </c>
      <c r="U37" s="383" t="str">
        <f t="array" ref="U37">IFERROR(IF($D$9="",IF($D$11="",IF($D$13="",IF($D$15="",INDEX(orderHistory[shipping_method],SMALL(MATCH(ROW(orderHistory[customer]),ROW(orderHistory[customer])),ROWS($A$15:A42)+$B$3)),INDEX(orderHistory[shipping_method],SMALL(IF(ISNUMBER(MATCH(YEAR(orderHistory[invoice_date]),$D$15,0)),MATCH(ROW(orderHistory[customer]),ROW(orderHistory[customer])),""),ROWS($A$15:A42)+$B$3))),IF($D$15="",INDEX(orderHistory[shipping_method],SMALL(IF(ISNUMBER(MATCH(orderHistory[order_type],$D$13,0)),MATCH(ROW(orderHistory[customer]),ROW(orderHistory[customer])),""),ROWS($A$15:A42)+$B$3)),INDEX(orderHistory[shipping_method],SMALL(IF(ISNUMBER(MATCH(orderHistory[order_type],$D$13,0)*MATCH(YEAR(orderHistory[invoice_date]),$D$15,0)),MATCH(ROW(orderHistory[customer]),ROW(orderHistory[customer])),""),ROWS($A$15:A42)+$B$3)))),IF($D$13="",IF($D$15="",INDEX(orderHistory[shipping_method],SMALL(IF(ISNUMBER(MATCH(orderHistory[status],$D$11,0)),MATCH(ROW(orderHistory[customer]),ROW(orderHistory[customer])),""),ROWS($A$15:A42)+$B$3)),INDEX(orderHistory[shipping_method],SMALL(IF(ISNUMBER(MATCH(orderHistory[status],$D$11,0)*MATCH(YEAR(orderHistory[invoice_date]),$D$15,0)),MATCH(ROW(orderHistory[customer]),ROW(orderHistory[customer])),""),ROWS($A$15:A42)+$B$3))),IF($D$15="",INDEX(orderHistory[shipping_method],SMALL(IF(ISNUMBER(MATCH(orderHistory[status],$D$11,0)*MATCH(orderHistory[order_type],$D$13,0)),MATCH(ROW(orderHistory[customer]),ROW(orderHistory[customer])),""),ROWS($A$15:A42)+$B$3)),INDEX(orderHistory[shipping_method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shipping_method],SMALL(IF(ISNUMBER(MATCH(orderHistory[customer],$D$9,0)),MATCH(ROW(orderHistory[customer]),ROW(orderHistory[customer])),""),ROWS($A$15:A42)+$B$3)),INDEX(orderHistory[shipping_method],SMALL(IF(ISNUMBER(MATCH(orderHistory[customer],$D$9,0)*MATCH(YEAR(orderHistory[invoice_date]),$D$15,0)),MATCH(ROW(orderHistory[customer]),ROW(orderHistory[customer])),""),ROWS($A$15:A42)+$B$3))),IF($D$15="",INDEX(orderHistory[shipping_method],SMALL(IF(ISNUMBER(MATCH(orderHistory[customer],$D$9,0)*MATCH(orderHistory[order_type],$D$13,0)),MATCH(ROW(orderHistory[customer]),ROW(orderHistory[customer])),""),ROWS($A$15:A42)+$B$3)),INDEX(orderHistory[shipping_method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shipping_method],SMALL(IF(ISNUMBER(MATCH(orderHistory[customer],$D$9,0)*MATCH(orderHistory[status],$D$11,0)),MATCH(ROW(orderHistory[customer]),ROW(orderHistory[customer])),""),ROWS($A$15:A42)+$B$3)),INDEX(orderHistory[shipping_method],SMALL(IF(ISNUMBER(MATCH(orderHistory[customer],$D$9,0)*MATCH(orderHistory[status],$D$11,0)*MATCH(YEAR(orderHistory[shipping_method]),$D$15,0)),MATCH(ROW(orderHistory[customer]),ROW(orderHistory[customer])),""),ROWS($A$15:A42)+$B$3))),IF($D$15="",INDEX(orderHistory[shipping_method],SMALL(IF(ISNUMBER(MATCH(orderHistory[customer],$D$9,0)*MATCH(orderHistory[status],$D$11,0)*MATCH(orderHistory[order_type],$D$13,0)),MATCH(ROW(orderHistory[customer]),ROW(orderHistory[customer])),""),ROWS($A$15:A42)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BY ROAD</v>
      </c>
      <c r="V37" s="388" t="str">
        <f t="array" ref="V37">IFERROR(IF($D$9="",IF($D$11="",IF($D$13="",IF($D$15="",INDEX(orderHistory[status],SMALL(MATCH(ROW(orderHistory[customer]),ROW(orderHistory[customer])),ROWS($A$15:A42)+$B$3)),INDEX(orderHistory[status],SMALL(IF(ISNUMBER(MATCH(YEAR(orderHistory[invoice_date]),$D$15,0)),MATCH(ROW(orderHistory[customer]),ROW(orderHistory[customer])),""),ROWS($A$15:A42)+$B$3))),IF($D$15="",INDEX(orderHistory[status],SMALL(IF(ISNUMBER(MATCH(orderHistory[order_type],$D$13,0)),MATCH(ROW(orderHistory[customer]),ROW(orderHistory[customer])),""),ROWS($A$15:A42)+$B$3)),INDEX(orderHistory[status],SMALL(IF(ISNUMBER(MATCH(orderHistory[order_type],$D$13,0)*MATCH(YEAR(orderHistory[invoice_date]),$D$15,0)),MATCH(ROW(orderHistory[customer]),ROW(orderHistory[customer])),""),ROWS($A$15:A42)+$B$3)))),IF($D$13="",IF($D$15="",INDEX(orderHistory[status],SMALL(IF(ISNUMBER(MATCH(orderHistory[status],$D$11,0)),MATCH(ROW(orderHistory[customer]),ROW(orderHistory[customer])),""),ROWS($A$15:A42)+$B$3)),INDEX(orderHistory[status],SMALL(IF(ISNUMBER(MATCH(orderHistory[status],$D$11,0)*MATCH(YEAR(orderHistory[invoice_date]),$D$15,0)),MATCH(ROW(orderHistory[customer]),ROW(orderHistory[customer])),""),ROWS($A$15:A42)+$B$3))),IF($D$15="",INDEX(orderHistory[status],SMALL(IF(ISNUMBER(MATCH(orderHistory[status],$D$11,0)*MATCH(orderHistory[order_type],$D$13,0)),MATCH(ROW(orderHistory[customer]),ROW(orderHistory[customer])),""),ROWS($A$15:A42)+$B$3)),INDEX(orderHistory[status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status],SMALL(IF(ISNUMBER(MATCH(orderHistory[customer],$D$9,0)),MATCH(ROW(orderHistory[customer]),ROW(orderHistory[customer])),""),ROWS($A$15:A42)+$B$3)),INDEX(orderHistory[status],SMALL(IF(ISNUMBER(MATCH(orderHistory[customer],$D$9,0)*MATCH(YEAR(orderHistory[invoice_date]),$D$15,0)),MATCH(ROW(orderHistory[customer]),ROW(orderHistory[customer])),""),ROWS($A$15:A42)+$B$3))),IF($D$15="",INDEX(orderHistory[status],SMALL(IF(ISNUMBER(MATCH(orderHistory[customer],$D$9,0)*MATCH(orderHistory[order_type],$D$13,0)),MATCH(ROW(orderHistory[customer]),ROW(orderHistory[customer])),""),ROWS($A$15:A42)+$B$3)),INDEX(orderHistory[status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status],SMALL(IF(ISNUMBER(MATCH(orderHistory[customer],$D$9,0)*MATCH(orderHistory[status],$D$11,0)),MATCH(ROW(orderHistory[customer]),ROW(orderHistory[customer])),""),ROWS($A$15:A42)+$B$3)),INDEX(orderHistory[status],SMALL(IF(ISNUMBER(MATCH(orderHistory[customer],$D$9,0)*MATCH(orderHistory[status],$D$11,0)*MATCH(YEAR(orderHistory[status]),$D$15,0)),MATCH(ROW(orderHistory[customer]),ROW(orderHistory[customer])),""),ROWS($A$15:A42)+$B$3))),IF($D$15="",INDEX(orderHistory[status],SMALL(IF(ISNUMBER(MATCH(orderHistory[customer],$D$9,0)*MATCH(orderHistory[status],$D$11,0)*MATCH(orderHistory[order_type],$D$13,0)),MATCH(ROW(orderHistory[customer]),ROW(orderHistory[customer])),""),ROWS($A$15:A42)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SHIPPED</v>
      </c>
      <c r="W37" s="547" t="str">
        <f t="array" ref="W37">IFERROR(IF($D$9="",IF($D$11="",IF($D$13="",IF($D$15="",INDEX(orderHistory[custom_docs],SMALL(MATCH(ROW(orderHistory[customer]),ROW(orderHistory[customer])),ROWS($A$15:A42)+$B$3)),INDEX(orderHistory[custom_docs],SMALL(IF(ISNUMBER(MATCH(YEAR(orderHistory[invoice_date]),$D$15,0)),MATCH(ROW(orderHistory[customer]),ROW(orderHistory[customer])),""),ROWS($A$15:A42)+$B$3))),IF($D$15="",INDEX(orderHistory[custom_docs],SMALL(IF(ISNUMBER(MATCH(orderHistory[order_type],$D$13,0)),MATCH(ROW(orderHistory[customer]),ROW(orderHistory[customer])),""),ROWS($A$15:A42)+$B$3)),INDEX(orderHistory[custom_docs],SMALL(IF(ISNUMBER(MATCH(orderHistory[order_type],$D$13,0)*MATCH(YEAR(orderHistory[invoice_date]),$D$15,0)),MATCH(ROW(orderHistory[customer]),ROW(orderHistory[customer])),""),ROWS($A$15:A42)+$B$3)))),IF($D$13="",IF($D$15="",INDEX(orderHistory[custom_docs],SMALL(IF(ISNUMBER(MATCH(orderHistory[status],$D$11,0)),MATCH(ROW(orderHistory[customer]),ROW(orderHistory[customer])),""),ROWS($A$15:A42)+$B$3)),INDEX(orderHistory[custom_docs],SMALL(IF(ISNUMBER(MATCH(orderHistory[status],$D$11,0)*MATCH(YEAR(orderHistory[invoice_date]),$D$15,0)),MATCH(ROW(orderHistory[customer]),ROW(orderHistory[customer])),""),ROWS($A$15:A42)+$B$3))),IF($D$15="",INDEX(orderHistory[custom_docs],SMALL(IF(ISNUMBER(MATCH(orderHistory[status],$D$11,0)*MATCH(orderHistory[order_type],$D$13,0)),MATCH(ROW(orderHistory[customer]),ROW(orderHistory[customer])),""),ROWS($A$15:A42)+$B$3)),INDEX(orderHistory[custom_docs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custom_docs],SMALL(IF(ISNUMBER(MATCH(orderHistory[customer],$D$9,0)),MATCH(ROW(orderHistory[customer]),ROW(orderHistory[customer])),""),ROWS($A$15:A42)+$B$3)),INDEX(orderHistory[custom_docs],SMALL(IF(ISNUMBER(MATCH(orderHistory[customer],$D$9,0)*MATCH(YEAR(orderHistory[invoice_date]),$D$15,0)),MATCH(ROW(orderHistory[customer]),ROW(orderHistory[customer])),""),ROWS($A$15:A42)+$B$3))),IF($D$15="",INDEX(orderHistory[custom_docs],SMALL(IF(ISNUMBER(MATCH(orderHistory[customer],$D$9,0)*MATCH(orderHistory[order_type],$D$13,0)),MATCH(ROW(orderHistory[customer]),ROW(orderHistory[customer])),""),ROWS($A$15:A42)+$B$3)),INDEX(orderHistory[custom_docs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custom_docs],SMALL(IF(ISNUMBER(MATCH(orderHistory[customer],$D$9,0)*MATCH(orderHistory[status],$D$11,0)),MATCH(ROW(orderHistory[customer]),ROW(orderHistory[customer])),""),ROWS($A$15:A42)+$B$3)),INDEX(orderHistory[custom_docs],SMALL(IF(ISNUMBER(MATCH(orderHistory[customer],$D$9,0)*MATCH(orderHistory[status],$D$11,0)*MATCH(YEAR(orderHistory[status]),$D$15,0)),MATCH(ROW(orderHistory[customer]),ROW(orderHistory[customer])),""),ROWS($A$15:A42)+$B$3))),IF($D$15="",INDEX(orderHistory[custom_docs],SMALL(IF(ISNUMBER(MATCH(orderHistory[customer],$D$9,0)*MATCH(orderHistory[status],$D$11,0)*MATCH(orderHistory[order_type],$D$13,0)),MATCH(ROW(orderHistory[customer]),ROW(orderHistory[customer])),""),ROWS($A$15:A42)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OK</v>
      </c>
      <c r="AQ37" s="337"/>
      <c r="AR37" s="351"/>
      <c r="AU37" s="271"/>
      <c r="AW37" s="306"/>
      <c r="BJ37" s="271"/>
      <c r="BK37" s="296"/>
      <c r="BL37" s="297"/>
      <c r="BM37" s="298"/>
      <c r="BN37" s="297"/>
      <c r="BO37" s="298"/>
      <c r="BZ37" s="487"/>
      <c r="CA37" s="401" t="str">
        <f>IFERROR(IF(BZ37="","",INDEX(bhpc_data[description],MATCH(BZ37,bhpc_data[sku],0))),"")</f>
        <v/>
      </c>
      <c r="CB37" s="403"/>
      <c r="CC37" s="888"/>
      <c r="CD37" s="411"/>
      <c r="CE37" s="890"/>
      <c r="CF37" s="404"/>
      <c r="CG37" s="405" t="str">
        <f>IFERROR(ROUNDUP(CB37/INDEX(bhpc_data[units_per_carton],MATCH(BZ37,bhpc_data[sku],0)),0),"")</f>
        <v/>
      </c>
      <c r="CH37" s="406" t="str">
        <f>IFERROR(ROUNDUP(CD37/INDEX(bhpc_data[units_per_carton],MATCH(BZ37,bhpc_data[sku],0)),0),"")</f>
        <v/>
      </c>
      <c r="CI37" s="406" t="str">
        <f>IFERROR(ROUNDUP(CF37/INDEX(bhpc_data[units_per_carton],MATCH(BZ37,bhpc_data[sku])),0),"")</f>
        <v/>
      </c>
      <c r="CJ37" s="406" t="str">
        <f>IFERROR(((CB37+CD37+CF37)/INDEX(bhpc_data[units_per_carton],MATCH(BZ37,bhpc_data[sku],0)))*INDEX(bhpc_data[net_weight],MATCH(BZ37,bhpc_data[sku],0)),"")</f>
        <v/>
      </c>
      <c r="CK37" s="406" t="str">
        <f>IFERROR(((CB37+CD37+CF37)/INDEX(bhpc_data[units_per_carton],MATCH(BZ37,bhpc_data[sku],0)))*INDEX(bhpc_data[gross_weight],MATCH(BZ37,bhpc_data[sku],0)),"")</f>
        <v/>
      </c>
      <c r="CL37" s="602" t="str">
        <f>IFERROR((CB37+CD37+CF37)/INDEX(bhpc_data[units_per_carton],MATCH(BZ37,bhpc_data[sku],0))*INDEX(bhpc_data[length],MATCH(BZ37,bhpc_data[sku],0))*INDEX(bhpc_data[width],MATCH(BZ37,bhpc_data[sku],0))*INDEX(bhpc_data[height],MATCH(BZ37,bhpc_data[sku],0))/1000000000,"")</f>
        <v/>
      </c>
      <c r="CM37" s="407" t="str">
        <f>IFERROR(INDEX(bhpc_data[category],MATCH(BZ37,bhpc_data[sku],0)),"")</f>
        <v/>
      </c>
      <c r="CN37" s="407" t="str">
        <f>IFERROR(INDEX(bhpc_data[size],MATCH(BZ37,bhpc_data[sku],0)),"")</f>
        <v/>
      </c>
      <c r="CO37" s="408" t="str">
        <f>IFERROR(INDEX(bhpc_data[hs_code],MATCH(BZ37,bhpc_data[sku],0)),"")</f>
        <v/>
      </c>
      <c r="CP37" s="489" t="str">
        <f>IFERROR(INDEX(bhpc_data[sku_geko],MATCH(BZ37,bhpc_data[sku],0)),"")</f>
        <v/>
      </c>
      <c r="CQ37" s="404"/>
      <c r="CR37" s="517" t="str">
        <f>IFERROR(IF(BZ37="","",IF($BX$15="SALE",INDEX(inventory[COSTO UNITARIO],MATCH(BZ37,inventory[SKU],0)),IF($BX$15="SAMPLING",INDEX(inventory[COSTO UNITARIO],MATCH(BZ37,inventory[SKU],0)),""))),"")</f>
        <v/>
      </c>
      <c r="CS37" s="517" t="str">
        <f t="shared" si="5"/>
        <v/>
      </c>
      <c r="CT37" s="896" t="str">
        <f t="shared" si="6"/>
        <v/>
      </c>
      <c r="CU37" s="469" t="str">
        <f t="shared" si="0"/>
        <v/>
      </c>
      <c r="CV37" s="351"/>
      <c r="CY37" s="368"/>
      <c r="CZ37" s="368"/>
      <c r="DH37" s="215"/>
      <c r="EE37" s="439" t="str" cm="1">
        <f t="array" ref="EE37">IFERROR(IF($EC$9="",IF($EC$11="",IF($EC$13="",INDEX(bhpc_data[sku],SMALL(MATCH(ROW(bhpc_data[sku]),ROW(bhpc_data[sku])),ROWS($A$15:A42)+$B$3)),INDEX(bhpc_data[sku],SMALL(IF(ISNUMBER(MATCH(bhpc_data[size],$EC$13,0)),MATCH(ROW(bhpc_data[sku]),ROW(bhpc_data[sku])),""),ROWS($A$15:A42)+$B$3))),IF($EC$13="",INDEX(bhpc_data[sku],SMALL(IF(ISNUMBER(MATCH(bhpc_data[sex],$EC$11,0)),MATCH(ROW(bhpc_data[sku]),ROW(bhpc_data[sku])),""),ROWS($A$15:A42)+$B$3)),INDEX(bhpc_data[sku],SMALL(IF(ISNUMBER(MATCH(bhpc_data[sex],$EC$11,0)*MATCH(bhpc_data[size],$EC$13,0)),MATCH(ROW(bhpc_data[sku]),ROW(bhpc_data[sku])),""),ROWS($A$15:A42)+$B$3)))),IF($EC$11="",IF($EC$13="",INDEX(bhpc_data[sku],SMALL(IF(ISNUMBER(MATCH(bhpc_data[category],$EC$9,0)),MATCH(ROW(bhpc_data[sku]),ROW(bhpc_data[sku])),""),ROWS($A$15:A42)+$B$3)),INDEX(bhpc_data[sku],SMALL(IF(ISNUMBER(MATCH(bhpc_data[category],$EC$9,0)*MATCH(bhpc_data[size],$EC$13,0)),MATCH(ROW(bhpc_data[sku]),ROW(bhpc_data[sku])),""),ROWS($A$15:A42)+$B$3))),IF($EC$13="",INDEX(bhpc_data[sku],SMALL(IF(ISNUMBER(MATCH(bhpc_data[category],$EC$9,0)*MATCH(bhpc_data[sex],$EC$11,0)),MATCH(ROW(bhpc_data[sku]),ROW(bhpc_data[sku])),""),ROWS($A$15:A42)+$B$3)),INDEX(bhpc_data[sku],SMALL(IF(ISNUMBER(MATCH(bhpc_data[category],$EC$9,0)*MATCH(bhpc_data[sex],$EC$11,0)*MATCH(bhpc_data[size],$EC$13,0)),MATCH(ROW(bhpc_data[sku]),ROW(bhpc_data[sku])),""),ROWS($A$15:A42)+$B$3))))),"")</f>
        <v>P06002</v>
      </c>
      <c r="EF37" s="440" t="str" cm="1">
        <f t="array" ref="EF37">IFERROR(IF($EC$9="",IF($EC$11="",IF($EC$13="",INDEX(bhpc_data[description],SMALL(MATCH(ROW(bhpc_data[sku]),ROW(bhpc_data[sku])),ROWS($A$15:A42)+$B$3)),INDEX(bhpc_data[description],SMALL(IF(ISNUMBER(MATCH(bhpc_data[size],$EC$13,0)),MATCH(ROW(bhpc_data[sku]),ROW(bhpc_data[sku])),""),ROWS($A$15:A42)+$B$3))),IF($EC$13="",INDEX(bhpc_data[description],SMALL(IF(ISNUMBER(MATCH(bhpc_data[sex],$EC$11,0)),MATCH(ROW(bhpc_data[sku]),ROW(bhpc_data[sku])),""),ROWS($A$15:A42)+$B$3)),INDEX(bhpc_data[description],SMALL(IF(ISNUMBER(MATCH(bhpc_data[sex],$EC$11,0)*MATCH(bhpc_data[size],$EC$13,0)),MATCH(ROW(bhpc_data[sku]),ROW(bhpc_data[sku])),""),ROWS($A$15:A42)+$B$3)))),IF($EC$11="",IF($EC$13="",INDEX(bhpc_data[description],SMALL(IF(ISNUMBER(MATCH(bhpc_data[category],$EC$9,0)),MATCH(ROW(bhpc_data[sku]),ROW(bhpc_data[sku])),""),ROWS($A$15:A42)+$B$3)),INDEX(bhpc_data[description],SMALL(IF(ISNUMBER(MATCH(bhpc_data[category],$EC$9,0)*MATCH(bhpc_data[size],$EC$13,0)),MATCH(ROW(bhpc_data[sku]),ROW(bhpc_data[sku])),""),ROWS($A$15:A42)+$B$3))),IF($EC$13="",INDEX(bhpc_data[description],SMALL(IF(ISNUMBER(MATCH(bhpc_data[category],$EC$9,0)*MATCH(bhpc_data[sex],$EC$11,0)),MATCH(ROW(bhpc_data[sku]),ROW(bhpc_data[sku])),""),ROWS($A$15:A42)+$B$3)),INDEX(bhpc_data[description],SMALL(IF(ISNUMBER(MATCH(bhpc_data[category],$EC$9,0)*MATCH(bhpc_data[sex],$EC$11,0)*MATCH(bhpc_data[size],$EC$13,0)),MATCH(ROW(bhpc_data[sku]),ROW(bhpc_data[sku])),""),ROWS($A$15:A42)+$B$3))))),"")</f>
        <v>BHPC PRESTIGE TOUR 100ML EDP MEN</v>
      </c>
      <c r="EG37" s="441">
        <f>IFERROR(IF('BHPC MANAGER'!$EE37="","",INDEX(inventory[ESISTENZA],MATCH('BHPC MANAGER'!$EE37,inventory[SKU],0))),0)</f>
        <v>0</v>
      </c>
      <c r="EH37" s="442">
        <v>0</v>
      </c>
      <c r="EI37" s="442">
        <f t="shared" si="1"/>
        <v>0</v>
      </c>
      <c r="EJ37" s="443">
        <v>0</v>
      </c>
      <c r="EK37" s="444">
        <f t="shared" si="2"/>
        <v>0</v>
      </c>
      <c r="FF37" s="263"/>
      <c r="FG37" s="263"/>
      <c r="FH37" s="263"/>
      <c r="FI37" s="263"/>
      <c r="FJ37" s="263"/>
      <c r="FK37" s="263"/>
      <c r="FL37" s="263"/>
      <c r="FM37" s="263"/>
      <c r="FN37" s="263"/>
      <c r="FO37" s="263"/>
      <c r="FP37" s="263"/>
      <c r="FQ37" s="263"/>
      <c r="FR37" s="263"/>
      <c r="FS37" s="263"/>
      <c r="FT37" s="263"/>
      <c r="FU37" s="263"/>
      <c r="FV37" s="263"/>
      <c r="FW37" s="263"/>
      <c r="FX37" s="263"/>
      <c r="FY37" s="263"/>
      <c r="FZ37" s="263"/>
      <c r="GA37" s="263"/>
      <c r="GB37" s="263"/>
      <c r="GC37" s="263"/>
      <c r="GD37" s="263"/>
      <c r="GE37" s="263"/>
      <c r="GF37" s="263"/>
      <c r="GG37" s="263"/>
      <c r="GH37" s="263"/>
      <c r="GI37" s="263"/>
      <c r="GJ37" s="263"/>
      <c r="GK37" s="263"/>
      <c r="GL37" s="263"/>
      <c r="GM37" s="263"/>
      <c r="GN37" s="263"/>
      <c r="GO37" s="263"/>
      <c r="GP37" s="263"/>
      <c r="GQ37" s="263"/>
      <c r="GR37" s="263"/>
      <c r="GS37" s="263"/>
      <c r="GT37" s="263"/>
      <c r="GU37" s="263"/>
      <c r="GV37" s="263"/>
      <c r="GW37" s="263"/>
      <c r="GX37" s="263"/>
      <c r="GY37" s="263"/>
      <c r="GZ37" s="263"/>
      <c r="HA37" s="263"/>
      <c r="HB37" s="263"/>
      <c r="HC37" s="263"/>
      <c r="HD37" s="263"/>
      <c r="HE37" s="263"/>
      <c r="HF37" s="263"/>
      <c r="HG37" s="263"/>
      <c r="HH37" s="263"/>
      <c r="HI37" s="263"/>
      <c r="HJ37" s="263"/>
      <c r="HK37" s="263"/>
      <c r="HL37" s="263"/>
      <c r="HM37" s="263"/>
      <c r="HN37" s="263"/>
      <c r="HO37" s="263"/>
      <c r="HP37" s="263"/>
      <c r="HQ37" s="263"/>
      <c r="HR37" s="263"/>
      <c r="HS37" s="263"/>
      <c r="HT37" s="263"/>
    </row>
    <row r="38" spans="6:228" ht="15" customHeight="1" x14ac:dyDescent="0.35">
      <c r="F38" s="91"/>
      <c r="G38" s="803"/>
      <c r="H38" s="804"/>
      <c r="I38" s="805"/>
      <c r="J38" s="77"/>
      <c r="L38" s="381" t="str">
        <f t="array" ref="L38">IFERROR(IF($D$9="",IF($D$11="",IF($D$13="",IF($D$15="",INDEX(orderHistory[customer],SMALL(MATCH(ROW(orderHistory[customer]),ROW(orderHistory[customer])),ROWS($A$15:A43)+$B$3)),INDEX(orderHistory[customer],SMALL(IF(ISNUMBER(MATCH(YEAR(orderHistory[invoice_date]),$D$15,0)),MATCH(ROW(orderHistory[customer]),ROW(orderHistory[customer])),""),ROWS($A$15:A43)+$B$3))),IF($D$15="",INDEX(orderHistory[customer],SMALL(IF(ISNUMBER(MATCH(orderHistory[order_type],$D$13,0)),MATCH(ROW(orderHistory[customer]),ROW(orderHistory[customer])),""),ROWS($A$15:A43)+$B$3)),INDEX(orderHistory[customer],SMALL(IF(ISNUMBER(MATCH(orderHistory[order_type],$D$13,0)*MATCH(YEAR(orderHistory[invoice_date]),$D$15,0)),MATCH(ROW(orderHistory[customer]),ROW(orderHistory[customer])),""),ROWS($A$15:A43)+$B$3)))),IF($D$13="",IF($D$15="",INDEX(orderHistory[customer],SMALL(IF(ISNUMBER(MATCH(orderHistory[status],$D$11,0)),MATCH(ROW(orderHistory[customer]),ROW(orderHistory[customer])),""),ROWS($A$15:A43)+$B$3)),INDEX(orderHistory[customer],SMALL(IF(ISNUMBER(MATCH(orderHistory[status],$D$11,0)*MATCH(YEAR(orderHistory[invoice_date]),$D$15,0)),MATCH(ROW(orderHistory[customer]),ROW(orderHistory[customer])),""),ROWS($A$15:A43)+$B$3))),IF($D$15="",INDEX(orderHistory[customer],SMALL(IF(ISNUMBER(MATCH(orderHistory[status],$D$11,0)*MATCH(orderHistory[order_type],$D$13,0)),MATCH(ROW(orderHistory[customer]),ROW(orderHistory[customer])),""),ROWS($A$15:A43)+$B$3)),INDEX(orderHistory[customer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customer],SMALL(IF(ISNUMBER(MATCH(orderHistory[customer],$D$9,0)),MATCH(ROW(orderHistory[customer]),ROW(orderHistory[customer])),""),ROWS($A$15:A43)+$B$3)),INDEX(orderHistory[customer],SMALL(IF(ISNUMBER(MATCH(orderHistory[customer],$D$9,0)*MATCH(YEAR(orderHistory[invoice_date]),$D$15,0)),MATCH(ROW(orderHistory[customer]),ROW(orderHistory[customer])),""),ROWS($A$15:A43)+$B$3))),IF($D$15="",INDEX(orderHistory[customer],SMALL(IF(ISNUMBER(MATCH(orderHistory[customer],$D$9,0)*MATCH(orderHistory[order_type],$D$13,0)),MATCH(ROW(orderHistory[customer]),ROW(orderHistory[customer])),""),ROWS($A$15:A43)+$B$3)),INDEX(orderHistory[customer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customer],SMALL(IF(ISNUMBER(MATCH(orderHistory[customer],$D$9,0)*MATCH(orderHistory[status],$D$11,0)),MATCH(ROW(orderHistory[customer]),ROW(orderHistory[customer])),""),ROWS($A$15:A43)+$B$3)),INDEX(orderHistory[customer],SMALL(IF(ISNUMBER(MATCH(orderHistory[customer],$D$9,0)*MATCH(orderHistory[status],$D$11,0)*MATCH(YEAR(orderHistory[invoice_date]),$D$15,0)),MATCH(ROW(orderHistory[customer]),ROW(orderHistory[customer])),""),ROWS($A$15:A43)+$B$3))),IF($D$15="",INDEX(orderHistory[customer],SMALL(IF(ISNUMBER(MATCH(orderHistory[customer],$D$9,0)*MATCH(orderHistory[status],$D$11,0)*MATCH(orderHistory[order_type],$D$13,0)),MATCH(ROW(orderHistory[customer]),ROW(orderHistory[customer])),""),ROWS($A$15:A43)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BLUE OCEAN UK</v>
      </c>
      <c r="M38" s="382">
        <f t="array" ref="M38">IFERROR(IF($D$9="",IF($D$11="",IF($D$13="",IF($D$15="",INDEX(orderHistory[order_no],SMALL(MATCH(ROW(orderHistory[customer]),ROW(orderHistory[customer])),ROWS($A$15:A43)+$B$3)),INDEX(orderHistory[order_no],SMALL(IF(ISNUMBER(MATCH(YEAR(orderHistory[invoice_date]),$D$15,0)),MATCH(ROW(orderHistory[customer]),ROW(orderHistory[customer])),""),ROWS($A$15:A43)+$B$3))),IF($D$15="",INDEX(orderHistory[order_no],SMALL(IF(ISNUMBER(MATCH(orderHistory[order_type],$D$13,0)),MATCH(ROW(orderHistory[customer]),ROW(orderHistory[customer])),""),ROWS($A$15:A43)+$B$3)),INDEX(orderHistory[order_no],SMALL(IF(ISNUMBER(MATCH(orderHistory[order_type],$D$13,0)*MATCH(YEAR(orderHistory[invoice_date]),$D$15,0)),MATCH(ROW(orderHistory[customer]),ROW(orderHistory[customer])),""),ROWS($A$15:A43)+$B$3)))),IF($D$13="",IF($D$15="",INDEX(orderHistory[order_no],SMALL(IF(ISNUMBER(MATCH(orderHistory[status],$D$11,0)),MATCH(ROW(orderHistory[customer]),ROW(orderHistory[customer])),""),ROWS($A$15:A43)+$B$3)),INDEX(orderHistory[order_no],SMALL(IF(ISNUMBER(MATCH(orderHistory[status],$D$11,0)*MATCH(YEAR(orderHistory[invoice_date]),$D$15,0)),MATCH(ROW(orderHistory[customer]),ROW(orderHistory[customer])),""),ROWS($A$15:A43)+$B$3))),IF($D$15="",INDEX(orderHistory[order_no],SMALL(IF(ISNUMBER(MATCH(orderHistory[status],$D$11,0)*MATCH(orderHistory[order_type],$D$13,0)),MATCH(ROW(orderHistory[customer]),ROW(orderHistory[customer])),""),ROWS($A$15:A43)+$B$3)),INDEX(orderHistory[order_no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order_no],SMALL(IF(ISNUMBER(MATCH(orderHistory[customer],$D$9,0)),MATCH(ROW(orderHistory[customer]),ROW(orderHistory[customer])),""),ROWS($A$15:A43)+$B$3)),INDEX(orderHistory[order_no],SMALL(IF(ISNUMBER(MATCH(orderHistory[customer],$D$9,0)*MATCH(YEAR(orderHistory[invoice_date]),$D$15,0)),MATCH(ROW(orderHistory[customer]),ROW(orderHistory[customer])),""),ROWS($A$15:A43)+$B$3))),IF($D$15="",INDEX(orderHistory[order_no],SMALL(IF(ISNUMBER(MATCH(orderHistory[customer],$D$9,0)*MATCH(orderHistory[order_type],$D$13,0)),MATCH(ROW(orderHistory[customer]),ROW(orderHistory[customer])),""),ROWS($A$15:A43)+$B$3)),INDEX(orderHistory[order_no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order_no],SMALL(IF(ISNUMBER(MATCH(orderHistory[customer],$D$9,0)*MATCH(orderHistory[status],$D$11,0)),MATCH(ROW(orderHistory[customer]),ROW(orderHistory[customer])),""),ROWS($A$15:A43)+$B$3)),INDEX(orderHistory[order_no],SMALL(IF(ISNUMBER(MATCH(orderHistory[customer],$D$9,0)*MATCH(orderHistory[status],$D$11,0)*MATCH(YEAR(orderHistory[invoice_date]),$D$15,0)),MATCH(ROW(orderHistory[customer]),ROW(orderHistory[customer])),""),ROWS($A$15:A43)+$B$3))),IF($D$15="",INDEX(orderHistory[order_no],SMALL(IF(ISNUMBER(MATCH(orderHistory[customer],$D$9,0)*MATCH(orderHistory[status],$D$11,0)*MATCH(orderHistory[order_type],$D$13,0)),MATCH(ROW(orderHistory[customer]),ROW(orderHistory[customer])),""),ROWS($A$15:A43)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41</v>
      </c>
      <c r="N38" s="383" t="str">
        <f t="array" ref="N38">IFERROR(IF($D$9="",IF($D$11="",IF($D$13="",IF($D$15="",INDEX(orderHistory[order_type],SMALL(MATCH(ROW(orderHistory[customer]),ROW(orderHistory[customer])),ROWS($A$15:A43)+$B$3)),INDEX(orderHistory[order_type],SMALL(IF(ISNUMBER(MATCH(YEAR(orderHistory[invoice_date]),$D$15,0)),MATCH(ROW(orderHistory[customer]),ROW(orderHistory[customer])),""),ROWS($A$15:A43)+$B$3))),IF($D$15="",INDEX(orderHistory[order_type],SMALL(IF(ISNUMBER(MATCH(orderHistory[order_type],$D$13,0)),MATCH(ROW(orderHistory[customer]),ROW(orderHistory[customer])),""),ROWS($A$15:A43)+$B$3)),INDEX(orderHistory[order_type],SMALL(IF(ISNUMBER(MATCH(orderHistory[order_type],$D$13,0)*MATCH(YEAR(orderHistory[invoice_date]),$D$15,0)),MATCH(ROW(orderHistory[customer]),ROW(orderHistory[customer])),""),ROWS($A$15:A43)+$B$3)))),IF($D$13="",IF($D$15="",INDEX(orderHistory[order_type],SMALL(IF(ISNUMBER(MATCH(orderHistory[status],$D$11,0)),MATCH(ROW(orderHistory[customer]),ROW(orderHistory[customer])),""),ROWS($A$15:A43)+$B$3)),INDEX(orderHistory[order_type],SMALL(IF(ISNUMBER(MATCH(orderHistory[status],$D$11,0)*MATCH(YEAR(orderHistory[invoice_date]),$D$15,0)),MATCH(ROW(orderHistory[customer]),ROW(orderHistory[customer])),""),ROWS($A$15:A43)+$B$3))),IF($D$15="",INDEX(orderHistory[order_type],SMALL(IF(ISNUMBER(MATCH(orderHistory[status],$D$11,0)*MATCH(orderHistory[order_type],$D$13,0)),MATCH(ROW(orderHistory[customer]),ROW(orderHistory[customer])),""),ROWS($A$15:A43)+$B$3)),INDEX(orderHistory[order_type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order_type],SMALL(IF(ISNUMBER(MATCH(orderHistory[customer],$D$9,0)),MATCH(ROW(orderHistory[customer]),ROW(orderHistory[customer])),""),ROWS($A$15:A43)+$B$3)),INDEX(orderHistory[order_type],SMALL(IF(ISNUMBER(MATCH(orderHistory[customer],$D$9,0)*MATCH(YEAR(orderHistory[invoice_date]),$D$15,0)),MATCH(ROW(orderHistory[customer]),ROW(orderHistory[customer])),""),ROWS($A$15:A43)+$B$3))),IF($D$15="",INDEX(orderHistory[order_type],SMALL(IF(ISNUMBER(MATCH(orderHistory[customer],$D$9,0)*MATCH(orderHistory[order_type],$D$13,0)),MATCH(ROW(orderHistory[customer]),ROW(orderHistory[customer])),""),ROWS($A$15:A43)+$B$3)),INDEX(orderHistory[order_type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order_type],SMALL(IF(ISNUMBER(MATCH(orderHistory[customer],$D$9,0)*MATCH(orderHistory[status],$D$11,0)),MATCH(ROW(orderHistory[customer]),ROW(orderHistory[customer])),""),ROWS($A$15:A43)+$B$3)),INDEX(orderHistory[order_type],SMALL(IF(ISNUMBER(MATCH(orderHistory[customer],$D$9,0)*MATCH(orderHistory[status],$D$11,0)*MATCH(YEAR(orderHistory[invoice_date]),$D$15,0)),MATCH(ROW(orderHistory[customer]),ROW(orderHistory[customer])),""),ROWS($A$15:A43)+$B$3))),IF($D$15="",INDEX(orderHistory[order_type],SMALL(IF(ISNUMBER(MATCH(orderHistory[customer],$D$9,0)*MATCH(orderHistory[status],$D$11,0)*MATCH(orderHistory[order_type],$D$13,0)),MATCH(ROW(orderHistory[customer]),ROW(orderHistory[customer])),""),ROWS($A$15:A43)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SALE</v>
      </c>
      <c r="O38" s="384">
        <f t="array" ref="O38">IFERROR(IF($D$9="",IF($D$11="",IF($D$13="",IF($D$15="",INDEX(orderHistory[order_date],SMALL(MATCH(ROW(orderHistory[customer]),ROW(orderHistory[customer])),ROWS($A$15:A43)+$B$3)),INDEX(orderHistory[order_date],SMALL(IF(ISNUMBER(MATCH(YEAR(orderHistory[invoice_date]),$D$15,0)),MATCH(ROW(orderHistory[customer]),ROW(orderHistory[customer])),""),ROWS($A$15:A43)+$B$3))),IF($D$15="",INDEX(orderHistory[order_date],SMALL(IF(ISNUMBER(MATCH(orderHistory[order_type],$D$13,0)),MATCH(ROW(orderHistory[customer]),ROW(orderHistory[customer])),""),ROWS($A$15:A43)+$B$3)),INDEX(orderHistory[order_date],SMALL(IF(ISNUMBER(MATCH(orderHistory[order_type],$D$13,0)*MATCH(YEAR(orderHistory[invoice_date]),$D$15,0)),MATCH(ROW(orderHistory[customer]),ROW(orderHistory[customer])),""),ROWS($A$15:A43)+$B$3)))),IF($D$13="",IF($D$15="",INDEX(orderHistory[order_date],SMALL(IF(ISNUMBER(MATCH(orderHistory[status],$D$11,0)),MATCH(ROW(orderHistory[customer]),ROW(orderHistory[customer])),""),ROWS($A$15:A43)+$B$3)),INDEX(orderHistory[order_date],SMALL(IF(ISNUMBER(MATCH(orderHistory[status],$D$11,0)*MATCH(YEAR(orderHistory[invoice_date]),$D$15,0)),MATCH(ROW(orderHistory[customer]),ROW(orderHistory[customer])),""),ROWS($A$15:A43)+$B$3))),IF($D$15="",INDEX(orderHistory[order_date],SMALL(IF(ISNUMBER(MATCH(orderHistory[status],$D$11,0)*MATCH(orderHistory[order_type],$D$13,0)),MATCH(ROW(orderHistory[customer]),ROW(orderHistory[customer])),""),ROWS($A$15:A43)+$B$3)),INDEX(orderHistory[order_date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order_date],SMALL(IF(ISNUMBER(MATCH(orderHistory[customer],$D$9,0)),MATCH(ROW(orderHistory[customer]),ROW(orderHistory[customer])),""),ROWS($A$15:A43)+$B$3)),INDEX(orderHistory[order_date],SMALL(IF(ISNUMBER(MATCH(orderHistory[customer],$D$9,0)*MATCH(YEAR(orderHistory[invoice_date]),$D$15,0)),MATCH(ROW(orderHistory[customer]),ROW(orderHistory[customer])),""),ROWS($A$15:A43)+$B$3))),IF($D$15="",INDEX(orderHistory[order_date],SMALL(IF(ISNUMBER(MATCH(orderHistory[customer],$D$9,0)*MATCH(orderHistory[order_type],$D$13,0)),MATCH(ROW(orderHistory[customer]),ROW(orderHistory[customer])),""),ROWS($A$15:A43)+$B$3)),INDEX(orderHistory[order_date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order_date],SMALL(IF(ISNUMBER(MATCH(orderHistory[customer],$D$9,0)*MATCH(orderHistory[status],$D$11,0)),MATCH(ROW(orderHistory[customer]),ROW(orderHistory[customer])),""),ROWS($A$15:A43)+$B$3)),INDEX(orderHistory[order_date],SMALL(IF(ISNUMBER(MATCH(orderHistory[customer],$D$9,0)*MATCH(orderHistory[status],$D$11,0)*MATCH(YEAR(orderHistory[invoice_date]),$D$15,0)),MATCH(ROW(orderHistory[customer]),ROW(orderHistory[customer])),""),ROWS($A$15:A43)+$B$3))),IF($D$15="",INDEX(orderHistory[order_date],SMALL(IF(ISNUMBER(MATCH(orderHistory[customer],$D$9,0)*MATCH(orderHistory[status],$D$11,0)*MATCH(orderHistory[order_type],$D$13,0)),MATCH(ROW(orderHistory[customer]),ROW(orderHistory[customer])),""),ROWS($A$15:A43)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45420</v>
      </c>
      <c r="P38" s="385" t="str">
        <f t="array" ref="P38">IFERROR(IF($D$9="",IF($D$11="",IF($D$13="",IF($D$15="",INDEX(orderHistory[invoice_no],SMALL(MATCH(ROW(orderHistory[customer]),ROW(orderHistory[customer])),ROWS($A$15:A43)+$B$3)),INDEX(orderHistory[invoice_no],SMALL(IF(ISNUMBER(MATCH(YEAR(orderHistory[invoice_date]),$D$15,0)),MATCH(ROW(orderHistory[customer]),ROW(orderHistory[customer])),""),ROWS($A$15:A43)+$B$3))),IF($D$15="",INDEX(orderHistory[invoice_no],SMALL(IF(ISNUMBER(MATCH(orderHistory[order_type],$D$13,0)),MATCH(ROW(orderHistory[customer]),ROW(orderHistory[customer])),""),ROWS($A$15:A43)+$B$3)),INDEX(orderHistory[invoice_no],SMALL(IF(ISNUMBER(MATCH(orderHistory[order_type],$D$13,0)*MATCH(YEAR(orderHistory[invoice_date]),$D$15,0)),MATCH(ROW(orderHistory[customer]),ROW(orderHistory[customer])),""),ROWS($A$15:A43)+$B$3)))),IF($D$13="",IF($D$15="",INDEX(orderHistory[invoice_no],SMALL(IF(ISNUMBER(MATCH(orderHistory[status],$D$11,0)),MATCH(ROW(orderHistory[customer]),ROW(orderHistory[customer])),""),ROWS($A$15:A43)+$B$3)),INDEX(orderHistory[invoice_no],SMALL(IF(ISNUMBER(MATCH(orderHistory[status],$D$11,0)*MATCH(YEAR(orderHistory[invoice_date]),$D$15,0)),MATCH(ROW(orderHistory[customer]),ROW(orderHistory[customer])),""),ROWS($A$15:A43)+$B$3))),IF($D$15="",INDEX(orderHistory[invoice_no],SMALL(IF(ISNUMBER(MATCH(orderHistory[status],$D$11,0)*MATCH(orderHistory[order_type],$D$13,0)),MATCH(ROW(orderHistory[customer]),ROW(orderHistory[customer])),""),ROWS($A$15:A43)+$B$3)),INDEX(orderHistory[invoice_no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invoice_no],SMALL(IF(ISNUMBER(MATCH(orderHistory[customer],$D$9,0)),MATCH(ROW(orderHistory[customer]),ROW(orderHistory[customer])),""),ROWS($A$15:A43)+$B$3)),INDEX(orderHistory[invoice_no],SMALL(IF(ISNUMBER(MATCH(orderHistory[customer],$D$9,0)*MATCH(YEAR(orderHistory[invoice_date]),$D$15,0)),MATCH(ROW(orderHistory[customer]),ROW(orderHistory[customer])),""),ROWS($A$15:A43)+$B$3))),IF($D$15="",INDEX(orderHistory[invoice_no],SMALL(IF(ISNUMBER(MATCH(orderHistory[customer],$D$9,0)*MATCH(orderHistory[order_type],$D$13,0)),MATCH(ROW(orderHistory[customer]),ROW(orderHistory[customer])),""),ROWS($A$15:A43)+$B$3)),INDEX(orderHistory[invoice_no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invoice_no],SMALL(IF(ISNUMBER(MATCH(orderHistory[customer],$D$9,0)*MATCH(orderHistory[status],$D$11,0)),MATCH(ROW(orderHistory[customer]),ROW(orderHistory[customer])),""),ROWS($A$15:A43)+$B$3)),INDEX(orderHistory[invoice_no],SMALL(IF(ISNUMBER(MATCH(orderHistory[customer],$D$9,0)*MATCH(orderHistory[status],$D$11,0)*MATCH(YEAR(orderHistory[invoice_date]),$D$15,0)),MATCH(ROW(orderHistory[customer]),ROW(orderHistory[customer])),""),ROWS($A$15:A43)+$B$3))),IF($D$15="",INDEX(orderHistory[invoice_no],SMALL(IF(ISNUMBER(MATCH(orderHistory[customer],$D$9,0)*MATCH(orderHistory[status],$D$11,0)*MATCH(orderHistory[order_type],$D$13,0)),MATCH(ROW(orderHistory[customer]),ROW(orderHistory[customer])),""),ROWS($A$15:A43)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172</v>
      </c>
      <c r="Q38" s="386">
        <f t="array" ref="Q38">IFERROR(IF($D$9="",IF($D$11="",IF($D$13="",IF($D$15="",INDEX(orderHistory[invoice_date],SMALL(MATCH(ROW(orderHistory[customer]),ROW(orderHistory[customer])),ROWS($A$15:A43)+$B$3)),INDEX(orderHistory[invoice_date],SMALL(IF(ISNUMBER(MATCH(YEAR(orderHistory[invoice_date]),$D$15,0)),MATCH(ROW(orderHistory[customer]),ROW(orderHistory[customer])),""),ROWS($A$15:A43)+$B$3))),IF($D$15="",INDEX(orderHistory[invoice_date],SMALL(IF(ISNUMBER(MATCH(orderHistory[order_type],$D$13,0)),MATCH(ROW(orderHistory[customer]),ROW(orderHistory[customer])),""),ROWS($A$15:A43)+$B$3)),INDEX(orderHistory[invoice_date],SMALL(IF(ISNUMBER(MATCH(orderHistory[order_type],$D$13,0)*MATCH(YEAR(orderHistory[invoice_date]),$D$15,0)),MATCH(ROW(orderHistory[customer]),ROW(orderHistory[customer])),""),ROWS($A$15:A43)+$B$3)))),IF($D$13="",IF($D$15="",INDEX(orderHistory[invoice_date],SMALL(IF(ISNUMBER(MATCH(orderHistory[status],$D$11,0)),MATCH(ROW(orderHistory[customer]),ROW(orderHistory[customer])),""),ROWS($A$15:A43)+$B$3)),INDEX(orderHistory[invoice_date],SMALL(IF(ISNUMBER(MATCH(orderHistory[status],$D$11,0)*MATCH(YEAR(orderHistory[invoice_date]),$D$15,0)),MATCH(ROW(orderHistory[customer]),ROW(orderHistory[customer])),""),ROWS($A$15:A43)+$B$3))),IF($D$15="",INDEX(orderHistory[invoice_date],SMALL(IF(ISNUMBER(MATCH(orderHistory[status],$D$11,0)*MATCH(orderHistory[order_type],$D$13,0)),MATCH(ROW(orderHistory[customer]),ROW(orderHistory[customer])),""),ROWS($A$15:A43)+$B$3)),INDEX(orderHistory[invoice_date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invoice_date],SMALL(IF(ISNUMBER(MATCH(orderHistory[customer],$D$9,0)),MATCH(ROW(orderHistory[customer]),ROW(orderHistory[customer])),""),ROWS($A$15:A43)+$B$3)),INDEX(orderHistory[invoice_date],SMALL(IF(ISNUMBER(MATCH(orderHistory[customer],$D$9,0)*MATCH(YEAR(orderHistory[invoice_date]),$D$15,0)),MATCH(ROW(orderHistory[customer]),ROW(orderHistory[customer])),""),ROWS($A$15:A43)+$B$3))),IF($D$15="",INDEX(orderHistory[invoice_date],SMALL(IF(ISNUMBER(MATCH(orderHistory[customer],$D$9,0)*MATCH(orderHistory[order_type],$D$13,0)),MATCH(ROW(orderHistory[customer]),ROW(orderHistory[customer])),""),ROWS($A$15:A43)+$B$3)),INDEX(orderHistory[invoice_date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invoice_date],SMALL(IF(ISNUMBER(MATCH(orderHistory[customer],$D$9,0)*MATCH(orderHistory[status],$D$11,0)),MATCH(ROW(orderHistory[customer]),ROW(orderHistory[customer])),""),ROWS($A$15:A43)+$B$3)),INDEX(orderHistory[invoice_date],SMALL(IF(ISNUMBER(MATCH(orderHistory[customer],$D$9,0)*MATCH(orderHistory[status],$D$11,0)*MATCH(YEAR(orderHistory[invoice_date]),$D$15,0)),MATCH(ROW(orderHistory[customer]),ROW(orderHistory[customer])),""),ROWS($A$15:A43)+$B$3))),IF($D$15="",INDEX(orderHistory[invoice_date],SMALL(IF(ISNUMBER(MATCH(orderHistory[customer],$D$9,0)*MATCH(orderHistory[status],$D$11,0)*MATCH(orderHistory[order_type],$D$13,0)),MATCH(ROW(orderHistory[customer]),ROW(orderHistory[customer])),""),ROWS($A$15:A43)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45435</v>
      </c>
      <c r="R38" s="387">
        <f t="array" ref="R38">IFERROR(IF($D$9="",IF($D$11="",IF($D$13="",IF($D$15="",INDEX(orderHistory[inv_amount],SMALL(MATCH(ROW(orderHistory[customer]),ROW(orderHistory[customer])),ROWS($A$15:A43)+$B$3)),INDEX(orderHistory[inv_amount],SMALL(IF(ISNUMBER(MATCH(YEAR(orderHistory[invoice_date]),$D$15,0)),MATCH(ROW(orderHistory[customer]),ROW(orderHistory[customer])),""),ROWS($A$15:A43)+$B$3))),IF($D$15="",INDEX(orderHistory[inv_amount],SMALL(IF(ISNUMBER(MATCH(orderHistory[order_type],$D$13,0)),MATCH(ROW(orderHistory[customer]),ROW(orderHistory[customer])),""),ROWS($A$15:A43)+$B$3)),INDEX(orderHistory[inv_amount],SMALL(IF(ISNUMBER(MATCH(orderHistory[order_type],$D$13,0)*MATCH(YEAR(orderHistory[invoice_date]),$D$15,0)),MATCH(ROW(orderHistory[customer]),ROW(orderHistory[customer])),""),ROWS($A$15:A43)+$B$3)))),IF($D$13="",IF($D$15="",INDEX(orderHistory[inv_amount],SMALL(IF(ISNUMBER(MATCH(orderHistory[status],$D$11,0)),MATCH(ROW(orderHistory[customer]),ROW(orderHistory[customer])),""),ROWS($A$15:A43)+$B$3)),INDEX(orderHistory[inv_amount],SMALL(IF(ISNUMBER(MATCH(orderHistory[status],$D$11,0)*MATCH(YEAR(orderHistory[invoice_date]),$D$15,0)),MATCH(ROW(orderHistory[customer]),ROW(orderHistory[customer])),""),ROWS($A$15:A43)+$B$3))),IF($D$15="",INDEX(orderHistory[inv_amount],SMALL(IF(ISNUMBER(MATCH(orderHistory[status],$D$11,0)*MATCH(orderHistory[order_type],$D$13,0)),MATCH(ROW(orderHistory[customer]),ROW(orderHistory[customer])),""),ROWS($A$15:A43)+$B$3)),INDEX(orderHistory[inv_amount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inv_amount],SMALL(IF(ISNUMBER(MATCH(orderHistory[customer],$D$9,0)),MATCH(ROW(orderHistory[customer]),ROW(orderHistory[customer])),""),ROWS($A$15:A43)+$B$3)),INDEX(orderHistory[inv_amount],SMALL(IF(ISNUMBER(MATCH(orderHistory[customer],$D$9,0)*MATCH(YEAR(orderHistory[invoice_date]),$D$15,0)),MATCH(ROW(orderHistory[customer]),ROW(orderHistory[customer])),""),ROWS($A$15:A43)+$B$3))),IF($D$15="",INDEX(orderHistory[inv_amount],SMALL(IF(ISNUMBER(MATCH(orderHistory[customer],$D$9,0)*MATCH(orderHistory[order_type],$D$13,0)),MATCH(ROW(orderHistory[customer]),ROW(orderHistory[customer])),""),ROWS($A$15:A43)+$B$3)),INDEX(orderHistory[inv_amount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inv_amount],SMALL(IF(ISNUMBER(MATCH(orderHistory[customer],$D$9,0)*MATCH(orderHistory[status],$D$11,0)),MATCH(ROW(orderHistory[customer]),ROW(orderHistory[customer])),""),ROWS($A$15:A43)+$B$3)),INDEX(orderHistory[inv_amount],SMALL(IF(ISNUMBER(MATCH(orderHistory[customer],$D$9,0)*MATCH(orderHistory[status],$D$11,0)*MATCH(YEAR(orderHistory[inv_amount]),$D$15,0)),MATCH(ROW(orderHistory[customer]),ROW(orderHistory[customer])),""),ROWS($A$15:A43)+$B$3))),IF($D$15="",INDEX(orderHistory[inv_amount],SMALL(IF(ISNUMBER(MATCH(orderHistory[customer],$D$9,0)*MATCH(orderHistory[status],$D$11,0)*MATCH(orderHistory[order_type],$D$13,0)),MATCH(ROW(orderHistory[customer]),ROW(orderHistory[customer])),""),ROWS($A$15:A43)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7607.87</v>
      </c>
      <c r="S38" s="465" t="str">
        <f t="array" ref="S38">IFERROR(IF($D$9="",IF($D$11="",IF($D$13="",IF($D$15="",INDEX(orderHistory[lock_goods],SMALL(MATCH(ROW(orderHistory[customer]),ROW(orderHistory[customer])),ROWS($A$15:A43)+$B$3)),INDEX(orderHistory[lock_goods],SMALL(IF(ISNUMBER(MATCH(YEAR(orderHistory[invoice_date]),$D$15,0)),MATCH(ROW(orderHistory[customer]),ROW(orderHistory[customer])),""),ROWS($A$15:A43)+$B$3))),IF($D$15="",INDEX(orderHistory[lock_goods],SMALL(IF(ISNUMBER(MATCH(orderHistory[order_type],$D$13,0)),MATCH(ROW(orderHistory[customer]),ROW(orderHistory[customer])),""),ROWS($A$15:A43)+$B$3)),INDEX(orderHistory[lock_goods],SMALL(IF(ISNUMBER(MATCH(orderHistory[order_type],$D$13,0)*MATCH(YEAR(orderHistory[invoice_date]),$D$15,0)),MATCH(ROW(orderHistory[customer]),ROW(orderHistory[customer])),""),ROWS($A$15:A43)+$B$3)))),IF($D$13="",IF($D$15="",INDEX(orderHistory[lock_goods],SMALL(IF(ISNUMBER(MATCH(orderHistory[status],$D$11,0)),MATCH(ROW(orderHistory[customer]),ROW(orderHistory[customer])),""),ROWS($A$15:A43)+$B$3)),INDEX(orderHistory[lock_goods],SMALL(IF(ISNUMBER(MATCH(orderHistory[status],$D$11,0)*MATCH(YEAR(orderHistory[invoice_date]),$D$15,0)),MATCH(ROW(orderHistory[customer]),ROW(orderHistory[customer])),""),ROWS($A$15:A43)+$B$3))),IF($D$15="",INDEX(orderHistory[lock_goods],SMALL(IF(ISNUMBER(MATCH(orderHistory[status],$D$11,0)*MATCH(orderHistory[order_type],$D$13,0)),MATCH(ROW(orderHistory[customer]),ROW(orderHistory[customer])),""),ROWS($A$15:A43)+$B$3)),INDEX(orderHistory[lock_goods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lock_goods],SMALL(IF(ISNUMBER(MATCH(orderHistory[customer],$D$9,0)),MATCH(ROW(orderHistory[customer]),ROW(orderHistory[customer])),""),ROWS($A$15:A43)+$B$3)),INDEX(orderHistory[lock_goods],SMALL(IF(ISNUMBER(MATCH(orderHistory[customer],$D$9,0)*MATCH(YEAR(orderHistory[invoice_date]),$D$15,0)),MATCH(ROW(orderHistory[customer]),ROW(orderHistory[customer])),""),ROWS($A$15:A43)+$B$3))),IF($D$15="",INDEX(orderHistory[lock_goods],SMALL(IF(ISNUMBER(MATCH(orderHistory[customer],$D$9,0)*MATCH(orderHistory[order_type],$D$13,0)),MATCH(ROW(orderHistory[customer]),ROW(orderHistory[customer])),""),ROWS($A$15:A43)+$B$3)),INDEX(orderHistory[lock_goods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lock_goods],SMALL(IF(ISNUMBER(MATCH(orderHistory[customer],$D$9,0)*MATCH(orderHistory[status],$D$11,0)),MATCH(ROW(orderHistory[customer]),ROW(orderHistory[customer])),""),ROWS($A$15:A43)+$B$3)),INDEX(orderHistory[lock_goods],SMALL(IF(ISNUMBER(MATCH(orderHistory[customer],$D$9,0)*MATCH(orderHistory[status],$D$11,0)*MATCH(YEAR(orderHistory[payed]),$D$15,0)),MATCH(ROW(orderHistory[customer]),ROW(orderHistory[customer])),""),ROWS($A$15:A43)+$B$3))),IF($D$15="",INDEX(orderHistory[lock_goods],SMALL(IF(ISNUMBER(MATCH(orderHistory[customer],$D$9,0)*MATCH(orderHistory[status],$D$11,0)*MATCH(orderHistory[order_type],$D$13,0)),MATCH(ROW(orderHistory[customer]),ROW(orderHistory[customer])),""),ROWS($A$15:A43)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GOODS SENT</v>
      </c>
      <c r="T38" s="388" t="b">
        <f t="array" ref="T38">IFERROR(IF($D$9="",IF($D$11="",IF($D$13="",IF($D$15="",INDEX(orderHistory[payed],SMALL(MATCH(ROW(orderHistory[customer]),ROW(orderHistory[customer])),ROWS($A$15:A43)+$B$3)),INDEX(orderHistory[payed],SMALL(IF(ISNUMBER(MATCH(YEAR(orderHistory[invoice_date]),$D$15,0)),MATCH(ROW(orderHistory[customer]),ROW(orderHistory[customer])),""),ROWS($A$15:A43)+$B$3))),IF($D$15="",INDEX(orderHistory[payed],SMALL(IF(ISNUMBER(MATCH(orderHistory[order_type],$D$13,0)),MATCH(ROW(orderHistory[customer]),ROW(orderHistory[customer])),""),ROWS($A$15:A43)+$B$3)),INDEX(orderHistory[payed],SMALL(IF(ISNUMBER(MATCH(orderHistory[order_type],$D$13,0)*MATCH(YEAR(orderHistory[invoice_date]),$D$15,0)),MATCH(ROW(orderHistory[customer]),ROW(orderHistory[customer])),""),ROWS($A$15:A43)+$B$3)))),IF($D$13="",IF($D$15="",INDEX(orderHistory[payed],SMALL(IF(ISNUMBER(MATCH(orderHistory[status],$D$11,0)),MATCH(ROW(orderHistory[customer]),ROW(orderHistory[customer])),""),ROWS($A$15:A43)+$B$3)),INDEX(orderHistory[payed],SMALL(IF(ISNUMBER(MATCH(orderHistory[status],$D$11,0)*MATCH(YEAR(orderHistory[invoice_date]),$D$15,0)),MATCH(ROW(orderHistory[customer]),ROW(orderHistory[customer])),""),ROWS($A$15:A43)+$B$3))),IF($D$15="",INDEX(orderHistory[payed],SMALL(IF(ISNUMBER(MATCH(orderHistory[status],$D$11,0)*MATCH(orderHistory[order_type],$D$13,0)),MATCH(ROW(orderHistory[customer]),ROW(orderHistory[customer])),""),ROWS($A$15:A43)+$B$3)),INDEX(orderHistory[payed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payed],SMALL(IF(ISNUMBER(MATCH(orderHistory[customer],$D$9,0)),MATCH(ROW(orderHistory[customer]),ROW(orderHistory[customer])),""),ROWS($A$15:A43)+$B$3)),INDEX(orderHistory[payed],SMALL(IF(ISNUMBER(MATCH(orderHistory[customer],$D$9,0)*MATCH(YEAR(orderHistory[invoice_date]),$D$15,0)),MATCH(ROW(orderHistory[customer]),ROW(orderHistory[customer])),""),ROWS($A$15:A43)+$B$3))),IF($D$15="",INDEX(orderHistory[payed],SMALL(IF(ISNUMBER(MATCH(orderHistory[customer],$D$9,0)*MATCH(orderHistory[order_type],$D$13,0)),MATCH(ROW(orderHistory[customer]),ROW(orderHistory[customer])),""),ROWS($A$15:A43)+$B$3)),INDEX(orderHistory[payed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payed],SMALL(IF(ISNUMBER(MATCH(orderHistory[customer],$D$9,0)*MATCH(orderHistory[status],$D$11,0)),MATCH(ROW(orderHistory[customer]),ROW(orderHistory[customer])),""),ROWS($A$15:A43)+$B$3)),INDEX(orderHistory[payed],SMALL(IF(ISNUMBER(MATCH(orderHistory[customer],$D$9,0)*MATCH(orderHistory[status],$D$11,0)*MATCH(YEAR(orderHistory[payed]),$D$15,0)),MATCH(ROW(orderHistory[customer]),ROW(orderHistory[customer])),""),ROWS($A$15:A43)+$B$3))),IF($D$15="",INDEX(orderHistory[payed],SMALL(IF(ISNUMBER(MATCH(orderHistory[customer],$D$9,0)*MATCH(orderHistory[status],$D$11,0)*MATCH(orderHistory[order_type],$D$13,0)),MATCH(ROW(orderHistory[customer]),ROW(orderHistory[customer])),""),ROWS($A$15:A43)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1</v>
      </c>
      <c r="U38" s="383" t="str">
        <f t="array" ref="U38">IFERROR(IF($D$9="",IF($D$11="",IF($D$13="",IF($D$15="",INDEX(orderHistory[shipping_method],SMALL(MATCH(ROW(orderHistory[customer]),ROW(orderHistory[customer])),ROWS($A$15:A43)+$B$3)),INDEX(orderHistory[shipping_method],SMALL(IF(ISNUMBER(MATCH(YEAR(orderHistory[invoice_date]),$D$15,0)),MATCH(ROW(orderHistory[customer]),ROW(orderHistory[customer])),""),ROWS($A$15:A43)+$B$3))),IF($D$15="",INDEX(orderHistory[shipping_method],SMALL(IF(ISNUMBER(MATCH(orderHistory[order_type],$D$13,0)),MATCH(ROW(orderHistory[customer]),ROW(orderHistory[customer])),""),ROWS($A$15:A43)+$B$3)),INDEX(orderHistory[shipping_method],SMALL(IF(ISNUMBER(MATCH(orderHistory[order_type],$D$13,0)*MATCH(YEAR(orderHistory[invoice_date]),$D$15,0)),MATCH(ROW(orderHistory[customer]),ROW(orderHistory[customer])),""),ROWS($A$15:A43)+$B$3)))),IF($D$13="",IF($D$15="",INDEX(orderHistory[shipping_method],SMALL(IF(ISNUMBER(MATCH(orderHistory[status],$D$11,0)),MATCH(ROW(orderHistory[customer]),ROW(orderHistory[customer])),""),ROWS($A$15:A43)+$B$3)),INDEX(orderHistory[shipping_method],SMALL(IF(ISNUMBER(MATCH(orderHistory[status],$D$11,0)*MATCH(YEAR(orderHistory[invoice_date]),$D$15,0)),MATCH(ROW(orderHistory[customer]),ROW(orderHistory[customer])),""),ROWS($A$15:A43)+$B$3))),IF($D$15="",INDEX(orderHistory[shipping_method],SMALL(IF(ISNUMBER(MATCH(orderHistory[status],$D$11,0)*MATCH(orderHistory[order_type],$D$13,0)),MATCH(ROW(orderHistory[customer]),ROW(orderHistory[customer])),""),ROWS($A$15:A43)+$B$3)),INDEX(orderHistory[shipping_method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shipping_method],SMALL(IF(ISNUMBER(MATCH(orderHistory[customer],$D$9,0)),MATCH(ROW(orderHistory[customer]),ROW(orderHistory[customer])),""),ROWS($A$15:A43)+$B$3)),INDEX(orderHistory[shipping_method],SMALL(IF(ISNUMBER(MATCH(orderHistory[customer],$D$9,0)*MATCH(YEAR(orderHistory[invoice_date]),$D$15,0)),MATCH(ROW(orderHistory[customer]),ROW(orderHistory[customer])),""),ROWS($A$15:A43)+$B$3))),IF($D$15="",INDEX(orderHistory[shipping_method],SMALL(IF(ISNUMBER(MATCH(orderHistory[customer],$D$9,0)*MATCH(orderHistory[order_type],$D$13,0)),MATCH(ROW(orderHistory[customer]),ROW(orderHistory[customer])),""),ROWS($A$15:A43)+$B$3)),INDEX(orderHistory[shipping_method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shipping_method],SMALL(IF(ISNUMBER(MATCH(orderHistory[customer],$D$9,0)*MATCH(orderHistory[status],$D$11,0)),MATCH(ROW(orderHistory[customer]),ROW(orderHistory[customer])),""),ROWS($A$15:A43)+$B$3)),INDEX(orderHistory[shipping_method],SMALL(IF(ISNUMBER(MATCH(orderHistory[customer],$D$9,0)*MATCH(orderHistory[status],$D$11,0)*MATCH(YEAR(orderHistory[shipping_method]),$D$15,0)),MATCH(ROW(orderHistory[customer]),ROW(orderHistory[customer])),""),ROWS($A$15:A43)+$B$3))),IF($D$15="",INDEX(orderHistory[shipping_method],SMALL(IF(ISNUMBER(MATCH(orderHistory[customer],$D$9,0)*MATCH(orderHistory[status],$D$11,0)*MATCH(orderHistory[order_type],$D$13,0)),MATCH(ROW(orderHistory[customer]),ROW(orderHistory[customer])),""),ROWS($A$15:A43)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BY ROAD</v>
      </c>
      <c r="V38" s="388" t="str">
        <f t="array" ref="V38">IFERROR(IF($D$9="",IF($D$11="",IF($D$13="",IF($D$15="",INDEX(orderHistory[status],SMALL(MATCH(ROW(orderHistory[customer]),ROW(orderHistory[customer])),ROWS($A$15:A43)+$B$3)),INDEX(orderHistory[status],SMALL(IF(ISNUMBER(MATCH(YEAR(orderHistory[invoice_date]),$D$15,0)),MATCH(ROW(orderHistory[customer]),ROW(orderHistory[customer])),""),ROWS($A$15:A43)+$B$3))),IF($D$15="",INDEX(orderHistory[status],SMALL(IF(ISNUMBER(MATCH(orderHistory[order_type],$D$13,0)),MATCH(ROW(orderHistory[customer]),ROW(orderHistory[customer])),""),ROWS($A$15:A43)+$B$3)),INDEX(orderHistory[status],SMALL(IF(ISNUMBER(MATCH(orderHistory[order_type],$D$13,0)*MATCH(YEAR(orderHistory[invoice_date]),$D$15,0)),MATCH(ROW(orderHistory[customer]),ROW(orderHistory[customer])),""),ROWS($A$15:A43)+$B$3)))),IF($D$13="",IF($D$15="",INDEX(orderHistory[status],SMALL(IF(ISNUMBER(MATCH(orderHistory[status],$D$11,0)),MATCH(ROW(orderHistory[customer]),ROW(orderHistory[customer])),""),ROWS($A$15:A43)+$B$3)),INDEX(orderHistory[status],SMALL(IF(ISNUMBER(MATCH(orderHistory[status],$D$11,0)*MATCH(YEAR(orderHistory[invoice_date]),$D$15,0)),MATCH(ROW(orderHistory[customer]),ROW(orderHistory[customer])),""),ROWS($A$15:A43)+$B$3))),IF($D$15="",INDEX(orderHistory[status],SMALL(IF(ISNUMBER(MATCH(orderHistory[status],$D$11,0)*MATCH(orderHistory[order_type],$D$13,0)),MATCH(ROW(orderHistory[customer]),ROW(orderHistory[customer])),""),ROWS($A$15:A43)+$B$3)),INDEX(orderHistory[status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status],SMALL(IF(ISNUMBER(MATCH(orderHistory[customer],$D$9,0)),MATCH(ROW(orderHistory[customer]),ROW(orderHistory[customer])),""),ROWS($A$15:A43)+$B$3)),INDEX(orderHistory[status],SMALL(IF(ISNUMBER(MATCH(orderHistory[customer],$D$9,0)*MATCH(YEAR(orderHistory[invoice_date]),$D$15,0)),MATCH(ROW(orderHistory[customer]),ROW(orderHistory[customer])),""),ROWS($A$15:A43)+$B$3))),IF($D$15="",INDEX(orderHistory[status],SMALL(IF(ISNUMBER(MATCH(orderHistory[customer],$D$9,0)*MATCH(orderHistory[order_type],$D$13,0)),MATCH(ROW(orderHistory[customer]),ROW(orderHistory[customer])),""),ROWS($A$15:A43)+$B$3)),INDEX(orderHistory[status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status],SMALL(IF(ISNUMBER(MATCH(orderHistory[customer],$D$9,0)*MATCH(orderHistory[status],$D$11,0)),MATCH(ROW(orderHistory[customer]),ROW(orderHistory[customer])),""),ROWS($A$15:A43)+$B$3)),INDEX(orderHistory[status],SMALL(IF(ISNUMBER(MATCH(orderHistory[customer],$D$9,0)*MATCH(orderHistory[status],$D$11,0)*MATCH(YEAR(orderHistory[status]),$D$15,0)),MATCH(ROW(orderHistory[customer]),ROW(orderHistory[customer])),""),ROWS($A$15:A43)+$B$3))),IF($D$15="",INDEX(orderHistory[status],SMALL(IF(ISNUMBER(MATCH(orderHistory[customer],$D$9,0)*MATCH(orderHistory[status],$D$11,0)*MATCH(orderHistory[order_type],$D$13,0)),MATCH(ROW(orderHistory[customer]),ROW(orderHistory[customer])),""),ROWS($A$15:A43)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SHIPPED</v>
      </c>
      <c r="W38" s="547" t="str">
        <f t="array" ref="W38">IFERROR(IF($D$9="",IF($D$11="",IF($D$13="",IF($D$15="",INDEX(orderHistory[custom_docs],SMALL(MATCH(ROW(orderHistory[customer]),ROW(orderHistory[customer])),ROWS($A$15:A43)+$B$3)),INDEX(orderHistory[custom_docs],SMALL(IF(ISNUMBER(MATCH(YEAR(orderHistory[invoice_date]),$D$15,0)),MATCH(ROW(orderHistory[customer]),ROW(orderHistory[customer])),""),ROWS($A$15:A43)+$B$3))),IF($D$15="",INDEX(orderHistory[custom_docs],SMALL(IF(ISNUMBER(MATCH(orderHistory[order_type],$D$13,0)),MATCH(ROW(orderHistory[customer]),ROW(orderHistory[customer])),""),ROWS($A$15:A43)+$B$3)),INDEX(orderHistory[custom_docs],SMALL(IF(ISNUMBER(MATCH(orderHistory[order_type],$D$13,0)*MATCH(YEAR(orderHistory[invoice_date]),$D$15,0)),MATCH(ROW(orderHistory[customer]),ROW(orderHistory[customer])),""),ROWS($A$15:A43)+$B$3)))),IF($D$13="",IF($D$15="",INDEX(orderHistory[custom_docs],SMALL(IF(ISNUMBER(MATCH(orderHistory[status],$D$11,0)),MATCH(ROW(orderHistory[customer]),ROW(orderHistory[customer])),""),ROWS($A$15:A43)+$B$3)),INDEX(orderHistory[custom_docs],SMALL(IF(ISNUMBER(MATCH(orderHistory[status],$D$11,0)*MATCH(YEAR(orderHistory[invoice_date]),$D$15,0)),MATCH(ROW(orderHistory[customer]),ROW(orderHistory[customer])),""),ROWS($A$15:A43)+$B$3))),IF($D$15="",INDEX(orderHistory[custom_docs],SMALL(IF(ISNUMBER(MATCH(orderHistory[status],$D$11,0)*MATCH(orderHistory[order_type],$D$13,0)),MATCH(ROW(orderHistory[customer]),ROW(orderHistory[customer])),""),ROWS($A$15:A43)+$B$3)),INDEX(orderHistory[custom_docs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custom_docs],SMALL(IF(ISNUMBER(MATCH(orderHistory[customer],$D$9,0)),MATCH(ROW(orderHistory[customer]),ROW(orderHistory[customer])),""),ROWS($A$15:A43)+$B$3)),INDEX(orderHistory[custom_docs],SMALL(IF(ISNUMBER(MATCH(orderHistory[customer],$D$9,0)*MATCH(YEAR(orderHistory[invoice_date]),$D$15,0)),MATCH(ROW(orderHistory[customer]),ROW(orderHistory[customer])),""),ROWS($A$15:A43)+$B$3))),IF($D$15="",INDEX(orderHistory[custom_docs],SMALL(IF(ISNUMBER(MATCH(orderHistory[customer],$D$9,0)*MATCH(orderHistory[order_type],$D$13,0)),MATCH(ROW(orderHistory[customer]),ROW(orderHistory[customer])),""),ROWS($A$15:A43)+$B$3)),INDEX(orderHistory[custom_docs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custom_docs],SMALL(IF(ISNUMBER(MATCH(orderHistory[customer],$D$9,0)*MATCH(orderHistory[status],$D$11,0)),MATCH(ROW(orderHistory[customer]),ROW(orderHistory[customer])),""),ROWS($A$15:A43)+$B$3)),INDEX(orderHistory[custom_docs],SMALL(IF(ISNUMBER(MATCH(orderHistory[customer],$D$9,0)*MATCH(orderHistory[status],$D$11,0)*MATCH(YEAR(orderHistory[status]),$D$15,0)),MATCH(ROW(orderHistory[customer]),ROW(orderHistory[customer])),""),ROWS($A$15:A43)+$B$3))),IF($D$15="",INDEX(orderHistory[custom_docs],SMALL(IF(ISNUMBER(MATCH(orderHistory[customer],$D$9,0)*MATCH(orderHistory[status],$D$11,0)*MATCH(orderHistory[order_type],$D$13,0)),MATCH(ROW(orderHistory[customer]),ROW(orderHistory[customer])),""),ROWS($A$15:A43)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WAITING</v>
      </c>
      <c r="AQ38" s="308"/>
      <c r="AR38" s="824"/>
      <c r="AS38" s="825"/>
      <c r="AT38" s="826"/>
      <c r="AU38" s="271"/>
      <c r="AW38" s="306"/>
      <c r="BJ38" s="271"/>
      <c r="BK38" s="296"/>
      <c r="BL38" s="297"/>
      <c r="BM38" s="298"/>
      <c r="BN38" s="297"/>
      <c r="BO38" s="298"/>
      <c r="BZ38" s="487"/>
      <c r="CA38" s="401" t="str">
        <f>IFERROR(IF(BZ38="","",INDEX(bhpc_data[description],MATCH(BZ38,bhpc_data[sku],0))),"")</f>
        <v/>
      </c>
      <c r="CB38" s="403"/>
      <c r="CC38" s="887"/>
      <c r="CD38" s="409"/>
      <c r="CE38" s="890"/>
      <c r="CF38" s="404"/>
      <c r="CG38" s="405" t="str">
        <f>IFERROR(ROUNDUP(CB38/INDEX(bhpc_data[units_per_carton],MATCH(BZ38,bhpc_data[sku],0)),0),"")</f>
        <v/>
      </c>
      <c r="CH38" s="406" t="str">
        <f>IFERROR(ROUNDUP(CD38/INDEX(bhpc_data[units_per_carton],MATCH(BZ38,bhpc_data[sku],0)),0),"")</f>
        <v/>
      </c>
      <c r="CI38" s="406" t="str">
        <f>IFERROR(ROUNDUP(CF38/INDEX(bhpc_data[units_per_carton],MATCH(BZ38,bhpc_data[sku])),0),"")</f>
        <v/>
      </c>
      <c r="CJ38" s="406" t="str">
        <f>IFERROR(((CB38+CD38+CF38)/INDEX(bhpc_data[units_per_carton],MATCH(BZ38,bhpc_data[sku],0)))*INDEX(bhpc_data[net_weight],MATCH(BZ38,bhpc_data[sku],0)),"")</f>
        <v/>
      </c>
      <c r="CK38" s="406" t="str">
        <f>IFERROR(((CB38+CD38+CF38)/INDEX(bhpc_data[units_per_carton],MATCH(BZ38,bhpc_data[sku],0)))*INDEX(bhpc_data[gross_weight],MATCH(BZ38,bhpc_data[sku],0)),"")</f>
        <v/>
      </c>
      <c r="CL38" s="602" t="str">
        <f>IFERROR((CB38+CD38+CF38)/INDEX(bhpc_data[units_per_carton],MATCH(BZ38,bhpc_data[sku],0))*INDEX(bhpc_data[length],MATCH(BZ38,bhpc_data[sku],0))*INDEX(bhpc_data[width],MATCH(BZ38,bhpc_data[sku],0))*INDEX(bhpc_data[height],MATCH(BZ38,bhpc_data[sku],0))/1000000000,"")</f>
        <v/>
      </c>
      <c r="CM38" s="407" t="str">
        <f>IFERROR(INDEX(bhpc_data[category],MATCH(BZ38,bhpc_data[sku],0)),"")</f>
        <v/>
      </c>
      <c r="CN38" s="407" t="str">
        <f>IFERROR(INDEX(bhpc_data[size],MATCH(BZ38,bhpc_data[sku],0)),"")</f>
        <v/>
      </c>
      <c r="CO38" s="408" t="str">
        <f>IFERROR(INDEX(bhpc_data[hs_code],MATCH(BZ38,bhpc_data[sku],0)),"")</f>
        <v/>
      </c>
      <c r="CP38" s="489" t="str">
        <f>IFERROR(INDEX(bhpc_data[sku_geko],MATCH(BZ38,bhpc_data[sku],0)),"")</f>
        <v/>
      </c>
      <c r="CQ38" s="404"/>
      <c r="CR38" s="517" t="str">
        <f>IFERROR(IF(BZ38="","",IF($BX$15="SALE",INDEX(inventory[COSTO UNITARIO],MATCH(BZ38,inventory[SKU],0)),IF($BX$15="SAMPLING",INDEX(inventory[COSTO UNITARIO],MATCH(BZ38,inventory[SKU],0)),""))),"")</f>
        <v/>
      </c>
      <c r="CS38" s="517" t="str">
        <f t="shared" si="5"/>
        <v/>
      </c>
      <c r="CT38" s="896" t="str">
        <f t="shared" si="6"/>
        <v/>
      </c>
      <c r="CU38" s="469" t="str">
        <f t="shared" si="0"/>
        <v/>
      </c>
      <c r="CV38" s="351"/>
      <c r="CW38" s="351"/>
      <c r="CX38" s="371"/>
      <c r="CY38" s="351"/>
      <c r="DB38" s="280" t="str">
        <f>IFERROR(VLOOKUP(BZ38,bhpc_data[],22,FALSE),"")</f>
        <v/>
      </c>
      <c r="DH38" s="215"/>
      <c r="EE38" s="445" t="str" cm="1">
        <f t="array" ref="EE38">IFERROR(IF($EC$9="",IF($EC$11="",IF($EC$13="",INDEX(bhpc_data[sku],SMALL(MATCH(ROW(bhpc_data[sku]),ROW(bhpc_data[sku])),ROWS($A$15:A43)+$B$3)),INDEX(bhpc_data[sku],SMALL(IF(ISNUMBER(MATCH(bhpc_data[size],$EC$13,0)),MATCH(ROW(bhpc_data[sku]),ROW(bhpc_data[sku])),""),ROWS($A$15:A43)+$B$3))),IF($EC$13="",INDEX(bhpc_data[sku],SMALL(IF(ISNUMBER(MATCH(bhpc_data[sex],$EC$11,0)),MATCH(ROW(bhpc_data[sku]),ROW(bhpc_data[sku])),""),ROWS($A$15:A43)+$B$3)),INDEX(bhpc_data[sku],SMALL(IF(ISNUMBER(MATCH(bhpc_data[sex],$EC$11,0)*MATCH(bhpc_data[size],$EC$13,0)),MATCH(ROW(bhpc_data[sku]),ROW(bhpc_data[sku])),""),ROWS($A$15:A43)+$B$3)))),IF($EC$11="",IF($EC$13="",INDEX(bhpc_data[sku],SMALL(IF(ISNUMBER(MATCH(bhpc_data[category],$EC$9,0)),MATCH(ROW(bhpc_data[sku]),ROW(bhpc_data[sku])),""),ROWS($A$15:A43)+$B$3)),INDEX(bhpc_data[sku],SMALL(IF(ISNUMBER(MATCH(bhpc_data[category],$EC$9,0)*MATCH(bhpc_data[size],$EC$13,0)),MATCH(ROW(bhpc_data[sku]),ROW(bhpc_data[sku])),""),ROWS($A$15:A43)+$B$3))),IF($EC$13="",INDEX(bhpc_data[sku],SMALL(IF(ISNUMBER(MATCH(bhpc_data[category],$EC$9,0)*MATCH(bhpc_data[sex],$EC$11,0)),MATCH(ROW(bhpc_data[sku]),ROW(bhpc_data[sku])),""),ROWS($A$15:A43)+$B$3)),INDEX(bhpc_data[sku],SMALL(IF(ISNUMBER(MATCH(bhpc_data[category],$EC$9,0)*MATCH(bhpc_data[sex],$EC$11,0)*MATCH(bhpc_data[size],$EC$13,0)),MATCH(ROW(bhpc_data[sku]),ROW(bhpc_data[sku])),""),ROWS($A$15:A43)+$B$3))))),"")</f>
        <v>P06002I</v>
      </c>
      <c r="EF38" s="446" t="str" cm="1">
        <f t="array" ref="EF38">IFERROR(IF($EC$9="",IF($EC$11="",IF($EC$13="",INDEX(bhpc_data[description],SMALL(MATCH(ROW(bhpc_data[sku]),ROW(bhpc_data[sku])),ROWS($A$15:A43)+$B$3)),INDEX(bhpc_data[description],SMALL(IF(ISNUMBER(MATCH(bhpc_data[size],$EC$13,0)),MATCH(ROW(bhpc_data[sku]),ROW(bhpc_data[sku])),""),ROWS($A$15:A43)+$B$3))),IF($EC$13="",INDEX(bhpc_data[description],SMALL(IF(ISNUMBER(MATCH(bhpc_data[sex],$EC$11,0)),MATCH(ROW(bhpc_data[sku]),ROW(bhpc_data[sku])),""),ROWS($A$15:A43)+$B$3)),INDEX(bhpc_data[description],SMALL(IF(ISNUMBER(MATCH(bhpc_data[sex],$EC$11,0)*MATCH(bhpc_data[size],$EC$13,0)),MATCH(ROW(bhpc_data[sku]),ROW(bhpc_data[sku])),""),ROWS($A$15:A43)+$B$3)))),IF($EC$11="",IF($EC$13="",INDEX(bhpc_data[description],SMALL(IF(ISNUMBER(MATCH(bhpc_data[category],$EC$9,0)),MATCH(ROW(bhpc_data[sku]),ROW(bhpc_data[sku])),""),ROWS($A$15:A43)+$B$3)),INDEX(bhpc_data[description],SMALL(IF(ISNUMBER(MATCH(bhpc_data[category],$EC$9,0)*MATCH(bhpc_data[size],$EC$13,0)),MATCH(ROW(bhpc_data[sku]),ROW(bhpc_data[sku])),""),ROWS($A$15:A43)+$B$3))),IF($EC$13="",INDEX(bhpc_data[description],SMALL(IF(ISNUMBER(MATCH(bhpc_data[category],$EC$9,0)*MATCH(bhpc_data[sex],$EC$11,0)),MATCH(ROW(bhpc_data[sku]),ROW(bhpc_data[sku])),""),ROWS($A$15:A43)+$B$3)),INDEX(bhpc_data[description],SMALL(IF(ISNUMBER(MATCH(bhpc_data[category],$EC$9,0)*MATCH(bhpc_data[sex],$EC$11,0)*MATCH(bhpc_data[size],$EC$13,0)),MATCH(ROW(bhpc_data[sku]),ROW(bhpc_data[sku])),""),ROWS($A$15:A43)+$B$3))))),"")</f>
        <v>BHPC PRESTIGE TOUR INTENSE 100ML EDP MEN</v>
      </c>
      <c r="EG38" s="447">
        <f>IFERROR(IF('BHPC MANAGER'!$EE38="","",INDEX(inventory[ESISTENZA],MATCH('BHPC MANAGER'!$EE38,inventory[SKU],0))),0)</f>
        <v>3538</v>
      </c>
      <c r="EH38" s="448">
        <v>-3527</v>
      </c>
      <c r="EI38" s="448">
        <f t="shared" si="1"/>
        <v>11</v>
      </c>
      <c r="EJ38" s="449">
        <v>0</v>
      </c>
      <c r="EK38" s="450">
        <f t="shared" si="2"/>
        <v>11</v>
      </c>
      <c r="FF38" s="263"/>
      <c r="FG38" s="263"/>
      <c r="FH38" s="263"/>
      <c r="FI38" s="263"/>
      <c r="FJ38" s="263"/>
      <c r="FK38" s="263"/>
      <c r="FL38" s="263"/>
      <c r="FM38" s="263"/>
      <c r="FN38" s="263"/>
      <c r="FO38" s="263"/>
      <c r="FP38" s="263"/>
      <c r="FQ38" s="263"/>
      <c r="FR38" s="263"/>
      <c r="FS38" s="263"/>
      <c r="FT38" s="263"/>
      <c r="FU38" s="263"/>
      <c r="FV38" s="263"/>
      <c r="FW38" s="263"/>
      <c r="FX38" s="263"/>
      <c r="FY38" s="263"/>
      <c r="FZ38" s="263"/>
      <c r="GA38" s="263"/>
      <c r="GB38" s="263"/>
      <c r="GC38" s="263"/>
      <c r="GD38" s="263"/>
      <c r="GE38" s="263"/>
      <c r="GF38" s="263"/>
      <c r="GG38" s="263"/>
      <c r="GH38" s="263"/>
      <c r="GI38" s="263"/>
      <c r="GJ38" s="263"/>
      <c r="GK38" s="263"/>
      <c r="GL38" s="263"/>
      <c r="GM38" s="263"/>
      <c r="GN38" s="263"/>
      <c r="GO38" s="263"/>
      <c r="GP38" s="263"/>
      <c r="GQ38" s="263"/>
      <c r="GR38" s="263"/>
      <c r="GS38" s="263"/>
      <c r="GT38" s="263"/>
      <c r="GU38" s="263"/>
      <c r="GV38" s="263"/>
      <c r="GW38" s="263"/>
      <c r="GX38" s="263"/>
      <c r="GY38" s="263"/>
      <c r="GZ38" s="263"/>
      <c r="HA38" s="263"/>
      <c r="HB38" s="263"/>
      <c r="HC38" s="263"/>
      <c r="HD38" s="263"/>
      <c r="HE38" s="263"/>
      <c r="HF38" s="263"/>
      <c r="HG38" s="263"/>
      <c r="HH38" s="263"/>
      <c r="HI38" s="263"/>
      <c r="HJ38" s="263"/>
      <c r="HK38" s="263"/>
      <c r="HL38" s="263"/>
      <c r="HM38" s="263"/>
      <c r="HN38" s="263"/>
      <c r="HO38" s="263"/>
      <c r="HP38" s="263"/>
      <c r="HQ38" s="263"/>
      <c r="HR38" s="263"/>
      <c r="HS38" s="263"/>
      <c r="HT38" s="263"/>
    </row>
    <row r="39" spans="6:228" ht="15" customHeight="1" x14ac:dyDescent="0.35">
      <c r="F39" s="91"/>
      <c r="G39" s="803"/>
      <c r="H39" s="804"/>
      <c r="I39" s="805"/>
      <c r="J39" s="77"/>
      <c r="L39" s="381" t="str">
        <f t="array" ref="L39">IFERROR(IF($D$9="",IF($D$11="",IF($D$13="",IF($D$15="",INDEX(orderHistory[customer],SMALL(MATCH(ROW(orderHistory[customer]),ROW(orderHistory[customer])),ROWS($A$15:A44)+$B$3)),INDEX(orderHistory[customer],SMALL(IF(ISNUMBER(MATCH(YEAR(orderHistory[invoice_date]),$D$15,0)),MATCH(ROW(orderHistory[customer]),ROW(orderHistory[customer])),""),ROWS($A$15:A44)+$B$3))),IF($D$15="",INDEX(orderHistory[customer],SMALL(IF(ISNUMBER(MATCH(orderHistory[order_type],$D$13,0)),MATCH(ROW(orderHistory[customer]),ROW(orderHistory[customer])),""),ROWS($A$15:A44)+$B$3)),INDEX(orderHistory[customer],SMALL(IF(ISNUMBER(MATCH(orderHistory[order_type],$D$13,0)*MATCH(YEAR(orderHistory[invoice_date]),$D$15,0)),MATCH(ROW(orderHistory[customer]),ROW(orderHistory[customer])),""),ROWS($A$15:A44)+$B$3)))),IF($D$13="",IF($D$15="",INDEX(orderHistory[customer],SMALL(IF(ISNUMBER(MATCH(orderHistory[status],$D$11,0)),MATCH(ROW(orderHistory[customer]),ROW(orderHistory[customer])),""),ROWS($A$15:A44)+$B$3)),INDEX(orderHistory[customer],SMALL(IF(ISNUMBER(MATCH(orderHistory[status],$D$11,0)*MATCH(YEAR(orderHistory[invoice_date]),$D$15,0)),MATCH(ROW(orderHistory[customer]),ROW(orderHistory[customer])),""),ROWS($A$15:A44)+$B$3))),IF($D$15="",INDEX(orderHistory[customer],SMALL(IF(ISNUMBER(MATCH(orderHistory[status],$D$11,0)*MATCH(orderHistory[order_type],$D$13,0)),MATCH(ROW(orderHistory[customer]),ROW(orderHistory[customer])),""),ROWS($A$15:A44)+$B$3)),INDEX(orderHistory[customer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customer],SMALL(IF(ISNUMBER(MATCH(orderHistory[customer],$D$9,0)),MATCH(ROW(orderHistory[customer]),ROW(orderHistory[customer])),""),ROWS($A$15:A44)+$B$3)),INDEX(orderHistory[customer],SMALL(IF(ISNUMBER(MATCH(orderHistory[customer],$D$9,0)*MATCH(YEAR(orderHistory[invoice_date]),$D$15,0)),MATCH(ROW(orderHistory[customer]),ROW(orderHistory[customer])),""),ROWS($A$15:A44)+$B$3))),IF($D$15="",INDEX(orderHistory[customer],SMALL(IF(ISNUMBER(MATCH(orderHistory[customer],$D$9,0)*MATCH(orderHistory[order_type],$D$13,0)),MATCH(ROW(orderHistory[customer]),ROW(orderHistory[customer])),""),ROWS($A$15:A44)+$B$3)),INDEX(orderHistory[customer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customer],SMALL(IF(ISNUMBER(MATCH(orderHistory[customer],$D$9,0)*MATCH(orderHistory[status],$D$11,0)),MATCH(ROW(orderHistory[customer]),ROW(orderHistory[customer])),""),ROWS($A$15:A44)+$B$3)),INDEX(orderHistory[customer],SMALL(IF(ISNUMBER(MATCH(orderHistory[customer],$D$9,0)*MATCH(orderHistory[status],$D$11,0)*MATCH(YEAR(orderHistory[invoice_date]),$D$15,0)),MATCH(ROW(orderHistory[customer]),ROW(orderHistory[customer])),""),ROWS($A$15:A44)+$B$3))),IF($D$15="",INDEX(orderHistory[customer],SMALL(IF(ISNUMBER(MATCH(orderHistory[customer],$D$9,0)*MATCH(orderHistory[status],$D$11,0)*MATCH(orderHistory[order_type],$D$13,0)),MATCH(ROW(orderHistory[customer]),ROW(orderHistory[customer])),""),ROWS($A$15:A44)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PER SCENT</v>
      </c>
      <c r="M39" s="382">
        <f t="array" ref="M39">IFERROR(IF($D$9="",IF($D$11="",IF($D$13="",IF($D$15="",INDEX(orderHistory[order_no],SMALL(MATCH(ROW(orderHistory[customer]),ROW(orderHistory[customer])),ROWS($A$15:A44)+$B$3)),INDEX(orderHistory[order_no],SMALL(IF(ISNUMBER(MATCH(YEAR(orderHistory[invoice_date]),$D$15,0)),MATCH(ROW(orderHistory[customer]),ROW(orderHistory[customer])),""),ROWS($A$15:A44)+$B$3))),IF($D$15="",INDEX(orderHistory[order_no],SMALL(IF(ISNUMBER(MATCH(orderHistory[order_type],$D$13,0)),MATCH(ROW(orderHistory[customer]),ROW(orderHistory[customer])),""),ROWS($A$15:A44)+$B$3)),INDEX(orderHistory[order_no],SMALL(IF(ISNUMBER(MATCH(orderHistory[order_type],$D$13,0)*MATCH(YEAR(orderHistory[invoice_date]),$D$15,0)),MATCH(ROW(orderHistory[customer]),ROW(orderHistory[customer])),""),ROWS($A$15:A44)+$B$3)))),IF($D$13="",IF($D$15="",INDEX(orderHistory[order_no],SMALL(IF(ISNUMBER(MATCH(orderHistory[status],$D$11,0)),MATCH(ROW(orderHistory[customer]),ROW(orderHistory[customer])),""),ROWS($A$15:A44)+$B$3)),INDEX(orderHistory[order_no],SMALL(IF(ISNUMBER(MATCH(orderHistory[status],$D$11,0)*MATCH(YEAR(orderHistory[invoice_date]),$D$15,0)),MATCH(ROW(orderHistory[customer]),ROW(orderHistory[customer])),""),ROWS($A$15:A44)+$B$3))),IF($D$15="",INDEX(orderHistory[order_no],SMALL(IF(ISNUMBER(MATCH(orderHistory[status],$D$11,0)*MATCH(orderHistory[order_type],$D$13,0)),MATCH(ROW(orderHistory[customer]),ROW(orderHistory[customer])),""),ROWS($A$15:A44)+$B$3)),INDEX(orderHistory[order_no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order_no],SMALL(IF(ISNUMBER(MATCH(orderHistory[customer],$D$9,0)),MATCH(ROW(orderHistory[customer]),ROW(orderHistory[customer])),""),ROWS($A$15:A44)+$B$3)),INDEX(orderHistory[order_no],SMALL(IF(ISNUMBER(MATCH(orderHistory[customer],$D$9,0)*MATCH(YEAR(orderHistory[invoice_date]),$D$15,0)),MATCH(ROW(orderHistory[customer]),ROW(orderHistory[customer])),""),ROWS($A$15:A44)+$B$3))),IF($D$15="",INDEX(orderHistory[order_no],SMALL(IF(ISNUMBER(MATCH(orderHistory[customer],$D$9,0)*MATCH(orderHistory[order_type],$D$13,0)),MATCH(ROW(orderHistory[customer]),ROW(orderHistory[customer])),""),ROWS($A$15:A44)+$B$3)),INDEX(orderHistory[order_no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order_no],SMALL(IF(ISNUMBER(MATCH(orderHistory[customer],$D$9,0)*MATCH(orderHistory[status],$D$11,0)),MATCH(ROW(orderHistory[customer]),ROW(orderHistory[customer])),""),ROWS($A$15:A44)+$B$3)),INDEX(orderHistory[order_no],SMALL(IF(ISNUMBER(MATCH(orderHistory[customer],$D$9,0)*MATCH(orderHistory[status],$D$11,0)*MATCH(YEAR(orderHistory[invoice_date]),$D$15,0)),MATCH(ROW(orderHistory[customer]),ROW(orderHistory[customer])),""),ROWS($A$15:A44)+$B$3))),IF($D$15="",INDEX(orderHistory[order_no],SMALL(IF(ISNUMBER(MATCH(orderHistory[customer],$D$9,0)*MATCH(orderHistory[status],$D$11,0)*MATCH(orderHistory[order_type],$D$13,0)),MATCH(ROW(orderHistory[customer]),ROW(orderHistory[customer])),""),ROWS($A$15:A44)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37</v>
      </c>
      <c r="N39" s="383" t="str">
        <f t="array" ref="N39">IFERROR(IF($D$9="",IF($D$11="",IF($D$13="",IF($D$15="",INDEX(orderHistory[order_type],SMALL(MATCH(ROW(orderHistory[customer]),ROW(orderHistory[customer])),ROWS($A$15:A44)+$B$3)),INDEX(orderHistory[order_type],SMALL(IF(ISNUMBER(MATCH(YEAR(orderHistory[invoice_date]),$D$15,0)),MATCH(ROW(orderHistory[customer]),ROW(orderHistory[customer])),""),ROWS($A$15:A44)+$B$3))),IF($D$15="",INDEX(orderHistory[order_type],SMALL(IF(ISNUMBER(MATCH(orderHistory[order_type],$D$13,0)),MATCH(ROW(orderHistory[customer]),ROW(orderHistory[customer])),""),ROWS($A$15:A44)+$B$3)),INDEX(orderHistory[order_type],SMALL(IF(ISNUMBER(MATCH(orderHistory[order_type],$D$13,0)*MATCH(YEAR(orderHistory[invoice_date]),$D$15,0)),MATCH(ROW(orderHistory[customer]),ROW(orderHistory[customer])),""),ROWS($A$15:A44)+$B$3)))),IF($D$13="",IF($D$15="",INDEX(orderHistory[order_type],SMALL(IF(ISNUMBER(MATCH(orderHistory[status],$D$11,0)),MATCH(ROW(orderHistory[customer]),ROW(orderHistory[customer])),""),ROWS($A$15:A44)+$B$3)),INDEX(orderHistory[order_type],SMALL(IF(ISNUMBER(MATCH(orderHistory[status],$D$11,0)*MATCH(YEAR(orderHistory[invoice_date]),$D$15,0)),MATCH(ROW(orderHistory[customer]),ROW(orderHistory[customer])),""),ROWS($A$15:A44)+$B$3))),IF($D$15="",INDEX(orderHistory[order_type],SMALL(IF(ISNUMBER(MATCH(orderHistory[status],$D$11,0)*MATCH(orderHistory[order_type],$D$13,0)),MATCH(ROW(orderHistory[customer]),ROW(orderHistory[customer])),""),ROWS($A$15:A44)+$B$3)),INDEX(orderHistory[order_type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order_type],SMALL(IF(ISNUMBER(MATCH(orderHistory[customer],$D$9,0)),MATCH(ROW(orderHistory[customer]),ROW(orderHistory[customer])),""),ROWS($A$15:A44)+$B$3)),INDEX(orderHistory[order_type],SMALL(IF(ISNUMBER(MATCH(orderHistory[customer],$D$9,0)*MATCH(YEAR(orderHistory[invoice_date]),$D$15,0)),MATCH(ROW(orderHistory[customer]),ROW(orderHistory[customer])),""),ROWS($A$15:A44)+$B$3))),IF($D$15="",INDEX(orderHistory[order_type],SMALL(IF(ISNUMBER(MATCH(orderHistory[customer],$D$9,0)*MATCH(orderHistory[order_type],$D$13,0)),MATCH(ROW(orderHistory[customer]),ROW(orderHistory[customer])),""),ROWS($A$15:A44)+$B$3)),INDEX(orderHistory[order_type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order_type],SMALL(IF(ISNUMBER(MATCH(orderHistory[customer],$D$9,0)*MATCH(orderHistory[status],$D$11,0)),MATCH(ROW(orderHistory[customer]),ROW(orderHistory[customer])),""),ROWS($A$15:A44)+$B$3)),INDEX(orderHistory[order_type],SMALL(IF(ISNUMBER(MATCH(orderHistory[customer],$D$9,0)*MATCH(orderHistory[status],$D$11,0)*MATCH(YEAR(orderHistory[invoice_date]),$D$15,0)),MATCH(ROW(orderHistory[customer]),ROW(orderHistory[customer])),""),ROWS($A$15:A44)+$B$3))),IF($D$15="",INDEX(orderHistory[order_type],SMALL(IF(ISNUMBER(MATCH(orderHistory[customer],$D$9,0)*MATCH(orderHistory[status],$D$11,0)*MATCH(orderHistory[order_type],$D$13,0)),MATCH(ROW(orderHistory[customer]),ROW(orderHistory[customer])),""),ROWS($A$15:A44)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SALE</v>
      </c>
      <c r="O39" s="384">
        <f t="array" ref="O39">IFERROR(IF($D$9="",IF($D$11="",IF($D$13="",IF($D$15="",INDEX(orderHistory[order_date],SMALL(MATCH(ROW(orderHistory[customer]),ROW(orderHistory[customer])),ROWS($A$15:A44)+$B$3)),INDEX(orderHistory[order_date],SMALL(IF(ISNUMBER(MATCH(YEAR(orderHistory[invoice_date]),$D$15,0)),MATCH(ROW(orderHistory[customer]),ROW(orderHistory[customer])),""),ROWS($A$15:A44)+$B$3))),IF($D$15="",INDEX(orderHistory[order_date],SMALL(IF(ISNUMBER(MATCH(orderHistory[order_type],$D$13,0)),MATCH(ROW(orderHistory[customer]),ROW(orderHistory[customer])),""),ROWS($A$15:A44)+$B$3)),INDEX(orderHistory[order_date],SMALL(IF(ISNUMBER(MATCH(orderHistory[order_type],$D$13,0)*MATCH(YEAR(orderHistory[invoice_date]),$D$15,0)),MATCH(ROW(orderHistory[customer]),ROW(orderHistory[customer])),""),ROWS($A$15:A44)+$B$3)))),IF($D$13="",IF($D$15="",INDEX(orderHistory[order_date],SMALL(IF(ISNUMBER(MATCH(orderHistory[status],$D$11,0)),MATCH(ROW(orderHistory[customer]),ROW(orderHistory[customer])),""),ROWS($A$15:A44)+$B$3)),INDEX(orderHistory[order_date],SMALL(IF(ISNUMBER(MATCH(orderHistory[status],$D$11,0)*MATCH(YEAR(orderHistory[invoice_date]),$D$15,0)),MATCH(ROW(orderHistory[customer]),ROW(orderHistory[customer])),""),ROWS($A$15:A44)+$B$3))),IF($D$15="",INDEX(orderHistory[order_date],SMALL(IF(ISNUMBER(MATCH(orderHistory[status],$D$11,0)*MATCH(orderHistory[order_type],$D$13,0)),MATCH(ROW(orderHistory[customer]),ROW(orderHistory[customer])),""),ROWS($A$15:A44)+$B$3)),INDEX(orderHistory[order_date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order_date],SMALL(IF(ISNUMBER(MATCH(orderHistory[customer],$D$9,0)),MATCH(ROW(orderHistory[customer]),ROW(orderHistory[customer])),""),ROWS($A$15:A44)+$B$3)),INDEX(orderHistory[order_date],SMALL(IF(ISNUMBER(MATCH(orderHistory[customer],$D$9,0)*MATCH(YEAR(orderHistory[invoice_date]),$D$15,0)),MATCH(ROW(orderHistory[customer]),ROW(orderHistory[customer])),""),ROWS($A$15:A44)+$B$3))),IF($D$15="",INDEX(orderHistory[order_date],SMALL(IF(ISNUMBER(MATCH(orderHistory[customer],$D$9,0)*MATCH(orderHistory[order_type],$D$13,0)),MATCH(ROW(orderHistory[customer]),ROW(orderHistory[customer])),""),ROWS($A$15:A44)+$B$3)),INDEX(orderHistory[order_date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order_date],SMALL(IF(ISNUMBER(MATCH(orderHistory[customer],$D$9,0)*MATCH(orderHistory[status],$D$11,0)),MATCH(ROW(orderHistory[customer]),ROW(orderHistory[customer])),""),ROWS($A$15:A44)+$B$3)),INDEX(orderHistory[order_date],SMALL(IF(ISNUMBER(MATCH(orderHistory[customer],$D$9,0)*MATCH(orderHistory[status],$D$11,0)*MATCH(YEAR(orderHistory[invoice_date]),$D$15,0)),MATCH(ROW(orderHistory[customer]),ROW(orderHistory[customer])),""),ROWS($A$15:A44)+$B$3))),IF($D$15="",INDEX(orderHistory[order_date],SMALL(IF(ISNUMBER(MATCH(orderHistory[customer],$D$9,0)*MATCH(orderHistory[status],$D$11,0)*MATCH(orderHistory[order_type],$D$13,0)),MATCH(ROW(orderHistory[customer]),ROW(orderHistory[customer])),""),ROWS($A$15:A44)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45408</v>
      </c>
      <c r="P39" s="385" t="str">
        <f t="array" ref="P39">IFERROR(IF($D$9="",IF($D$11="",IF($D$13="",IF($D$15="",INDEX(orderHistory[invoice_no],SMALL(MATCH(ROW(orderHistory[customer]),ROW(orderHistory[customer])),ROWS($A$15:A44)+$B$3)),INDEX(orderHistory[invoice_no],SMALL(IF(ISNUMBER(MATCH(YEAR(orderHistory[invoice_date]),$D$15,0)),MATCH(ROW(orderHistory[customer]),ROW(orderHistory[customer])),""),ROWS($A$15:A44)+$B$3))),IF($D$15="",INDEX(orderHistory[invoice_no],SMALL(IF(ISNUMBER(MATCH(orderHistory[order_type],$D$13,0)),MATCH(ROW(orderHistory[customer]),ROW(orderHistory[customer])),""),ROWS($A$15:A44)+$B$3)),INDEX(orderHistory[invoice_no],SMALL(IF(ISNUMBER(MATCH(orderHistory[order_type],$D$13,0)*MATCH(YEAR(orderHistory[invoice_date]),$D$15,0)),MATCH(ROW(orderHistory[customer]),ROW(orderHistory[customer])),""),ROWS($A$15:A44)+$B$3)))),IF($D$13="",IF($D$15="",INDEX(orderHistory[invoice_no],SMALL(IF(ISNUMBER(MATCH(orderHistory[status],$D$11,0)),MATCH(ROW(orderHistory[customer]),ROW(orderHistory[customer])),""),ROWS($A$15:A44)+$B$3)),INDEX(orderHistory[invoice_no],SMALL(IF(ISNUMBER(MATCH(orderHistory[status],$D$11,0)*MATCH(YEAR(orderHistory[invoice_date]),$D$15,0)),MATCH(ROW(orderHistory[customer]),ROW(orderHistory[customer])),""),ROWS($A$15:A44)+$B$3))),IF($D$15="",INDEX(orderHistory[invoice_no],SMALL(IF(ISNUMBER(MATCH(orderHistory[status],$D$11,0)*MATCH(orderHistory[order_type],$D$13,0)),MATCH(ROW(orderHistory[customer]),ROW(orderHistory[customer])),""),ROWS($A$15:A44)+$B$3)),INDEX(orderHistory[invoice_no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invoice_no],SMALL(IF(ISNUMBER(MATCH(orderHistory[customer],$D$9,0)),MATCH(ROW(orderHistory[customer]),ROW(orderHistory[customer])),""),ROWS($A$15:A44)+$B$3)),INDEX(orderHistory[invoice_no],SMALL(IF(ISNUMBER(MATCH(orderHistory[customer],$D$9,0)*MATCH(YEAR(orderHistory[invoice_date]),$D$15,0)),MATCH(ROW(orderHistory[customer]),ROW(orderHistory[customer])),""),ROWS($A$15:A44)+$B$3))),IF($D$15="",INDEX(orderHistory[invoice_no],SMALL(IF(ISNUMBER(MATCH(orderHistory[customer],$D$9,0)*MATCH(orderHistory[order_type],$D$13,0)),MATCH(ROW(orderHistory[customer]),ROW(orderHistory[customer])),""),ROWS($A$15:A44)+$B$3)),INDEX(orderHistory[invoice_no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invoice_no],SMALL(IF(ISNUMBER(MATCH(orderHistory[customer],$D$9,0)*MATCH(orderHistory[status],$D$11,0)),MATCH(ROW(orderHistory[customer]),ROW(orderHistory[customer])),""),ROWS($A$15:A44)+$B$3)),INDEX(orderHistory[invoice_no],SMALL(IF(ISNUMBER(MATCH(orderHistory[customer],$D$9,0)*MATCH(orderHistory[status],$D$11,0)*MATCH(YEAR(orderHistory[invoice_date]),$D$15,0)),MATCH(ROW(orderHistory[customer]),ROW(orderHistory[customer])),""),ROWS($A$15:A44)+$B$3))),IF($D$15="",INDEX(orderHistory[invoice_no],SMALL(IF(ISNUMBER(MATCH(orderHistory[customer],$D$9,0)*MATCH(orderHistory[status],$D$11,0)*MATCH(orderHistory[order_type],$D$13,0)),MATCH(ROW(orderHistory[customer]),ROW(orderHistory[customer])),""),ROWS($A$15:A44)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141</v>
      </c>
      <c r="Q39" s="386">
        <f t="array" ref="Q39">IFERROR(IF($D$9="",IF($D$11="",IF($D$13="",IF($D$15="",INDEX(orderHistory[invoice_date],SMALL(MATCH(ROW(orderHistory[customer]),ROW(orderHistory[customer])),ROWS($A$15:A44)+$B$3)),INDEX(orderHistory[invoice_date],SMALL(IF(ISNUMBER(MATCH(YEAR(orderHistory[invoice_date]),$D$15,0)),MATCH(ROW(orderHistory[customer]),ROW(orderHistory[customer])),""),ROWS($A$15:A44)+$B$3))),IF($D$15="",INDEX(orderHistory[invoice_date],SMALL(IF(ISNUMBER(MATCH(orderHistory[order_type],$D$13,0)),MATCH(ROW(orderHistory[customer]),ROW(orderHistory[customer])),""),ROWS($A$15:A44)+$B$3)),INDEX(orderHistory[invoice_date],SMALL(IF(ISNUMBER(MATCH(orderHistory[order_type],$D$13,0)*MATCH(YEAR(orderHistory[invoice_date]),$D$15,0)),MATCH(ROW(orderHistory[customer]),ROW(orderHistory[customer])),""),ROWS($A$15:A44)+$B$3)))),IF($D$13="",IF($D$15="",INDEX(orderHistory[invoice_date],SMALL(IF(ISNUMBER(MATCH(orderHistory[status],$D$11,0)),MATCH(ROW(orderHistory[customer]),ROW(orderHistory[customer])),""),ROWS($A$15:A44)+$B$3)),INDEX(orderHistory[invoice_date],SMALL(IF(ISNUMBER(MATCH(orderHistory[status],$D$11,0)*MATCH(YEAR(orderHistory[invoice_date]),$D$15,0)),MATCH(ROW(orderHistory[customer]),ROW(orderHistory[customer])),""),ROWS($A$15:A44)+$B$3))),IF($D$15="",INDEX(orderHistory[invoice_date],SMALL(IF(ISNUMBER(MATCH(orderHistory[status],$D$11,0)*MATCH(orderHistory[order_type],$D$13,0)),MATCH(ROW(orderHistory[customer]),ROW(orderHistory[customer])),""),ROWS($A$15:A44)+$B$3)),INDEX(orderHistory[invoice_date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invoice_date],SMALL(IF(ISNUMBER(MATCH(orderHistory[customer],$D$9,0)),MATCH(ROW(orderHistory[customer]),ROW(orderHistory[customer])),""),ROWS($A$15:A44)+$B$3)),INDEX(orderHistory[invoice_date],SMALL(IF(ISNUMBER(MATCH(orderHistory[customer],$D$9,0)*MATCH(YEAR(orderHistory[invoice_date]),$D$15,0)),MATCH(ROW(orderHistory[customer]),ROW(orderHistory[customer])),""),ROWS($A$15:A44)+$B$3))),IF($D$15="",INDEX(orderHistory[invoice_date],SMALL(IF(ISNUMBER(MATCH(orderHistory[customer],$D$9,0)*MATCH(orderHistory[order_type],$D$13,0)),MATCH(ROW(orderHistory[customer]),ROW(orderHistory[customer])),""),ROWS($A$15:A44)+$B$3)),INDEX(orderHistory[invoice_date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invoice_date],SMALL(IF(ISNUMBER(MATCH(orderHistory[customer],$D$9,0)*MATCH(orderHistory[status],$D$11,0)),MATCH(ROW(orderHistory[customer]),ROW(orderHistory[customer])),""),ROWS($A$15:A44)+$B$3)),INDEX(orderHistory[invoice_date],SMALL(IF(ISNUMBER(MATCH(orderHistory[customer],$D$9,0)*MATCH(orderHistory[status],$D$11,0)*MATCH(YEAR(orderHistory[invoice_date]),$D$15,0)),MATCH(ROW(orderHistory[customer]),ROW(orderHistory[customer])),""),ROWS($A$15:A44)+$B$3))),IF($D$15="",INDEX(orderHistory[invoice_date],SMALL(IF(ISNUMBER(MATCH(orderHistory[customer],$D$9,0)*MATCH(orderHistory[status],$D$11,0)*MATCH(orderHistory[order_type],$D$13,0)),MATCH(ROW(orderHistory[customer]),ROW(orderHistory[customer])),""),ROWS($A$15:A44)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45418</v>
      </c>
      <c r="R39" s="387">
        <f t="array" ref="R39">IFERROR(IF($D$9="",IF($D$11="",IF($D$13="",IF($D$15="",INDEX(orderHistory[inv_amount],SMALL(MATCH(ROW(orderHistory[customer]),ROW(orderHistory[customer])),ROWS($A$15:A44)+$B$3)),INDEX(orderHistory[inv_amount],SMALL(IF(ISNUMBER(MATCH(YEAR(orderHistory[invoice_date]),$D$15,0)),MATCH(ROW(orderHistory[customer]),ROW(orderHistory[customer])),""),ROWS($A$15:A44)+$B$3))),IF($D$15="",INDEX(orderHistory[inv_amount],SMALL(IF(ISNUMBER(MATCH(orderHistory[order_type],$D$13,0)),MATCH(ROW(orderHistory[customer]),ROW(orderHistory[customer])),""),ROWS($A$15:A44)+$B$3)),INDEX(orderHistory[inv_amount],SMALL(IF(ISNUMBER(MATCH(orderHistory[order_type],$D$13,0)*MATCH(YEAR(orderHistory[invoice_date]),$D$15,0)),MATCH(ROW(orderHistory[customer]),ROW(orderHistory[customer])),""),ROWS($A$15:A44)+$B$3)))),IF($D$13="",IF($D$15="",INDEX(orderHistory[inv_amount],SMALL(IF(ISNUMBER(MATCH(orderHistory[status],$D$11,0)),MATCH(ROW(orderHistory[customer]),ROW(orderHistory[customer])),""),ROWS($A$15:A44)+$B$3)),INDEX(orderHistory[inv_amount],SMALL(IF(ISNUMBER(MATCH(orderHistory[status],$D$11,0)*MATCH(YEAR(orderHistory[invoice_date]),$D$15,0)),MATCH(ROW(orderHistory[customer]),ROW(orderHistory[customer])),""),ROWS($A$15:A44)+$B$3))),IF($D$15="",INDEX(orderHistory[inv_amount],SMALL(IF(ISNUMBER(MATCH(orderHistory[status],$D$11,0)*MATCH(orderHistory[order_type],$D$13,0)),MATCH(ROW(orderHistory[customer]),ROW(orderHistory[customer])),""),ROWS($A$15:A44)+$B$3)),INDEX(orderHistory[inv_amount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inv_amount],SMALL(IF(ISNUMBER(MATCH(orderHistory[customer],$D$9,0)),MATCH(ROW(orderHistory[customer]),ROW(orderHistory[customer])),""),ROWS($A$15:A44)+$B$3)),INDEX(orderHistory[inv_amount],SMALL(IF(ISNUMBER(MATCH(orderHistory[customer],$D$9,0)*MATCH(YEAR(orderHistory[invoice_date]),$D$15,0)),MATCH(ROW(orderHistory[customer]),ROW(orderHistory[customer])),""),ROWS($A$15:A44)+$B$3))),IF($D$15="",INDEX(orderHistory[inv_amount],SMALL(IF(ISNUMBER(MATCH(orderHistory[customer],$D$9,0)*MATCH(orderHistory[order_type],$D$13,0)),MATCH(ROW(orderHistory[customer]),ROW(orderHistory[customer])),""),ROWS($A$15:A44)+$B$3)),INDEX(orderHistory[inv_amount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inv_amount],SMALL(IF(ISNUMBER(MATCH(orderHistory[customer],$D$9,0)*MATCH(orderHistory[status],$D$11,0)),MATCH(ROW(orderHistory[customer]),ROW(orderHistory[customer])),""),ROWS($A$15:A44)+$B$3)),INDEX(orderHistory[inv_amount],SMALL(IF(ISNUMBER(MATCH(orderHistory[customer],$D$9,0)*MATCH(orderHistory[status],$D$11,0)*MATCH(YEAR(orderHistory[inv_amount]),$D$15,0)),MATCH(ROW(orderHistory[customer]),ROW(orderHistory[customer])),""),ROWS($A$15:A44)+$B$3))),IF($D$15="",INDEX(orderHistory[inv_amount],SMALL(IF(ISNUMBER(MATCH(orderHistory[customer],$D$9,0)*MATCH(orderHistory[status],$D$11,0)*MATCH(orderHistory[order_type],$D$13,0)),MATCH(ROW(orderHistory[customer]),ROW(orderHistory[customer])),""),ROWS($A$15:A44)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9193.33</v>
      </c>
      <c r="S39" s="465" t="str">
        <f t="array" ref="S39">IFERROR(IF($D$9="",IF($D$11="",IF($D$13="",IF($D$15="",INDEX(orderHistory[lock_goods],SMALL(MATCH(ROW(orderHistory[customer]),ROW(orderHistory[customer])),ROWS($A$15:A44)+$B$3)),INDEX(orderHistory[lock_goods],SMALL(IF(ISNUMBER(MATCH(YEAR(orderHistory[invoice_date]),$D$15,0)),MATCH(ROW(orderHistory[customer]),ROW(orderHistory[customer])),""),ROWS($A$15:A44)+$B$3))),IF($D$15="",INDEX(orderHistory[lock_goods],SMALL(IF(ISNUMBER(MATCH(orderHistory[order_type],$D$13,0)),MATCH(ROW(orderHistory[customer]),ROW(orderHistory[customer])),""),ROWS($A$15:A44)+$B$3)),INDEX(orderHistory[lock_goods],SMALL(IF(ISNUMBER(MATCH(orderHistory[order_type],$D$13,0)*MATCH(YEAR(orderHistory[invoice_date]),$D$15,0)),MATCH(ROW(orderHistory[customer]),ROW(orderHistory[customer])),""),ROWS($A$15:A44)+$B$3)))),IF($D$13="",IF($D$15="",INDEX(orderHistory[lock_goods],SMALL(IF(ISNUMBER(MATCH(orderHistory[status],$D$11,0)),MATCH(ROW(orderHistory[customer]),ROW(orderHistory[customer])),""),ROWS($A$15:A44)+$B$3)),INDEX(orderHistory[lock_goods],SMALL(IF(ISNUMBER(MATCH(orderHistory[status],$D$11,0)*MATCH(YEAR(orderHistory[invoice_date]),$D$15,0)),MATCH(ROW(orderHistory[customer]),ROW(orderHistory[customer])),""),ROWS($A$15:A44)+$B$3))),IF($D$15="",INDEX(orderHistory[lock_goods],SMALL(IF(ISNUMBER(MATCH(orderHistory[status],$D$11,0)*MATCH(orderHistory[order_type],$D$13,0)),MATCH(ROW(orderHistory[customer]),ROW(orderHistory[customer])),""),ROWS($A$15:A44)+$B$3)),INDEX(orderHistory[lock_goods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lock_goods],SMALL(IF(ISNUMBER(MATCH(orderHistory[customer],$D$9,0)),MATCH(ROW(orderHistory[customer]),ROW(orderHistory[customer])),""),ROWS($A$15:A44)+$B$3)),INDEX(orderHistory[lock_goods],SMALL(IF(ISNUMBER(MATCH(orderHistory[customer],$D$9,0)*MATCH(YEAR(orderHistory[invoice_date]),$D$15,0)),MATCH(ROW(orderHistory[customer]),ROW(orderHistory[customer])),""),ROWS($A$15:A44)+$B$3))),IF($D$15="",INDEX(orderHistory[lock_goods],SMALL(IF(ISNUMBER(MATCH(orderHistory[customer],$D$9,0)*MATCH(orderHistory[order_type],$D$13,0)),MATCH(ROW(orderHistory[customer]),ROW(orderHistory[customer])),""),ROWS($A$15:A44)+$B$3)),INDEX(orderHistory[lock_goods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lock_goods],SMALL(IF(ISNUMBER(MATCH(orderHistory[customer],$D$9,0)*MATCH(orderHistory[status],$D$11,0)),MATCH(ROW(orderHistory[customer]),ROW(orderHistory[customer])),""),ROWS($A$15:A44)+$B$3)),INDEX(orderHistory[lock_goods],SMALL(IF(ISNUMBER(MATCH(orderHistory[customer],$D$9,0)*MATCH(orderHistory[status],$D$11,0)*MATCH(YEAR(orderHistory[payed]),$D$15,0)),MATCH(ROW(orderHistory[customer]),ROW(orderHistory[customer])),""),ROWS($A$15:A44)+$B$3))),IF($D$15="",INDEX(orderHistory[lock_goods],SMALL(IF(ISNUMBER(MATCH(orderHistory[customer],$D$9,0)*MATCH(orderHistory[status],$D$11,0)*MATCH(orderHistory[order_type],$D$13,0)),MATCH(ROW(orderHistory[customer]),ROW(orderHistory[customer])),""),ROWS($A$15:A44)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GOODS SENT</v>
      </c>
      <c r="T39" s="388" t="b">
        <f t="array" ref="T39">IFERROR(IF($D$9="",IF($D$11="",IF($D$13="",IF($D$15="",INDEX(orderHistory[payed],SMALL(MATCH(ROW(orderHistory[customer]),ROW(orderHistory[customer])),ROWS($A$15:A44)+$B$3)),INDEX(orderHistory[payed],SMALL(IF(ISNUMBER(MATCH(YEAR(orderHistory[invoice_date]),$D$15,0)),MATCH(ROW(orderHistory[customer]),ROW(orderHistory[customer])),""),ROWS($A$15:A44)+$B$3))),IF($D$15="",INDEX(orderHistory[payed],SMALL(IF(ISNUMBER(MATCH(orderHistory[order_type],$D$13,0)),MATCH(ROW(orderHistory[customer]),ROW(orderHistory[customer])),""),ROWS($A$15:A44)+$B$3)),INDEX(orderHistory[payed],SMALL(IF(ISNUMBER(MATCH(orderHistory[order_type],$D$13,0)*MATCH(YEAR(orderHistory[invoice_date]),$D$15,0)),MATCH(ROW(orderHistory[customer]),ROW(orderHistory[customer])),""),ROWS($A$15:A44)+$B$3)))),IF($D$13="",IF($D$15="",INDEX(orderHistory[payed],SMALL(IF(ISNUMBER(MATCH(orderHistory[status],$D$11,0)),MATCH(ROW(orderHistory[customer]),ROW(orderHistory[customer])),""),ROWS($A$15:A44)+$B$3)),INDEX(orderHistory[payed],SMALL(IF(ISNUMBER(MATCH(orderHistory[status],$D$11,0)*MATCH(YEAR(orderHistory[invoice_date]),$D$15,0)),MATCH(ROW(orderHistory[customer]),ROW(orderHistory[customer])),""),ROWS($A$15:A44)+$B$3))),IF($D$15="",INDEX(orderHistory[payed],SMALL(IF(ISNUMBER(MATCH(orderHistory[status],$D$11,0)*MATCH(orderHistory[order_type],$D$13,0)),MATCH(ROW(orderHistory[customer]),ROW(orderHistory[customer])),""),ROWS($A$15:A44)+$B$3)),INDEX(orderHistory[payed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payed],SMALL(IF(ISNUMBER(MATCH(orderHistory[customer],$D$9,0)),MATCH(ROW(orderHistory[customer]),ROW(orderHistory[customer])),""),ROWS($A$15:A44)+$B$3)),INDEX(orderHistory[payed],SMALL(IF(ISNUMBER(MATCH(orderHistory[customer],$D$9,0)*MATCH(YEAR(orderHistory[invoice_date]),$D$15,0)),MATCH(ROW(orderHistory[customer]),ROW(orderHistory[customer])),""),ROWS($A$15:A44)+$B$3))),IF($D$15="",INDEX(orderHistory[payed],SMALL(IF(ISNUMBER(MATCH(orderHistory[customer],$D$9,0)*MATCH(orderHistory[order_type],$D$13,0)),MATCH(ROW(orderHistory[customer]),ROW(orderHistory[customer])),""),ROWS($A$15:A44)+$B$3)),INDEX(orderHistory[payed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payed],SMALL(IF(ISNUMBER(MATCH(orderHistory[customer],$D$9,0)*MATCH(orderHistory[status],$D$11,0)),MATCH(ROW(orderHistory[customer]),ROW(orderHistory[customer])),""),ROWS($A$15:A44)+$B$3)),INDEX(orderHistory[payed],SMALL(IF(ISNUMBER(MATCH(orderHistory[customer],$D$9,0)*MATCH(orderHistory[status],$D$11,0)*MATCH(YEAR(orderHistory[payed]),$D$15,0)),MATCH(ROW(orderHistory[customer]),ROW(orderHistory[customer])),""),ROWS($A$15:A44)+$B$3))),IF($D$15="",INDEX(orderHistory[payed],SMALL(IF(ISNUMBER(MATCH(orderHistory[customer],$D$9,0)*MATCH(orderHistory[status],$D$11,0)*MATCH(orderHistory[order_type],$D$13,0)),MATCH(ROW(orderHistory[customer]),ROW(orderHistory[customer])),""),ROWS($A$15:A44)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1</v>
      </c>
      <c r="U39" s="383" t="str">
        <f t="array" ref="U39">IFERROR(IF($D$9="",IF($D$11="",IF($D$13="",IF($D$15="",INDEX(orderHistory[shipping_method],SMALL(MATCH(ROW(orderHistory[customer]),ROW(orderHistory[customer])),ROWS($A$15:A44)+$B$3)),INDEX(orderHistory[shipping_method],SMALL(IF(ISNUMBER(MATCH(YEAR(orderHistory[invoice_date]),$D$15,0)),MATCH(ROW(orderHistory[customer]),ROW(orderHistory[customer])),""),ROWS($A$15:A44)+$B$3))),IF($D$15="",INDEX(orderHistory[shipping_method],SMALL(IF(ISNUMBER(MATCH(orderHistory[order_type],$D$13,0)),MATCH(ROW(orderHistory[customer]),ROW(orderHistory[customer])),""),ROWS($A$15:A44)+$B$3)),INDEX(orderHistory[shipping_method],SMALL(IF(ISNUMBER(MATCH(orderHistory[order_type],$D$13,0)*MATCH(YEAR(orderHistory[invoice_date]),$D$15,0)),MATCH(ROW(orderHistory[customer]),ROW(orderHistory[customer])),""),ROWS($A$15:A44)+$B$3)))),IF($D$13="",IF($D$15="",INDEX(orderHistory[shipping_method],SMALL(IF(ISNUMBER(MATCH(orderHistory[status],$D$11,0)),MATCH(ROW(orderHistory[customer]),ROW(orderHistory[customer])),""),ROWS($A$15:A44)+$B$3)),INDEX(orderHistory[shipping_method],SMALL(IF(ISNUMBER(MATCH(orderHistory[status],$D$11,0)*MATCH(YEAR(orderHistory[invoice_date]),$D$15,0)),MATCH(ROW(orderHistory[customer]),ROW(orderHistory[customer])),""),ROWS($A$15:A44)+$B$3))),IF($D$15="",INDEX(orderHistory[shipping_method],SMALL(IF(ISNUMBER(MATCH(orderHistory[status],$D$11,0)*MATCH(orderHistory[order_type],$D$13,0)),MATCH(ROW(orderHistory[customer]),ROW(orderHistory[customer])),""),ROWS($A$15:A44)+$B$3)),INDEX(orderHistory[shipping_method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shipping_method],SMALL(IF(ISNUMBER(MATCH(orderHistory[customer],$D$9,0)),MATCH(ROW(orderHistory[customer]),ROW(orderHistory[customer])),""),ROWS($A$15:A44)+$B$3)),INDEX(orderHistory[shipping_method],SMALL(IF(ISNUMBER(MATCH(orderHistory[customer],$D$9,0)*MATCH(YEAR(orderHistory[invoice_date]),$D$15,0)),MATCH(ROW(orderHistory[customer]),ROW(orderHistory[customer])),""),ROWS($A$15:A44)+$B$3))),IF($D$15="",INDEX(orderHistory[shipping_method],SMALL(IF(ISNUMBER(MATCH(orderHistory[customer],$D$9,0)*MATCH(orderHistory[order_type],$D$13,0)),MATCH(ROW(orderHistory[customer]),ROW(orderHistory[customer])),""),ROWS($A$15:A44)+$B$3)),INDEX(orderHistory[shipping_method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shipping_method],SMALL(IF(ISNUMBER(MATCH(orderHistory[customer],$D$9,0)*MATCH(orderHistory[status],$D$11,0)),MATCH(ROW(orderHistory[customer]),ROW(orderHistory[customer])),""),ROWS($A$15:A44)+$B$3)),INDEX(orderHistory[shipping_method],SMALL(IF(ISNUMBER(MATCH(orderHistory[customer],$D$9,0)*MATCH(orderHistory[status],$D$11,0)*MATCH(YEAR(orderHistory[shipping_method]),$D$15,0)),MATCH(ROW(orderHistory[customer]),ROW(orderHistory[customer])),""),ROWS($A$15:A44)+$B$3))),IF($D$15="",INDEX(orderHistory[shipping_method],SMALL(IF(ISNUMBER(MATCH(orderHistory[customer],$D$9,0)*MATCH(orderHistory[status],$D$11,0)*MATCH(orderHistory[order_type],$D$13,0)),MATCH(ROW(orderHistory[customer]),ROW(orderHistory[customer])),""),ROWS($A$15:A44)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BY ROAD</v>
      </c>
      <c r="V39" s="388" t="str">
        <f t="array" ref="V39">IFERROR(IF($D$9="",IF($D$11="",IF($D$13="",IF($D$15="",INDEX(orderHistory[status],SMALL(MATCH(ROW(orderHistory[customer]),ROW(orderHistory[customer])),ROWS($A$15:A44)+$B$3)),INDEX(orderHistory[status],SMALL(IF(ISNUMBER(MATCH(YEAR(orderHistory[invoice_date]),$D$15,0)),MATCH(ROW(orderHistory[customer]),ROW(orderHistory[customer])),""),ROWS($A$15:A44)+$B$3))),IF($D$15="",INDEX(orderHistory[status],SMALL(IF(ISNUMBER(MATCH(orderHistory[order_type],$D$13,0)),MATCH(ROW(orderHistory[customer]),ROW(orderHistory[customer])),""),ROWS($A$15:A44)+$B$3)),INDEX(orderHistory[status],SMALL(IF(ISNUMBER(MATCH(orderHistory[order_type],$D$13,0)*MATCH(YEAR(orderHistory[invoice_date]),$D$15,0)),MATCH(ROW(orderHistory[customer]),ROW(orderHistory[customer])),""),ROWS($A$15:A44)+$B$3)))),IF($D$13="",IF($D$15="",INDEX(orderHistory[status],SMALL(IF(ISNUMBER(MATCH(orderHistory[status],$D$11,0)),MATCH(ROW(orderHistory[customer]),ROW(orderHistory[customer])),""),ROWS($A$15:A44)+$B$3)),INDEX(orderHistory[status],SMALL(IF(ISNUMBER(MATCH(orderHistory[status],$D$11,0)*MATCH(YEAR(orderHistory[invoice_date]),$D$15,0)),MATCH(ROW(orderHistory[customer]),ROW(orderHistory[customer])),""),ROWS($A$15:A44)+$B$3))),IF($D$15="",INDEX(orderHistory[status],SMALL(IF(ISNUMBER(MATCH(orderHistory[status],$D$11,0)*MATCH(orderHistory[order_type],$D$13,0)),MATCH(ROW(orderHistory[customer]),ROW(orderHistory[customer])),""),ROWS($A$15:A44)+$B$3)),INDEX(orderHistory[status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status],SMALL(IF(ISNUMBER(MATCH(orderHistory[customer],$D$9,0)),MATCH(ROW(orderHistory[customer]),ROW(orderHistory[customer])),""),ROWS($A$15:A44)+$B$3)),INDEX(orderHistory[status],SMALL(IF(ISNUMBER(MATCH(orderHistory[customer],$D$9,0)*MATCH(YEAR(orderHistory[invoice_date]),$D$15,0)),MATCH(ROW(orderHistory[customer]),ROW(orderHistory[customer])),""),ROWS($A$15:A44)+$B$3))),IF($D$15="",INDEX(orderHistory[status],SMALL(IF(ISNUMBER(MATCH(orderHistory[customer],$D$9,0)*MATCH(orderHistory[order_type],$D$13,0)),MATCH(ROW(orderHistory[customer]),ROW(orderHistory[customer])),""),ROWS($A$15:A44)+$B$3)),INDEX(orderHistory[status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status],SMALL(IF(ISNUMBER(MATCH(orderHistory[customer],$D$9,0)*MATCH(orderHistory[status],$D$11,0)),MATCH(ROW(orderHistory[customer]),ROW(orderHistory[customer])),""),ROWS($A$15:A44)+$B$3)),INDEX(orderHistory[status],SMALL(IF(ISNUMBER(MATCH(orderHistory[customer],$D$9,0)*MATCH(orderHistory[status],$D$11,0)*MATCH(YEAR(orderHistory[status]),$D$15,0)),MATCH(ROW(orderHistory[customer]),ROW(orderHistory[customer])),""),ROWS($A$15:A44)+$B$3))),IF($D$15="",INDEX(orderHistory[status],SMALL(IF(ISNUMBER(MATCH(orderHistory[customer],$D$9,0)*MATCH(orderHistory[status],$D$11,0)*MATCH(orderHistory[order_type],$D$13,0)),MATCH(ROW(orderHistory[customer]),ROW(orderHistory[customer])),""),ROWS($A$15:A44)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SHIPPED</v>
      </c>
      <c r="W39" s="547" t="str">
        <f t="array" ref="W39">IFERROR(IF($D$9="",IF($D$11="",IF($D$13="",IF($D$15="",INDEX(orderHistory[custom_docs],SMALL(MATCH(ROW(orderHistory[customer]),ROW(orderHistory[customer])),ROWS($A$15:A44)+$B$3)),INDEX(orderHistory[custom_docs],SMALL(IF(ISNUMBER(MATCH(YEAR(orderHistory[invoice_date]),$D$15,0)),MATCH(ROW(orderHistory[customer]),ROW(orderHistory[customer])),""),ROWS($A$15:A44)+$B$3))),IF($D$15="",INDEX(orderHistory[custom_docs],SMALL(IF(ISNUMBER(MATCH(orderHistory[order_type],$D$13,0)),MATCH(ROW(orderHistory[customer]),ROW(orderHistory[customer])),""),ROWS($A$15:A44)+$B$3)),INDEX(orderHistory[custom_docs],SMALL(IF(ISNUMBER(MATCH(orderHistory[order_type],$D$13,0)*MATCH(YEAR(orderHistory[invoice_date]),$D$15,0)),MATCH(ROW(orderHistory[customer]),ROW(orderHistory[customer])),""),ROWS($A$15:A44)+$B$3)))),IF($D$13="",IF($D$15="",INDEX(orderHistory[custom_docs],SMALL(IF(ISNUMBER(MATCH(orderHistory[status],$D$11,0)),MATCH(ROW(orderHistory[customer]),ROW(orderHistory[customer])),""),ROWS($A$15:A44)+$B$3)),INDEX(orderHistory[custom_docs],SMALL(IF(ISNUMBER(MATCH(orderHistory[status],$D$11,0)*MATCH(YEAR(orderHistory[invoice_date]),$D$15,0)),MATCH(ROW(orderHistory[customer]),ROW(orderHistory[customer])),""),ROWS($A$15:A44)+$B$3))),IF($D$15="",INDEX(orderHistory[custom_docs],SMALL(IF(ISNUMBER(MATCH(orderHistory[status],$D$11,0)*MATCH(orderHistory[order_type],$D$13,0)),MATCH(ROW(orderHistory[customer]),ROW(orderHistory[customer])),""),ROWS($A$15:A44)+$B$3)),INDEX(orderHistory[custom_docs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custom_docs],SMALL(IF(ISNUMBER(MATCH(orderHistory[customer],$D$9,0)),MATCH(ROW(orderHistory[customer]),ROW(orderHistory[customer])),""),ROWS($A$15:A44)+$B$3)),INDEX(orderHistory[custom_docs],SMALL(IF(ISNUMBER(MATCH(orderHistory[customer],$D$9,0)*MATCH(YEAR(orderHistory[invoice_date]),$D$15,0)),MATCH(ROW(orderHistory[customer]),ROW(orderHistory[customer])),""),ROWS($A$15:A44)+$B$3))),IF($D$15="",INDEX(orderHistory[custom_docs],SMALL(IF(ISNUMBER(MATCH(orderHistory[customer],$D$9,0)*MATCH(orderHistory[order_type],$D$13,0)),MATCH(ROW(orderHistory[customer]),ROW(orderHistory[customer])),""),ROWS($A$15:A44)+$B$3)),INDEX(orderHistory[custom_docs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custom_docs],SMALL(IF(ISNUMBER(MATCH(orderHistory[customer],$D$9,0)*MATCH(orderHistory[status],$D$11,0)),MATCH(ROW(orderHistory[customer]),ROW(orderHistory[customer])),""),ROWS($A$15:A44)+$B$3)),INDEX(orderHistory[custom_docs],SMALL(IF(ISNUMBER(MATCH(orderHistory[customer],$D$9,0)*MATCH(orderHistory[status],$D$11,0)*MATCH(YEAR(orderHistory[status]),$D$15,0)),MATCH(ROW(orderHistory[customer]),ROW(orderHistory[customer])),""),ROWS($A$15:A44)+$B$3))),IF($D$15="",INDEX(orderHistory[custom_docs],SMALL(IF(ISNUMBER(MATCH(orderHistory[customer],$D$9,0)*MATCH(orderHistory[status],$D$11,0)*MATCH(orderHistory[order_type],$D$13,0)),MATCH(ROW(orderHistory[customer]),ROW(orderHistory[customer])),""),ROWS($A$15:A44)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OK</v>
      </c>
      <c r="AQ39" s="308"/>
      <c r="AR39" s="359"/>
      <c r="AS39" s="351"/>
      <c r="AT39" s="360"/>
      <c r="AU39" s="271"/>
      <c r="AW39" s="306"/>
      <c r="BJ39" s="271"/>
      <c r="BK39" s="296"/>
      <c r="BL39" s="297"/>
      <c r="BM39" s="298"/>
      <c r="BN39" s="297"/>
      <c r="BO39" s="298"/>
      <c r="BZ39" s="487"/>
      <c r="CA39" s="401" t="str">
        <f>IFERROR(IF(BZ39="","",INDEX(bhpc_data[description],MATCH(BZ39,bhpc_data[sku],0))),"")</f>
        <v/>
      </c>
      <c r="CB39" s="402"/>
      <c r="CC39" s="887"/>
      <c r="CD39" s="409"/>
      <c r="CE39" s="890"/>
      <c r="CF39" s="404"/>
      <c r="CG39" s="405" t="str">
        <f>IFERROR(ROUNDUP(CB39/INDEX(bhpc_data[units_per_carton],MATCH(BZ39,bhpc_data[sku],0)),0),"")</f>
        <v/>
      </c>
      <c r="CH39" s="406" t="str">
        <f>IFERROR(ROUNDUP(CD39/INDEX(bhpc_data[units_per_carton],MATCH(BZ39,bhpc_data[sku],0)),0),"")</f>
        <v/>
      </c>
      <c r="CI39" s="406" t="str">
        <f>IFERROR(ROUNDUP(CF39/INDEX(bhpc_data[units_per_carton],MATCH(BZ39,bhpc_data[sku])),0),"")</f>
        <v/>
      </c>
      <c r="CJ39" s="406" t="str">
        <f>IFERROR(((CB39+CD39+CF39)/INDEX(bhpc_data[units_per_carton],MATCH(BZ39,bhpc_data[sku],0)))*INDEX(bhpc_data[net_weight],MATCH(BZ39,bhpc_data[sku],0)),"")</f>
        <v/>
      </c>
      <c r="CK39" s="406" t="str">
        <f>IFERROR(((CB39+CD39+CF39)/INDEX(bhpc_data[units_per_carton],MATCH(BZ39,bhpc_data[sku],0)))*INDEX(bhpc_data[gross_weight],MATCH(BZ39,bhpc_data[sku],0)),"")</f>
        <v/>
      </c>
      <c r="CL39" s="602" t="str">
        <f>IFERROR((CB39+CD39+CF39)/INDEX(bhpc_data[units_per_carton],MATCH(BZ39,bhpc_data[sku],0))*INDEX(bhpc_data[length],MATCH(BZ39,bhpc_data[sku],0))*INDEX(bhpc_data[width],MATCH(BZ39,bhpc_data[sku],0))*INDEX(bhpc_data[height],MATCH(BZ39,bhpc_data[sku],0))/1000000000,"")</f>
        <v/>
      </c>
      <c r="CM39" s="407" t="str">
        <f>IFERROR(INDEX(bhpc_data[category],MATCH(BZ39,bhpc_data[sku],0)),"")</f>
        <v/>
      </c>
      <c r="CN39" s="407" t="str">
        <f>IFERROR(INDEX(bhpc_data[size],MATCH(BZ39,bhpc_data[sku],0)),"")</f>
        <v/>
      </c>
      <c r="CO39" s="408" t="str">
        <f>IFERROR(INDEX(bhpc_data[hs_code],MATCH(BZ39,bhpc_data[sku],0)),"")</f>
        <v/>
      </c>
      <c r="CP39" s="489" t="str">
        <f>IFERROR(INDEX(bhpc_data[sku_geko],MATCH(BZ39,bhpc_data[sku],0)),"")</f>
        <v/>
      </c>
      <c r="CQ39" s="404"/>
      <c r="CR39" s="517" t="str">
        <f>IFERROR(IF(BZ39="","",IF($BX$15="SALE",INDEX(inventory[COSTO UNITARIO],MATCH(BZ39,inventory[SKU],0)),IF($BX$15="SAMPLING",INDEX(inventory[COSTO UNITARIO],MATCH(BZ39,inventory[SKU],0)),""))),"")</f>
        <v/>
      </c>
      <c r="CS39" s="517" t="str">
        <f t="shared" si="5"/>
        <v/>
      </c>
      <c r="CT39" s="896" t="str">
        <f t="shared" si="6"/>
        <v/>
      </c>
      <c r="CU39" s="469" t="str">
        <f t="shared" si="0"/>
        <v/>
      </c>
      <c r="DB39" s="280" t="str">
        <f>IFERROR(VLOOKUP(BZ39,bhpc_data[],22,FALSE),"")</f>
        <v/>
      </c>
      <c r="DH39" s="215"/>
      <c r="EE39" s="439" t="str" cm="1">
        <f t="array" ref="EE39">IFERROR(IF($EC$9="",IF($EC$11="",IF($EC$13="",INDEX(bhpc_data[sku],SMALL(MATCH(ROW(bhpc_data[sku]),ROW(bhpc_data[sku])),ROWS($A$15:A44)+$B$3)),INDEX(bhpc_data[sku],SMALL(IF(ISNUMBER(MATCH(bhpc_data[size],$EC$13,0)),MATCH(ROW(bhpc_data[sku]),ROW(bhpc_data[sku])),""),ROWS($A$15:A44)+$B$3))),IF($EC$13="",INDEX(bhpc_data[sku],SMALL(IF(ISNUMBER(MATCH(bhpc_data[sex],$EC$11,0)),MATCH(ROW(bhpc_data[sku]),ROW(bhpc_data[sku])),""),ROWS($A$15:A44)+$B$3)),INDEX(bhpc_data[sku],SMALL(IF(ISNUMBER(MATCH(bhpc_data[sex],$EC$11,0)*MATCH(bhpc_data[size],$EC$13,0)),MATCH(ROW(bhpc_data[sku]),ROW(bhpc_data[sku])),""),ROWS($A$15:A44)+$B$3)))),IF($EC$11="",IF($EC$13="",INDEX(bhpc_data[sku],SMALL(IF(ISNUMBER(MATCH(bhpc_data[category],$EC$9,0)),MATCH(ROW(bhpc_data[sku]),ROW(bhpc_data[sku])),""),ROWS($A$15:A44)+$B$3)),INDEX(bhpc_data[sku],SMALL(IF(ISNUMBER(MATCH(bhpc_data[category],$EC$9,0)*MATCH(bhpc_data[size],$EC$13,0)),MATCH(ROW(bhpc_data[sku]),ROW(bhpc_data[sku])),""),ROWS($A$15:A44)+$B$3))),IF($EC$13="",INDEX(bhpc_data[sku],SMALL(IF(ISNUMBER(MATCH(bhpc_data[category],$EC$9,0)*MATCH(bhpc_data[sex],$EC$11,0)),MATCH(ROW(bhpc_data[sku]),ROW(bhpc_data[sku])),""),ROWS($A$15:A44)+$B$3)),INDEX(bhpc_data[sku],SMALL(IF(ISNUMBER(MATCH(bhpc_data[category],$EC$9,0)*MATCH(bhpc_data[sex],$EC$11,0)*MATCH(bhpc_data[size],$EC$13,0)),MATCH(ROW(bhpc_data[sku]),ROW(bhpc_data[sku])),""),ROWS($A$15:A44)+$B$3))))),"")</f>
        <v>P06003</v>
      </c>
      <c r="EF39" s="440" t="str" cm="1">
        <f t="array" ref="EF39">IFERROR(IF($EC$9="",IF($EC$11="",IF($EC$13="",INDEX(bhpc_data[description],SMALL(MATCH(ROW(bhpc_data[sku]),ROW(bhpc_data[sku])),ROWS($A$15:A44)+$B$3)),INDEX(bhpc_data[description],SMALL(IF(ISNUMBER(MATCH(bhpc_data[size],$EC$13,0)),MATCH(ROW(bhpc_data[sku]),ROW(bhpc_data[sku])),""),ROWS($A$15:A44)+$B$3))),IF($EC$13="",INDEX(bhpc_data[description],SMALL(IF(ISNUMBER(MATCH(bhpc_data[sex],$EC$11,0)),MATCH(ROW(bhpc_data[sku]),ROW(bhpc_data[sku])),""),ROWS($A$15:A44)+$B$3)),INDEX(bhpc_data[description],SMALL(IF(ISNUMBER(MATCH(bhpc_data[sex],$EC$11,0)*MATCH(bhpc_data[size],$EC$13,0)),MATCH(ROW(bhpc_data[sku]),ROW(bhpc_data[sku])),""),ROWS($A$15:A44)+$B$3)))),IF($EC$11="",IF($EC$13="",INDEX(bhpc_data[description],SMALL(IF(ISNUMBER(MATCH(bhpc_data[category],$EC$9,0)),MATCH(ROW(bhpc_data[sku]),ROW(bhpc_data[sku])),""),ROWS($A$15:A44)+$B$3)),INDEX(bhpc_data[description],SMALL(IF(ISNUMBER(MATCH(bhpc_data[category],$EC$9,0)*MATCH(bhpc_data[size],$EC$13,0)),MATCH(ROW(bhpc_data[sku]),ROW(bhpc_data[sku])),""),ROWS($A$15:A44)+$B$3))),IF($EC$13="",INDEX(bhpc_data[description],SMALL(IF(ISNUMBER(MATCH(bhpc_data[category],$EC$9,0)*MATCH(bhpc_data[sex],$EC$11,0)),MATCH(ROW(bhpc_data[sku]),ROW(bhpc_data[sku])),""),ROWS($A$15:A44)+$B$3)),INDEX(bhpc_data[description],SMALL(IF(ISNUMBER(MATCH(bhpc_data[category],$EC$9,0)*MATCH(bhpc_data[sex],$EC$11,0)*MATCH(bhpc_data[size],$EC$13,0)),MATCH(ROW(bhpc_data[sku]),ROW(bhpc_data[sku])),""),ROWS($A$15:A44)+$B$3))))),"")</f>
        <v>BHPC PRESTIGE TITAN 100ML EDP MEN</v>
      </c>
      <c r="EG39" s="441">
        <f>IFERROR(IF('BHPC MANAGER'!$EE39="","",INDEX(inventory[ESISTENZA],MATCH('BHPC MANAGER'!$EE39,inventory[SKU],0))),0)</f>
        <v>2114</v>
      </c>
      <c r="EH39" s="442">
        <v>-2112</v>
      </c>
      <c r="EI39" s="442">
        <f t="shared" si="1"/>
        <v>2</v>
      </c>
      <c r="EJ39" s="443">
        <v>0</v>
      </c>
      <c r="EK39" s="444">
        <f t="shared" si="2"/>
        <v>2</v>
      </c>
      <c r="FF39" s="263"/>
      <c r="FG39" s="263"/>
      <c r="FH39" s="263"/>
      <c r="FI39" s="263"/>
      <c r="FJ39" s="263"/>
      <c r="FK39" s="263"/>
      <c r="FL39" s="263"/>
      <c r="FM39" s="263"/>
      <c r="FN39" s="263"/>
      <c r="FO39" s="263"/>
      <c r="FP39" s="263"/>
      <c r="FQ39" s="263"/>
      <c r="FR39" s="263"/>
      <c r="FS39" s="263"/>
      <c r="FT39" s="263"/>
      <c r="FU39" s="263"/>
      <c r="FV39" s="263"/>
      <c r="FW39" s="263"/>
      <c r="FX39" s="263"/>
      <c r="FY39" s="263"/>
      <c r="FZ39" s="263"/>
      <c r="GA39" s="263"/>
      <c r="GB39" s="263"/>
      <c r="GC39" s="263"/>
      <c r="GD39" s="263"/>
      <c r="GE39" s="263"/>
      <c r="GF39" s="263"/>
      <c r="GG39" s="263"/>
      <c r="GH39" s="263"/>
      <c r="GI39" s="263"/>
      <c r="GJ39" s="263"/>
      <c r="GK39" s="263"/>
      <c r="GL39" s="263"/>
      <c r="GM39" s="263"/>
      <c r="GN39" s="263"/>
      <c r="GO39" s="263"/>
      <c r="GP39" s="263"/>
      <c r="GQ39" s="263"/>
      <c r="GR39" s="263"/>
      <c r="GS39" s="263"/>
      <c r="GT39" s="263"/>
      <c r="GU39" s="263"/>
      <c r="GV39" s="263"/>
      <c r="GW39" s="263"/>
      <c r="GX39" s="263"/>
      <c r="GY39" s="263"/>
      <c r="GZ39" s="263"/>
      <c r="HA39" s="263"/>
      <c r="HB39" s="263"/>
      <c r="HC39" s="263"/>
      <c r="HD39" s="263"/>
      <c r="HE39" s="263"/>
      <c r="HF39" s="263"/>
      <c r="HG39" s="263"/>
      <c r="HH39" s="263"/>
      <c r="HI39" s="263"/>
      <c r="HJ39" s="263"/>
      <c r="HK39" s="263"/>
      <c r="HL39" s="263"/>
      <c r="HM39" s="263"/>
      <c r="HN39" s="263"/>
      <c r="HO39" s="263"/>
      <c r="HP39" s="263"/>
      <c r="HQ39" s="263"/>
      <c r="HR39" s="263"/>
      <c r="HS39" s="263"/>
      <c r="HT39" s="263"/>
    </row>
    <row r="40" spans="6:228" ht="15" customHeight="1" thickBot="1" x14ac:dyDescent="0.4">
      <c r="F40" s="91"/>
      <c r="G40" s="803"/>
      <c r="H40" s="804"/>
      <c r="I40" s="805"/>
      <c r="J40" s="77"/>
      <c r="L40" s="381" t="str">
        <f t="array" ref="L40">IFERROR(IF($D$9="",IF($D$11="",IF($D$13="",IF($D$15="",INDEX(orderHistory[customer],SMALL(MATCH(ROW(orderHistory[customer]),ROW(orderHistory[customer])),ROWS($A$15:A45)+$B$3)),INDEX(orderHistory[customer],SMALL(IF(ISNUMBER(MATCH(YEAR(orderHistory[invoice_date]),$D$15,0)),MATCH(ROW(orderHistory[customer]),ROW(orderHistory[customer])),""),ROWS($A$15:A45)+$B$3))),IF($D$15="",INDEX(orderHistory[customer],SMALL(IF(ISNUMBER(MATCH(orderHistory[order_type],$D$13,0)),MATCH(ROW(orderHistory[customer]),ROW(orderHistory[customer])),""),ROWS($A$15:A45)+$B$3)),INDEX(orderHistory[customer],SMALL(IF(ISNUMBER(MATCH(orderHistory[order_type],$D$13,0)*MATCH(YEAR(orderHistory[invoice_date]),$D$15,0)),MATCH(ROW(orderHistory[customer]),ROW(orderHistory[customer])),""),ROWS($A$15:A45)+$B$3)))),IF($D$13="",IF($D$15="",INDEX(orderHistory[customer],SMALL(IF(ISNUMBER(MATCH(orderHistory[status],$D$11,0)),MATCH(ROW(orderHistory[customer]),ROW(orderHistory[customer])),""),ROWS($A$15:A45)+$B$3)),INDEX(orderHistory[customer],SMALL(IF(ISNUMBER(MATCH(orderHistory[status],$D$11,0)*MATCH(YEAR(orderHistory[invoice_date]),$D$15,0)),MATCH(ROW(orderHistory[customer]),ROW(orderHistory[customer])),""),ROWS($A$15:A45)+$B$3))),IF($D$15="",INDEX(orderHistory[customer],SMALL(IF(ISNUMBER(MATCH(orderHistory[status],$D$11,0)*MATCH(orderHistory[order_type],$D$13,0)),MATCH(ROW(orderHistory[customer]),ROW(orderHistory[customer])),""),ROWS($A$15:A45)+$B$3)),INDEX(orderHistory[customer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customer],SMALL(IF(ISNUMBER(MATCH(orderHistory[customer],$D$9,0)),MATCH(ROW(orderHistory[customer]),ROW(orderHistory[customer])),""),ROWS($A$15:A45)+$B$3)),INDEX(orderHistory[customer],SMALL(IF(ISNUMBER(MATCH(orderHistory[customer],$D$9,0)*MATCH(YEAR(orderHistory[invoice_date]),$D$15,0)),MATCH(ROW(orderHistory[customer]),ROW(orderHistory[customer])),""),ROWS($A$15:A45)+$B$3))),IF($D$15="",INDEX(orderHistory[customer],SMALL(IF(ISNUMBER(MATCH(orderHistory[customer],$D$9,0)*MATCH(orderHistory[order_type],$D$13,0)),MATCH(ROW(orderHistory[customer]),ROW(orderHistory[customer])),""),ROWS($A$15:A45)+$B$3)),INDEX(orderHistory[customer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customer],SMALL(IF(ISNUMBER(MATCH(orderHistory[customer],$D$9,0)*MATCH(orderHistory[status],$D$11,0)),MATCH(ROW(orderHistory[customer]),ROW(orderHistory[customer])),""),ROWS($A$15:A45)+$B$3)),INDEX(orderHistory[customer],SMALL(IF(ISNUMBER(MATCH(orderHistory[customer],$D$9,0)*MATCH(orderHistory[status],$D$11,0)*MATCH(YEAR(orderHistory[invoice_date]),$D$15,0)),MATCH(ROW(orderHistory[customer]),ROW(orderHistory[customer])),""),ROWS($A$15:A45)+$B$3))),IF($D$15="",INDEX(orderHistory[customer],SMALL(IF(ISNUMBER(MATCH(orderHistory[customer],$D$9,0)*MATCH(orderHistory[status],$D$11,0)*MATCH(orderHistory[order_type],$D$13,0)),MATCH(ROW(orderHistory[customer]),ROW(orderHistory[customer])),""),ROWS($A$15:A45)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DRUNI</v>
      </c>
      <c r="M40" s="382">
        <f t="array" ref="M40">IFERROR(IF($D$9="",IF($D$11="",IF($D$13="",IF($D$15="",INDEX(orderHistory[order_no],SMALL(MATCH(ROW(orderHistory[customer]),ROW(orderHistory[customer])),ROWS($A$15:A45)+$B$3)),INDEX(orderHistory[order_no],SMALL(IF(ISNUMBER(MATCH(YEAR(orderHistory[invoice_date]),$D$15,0)),MATCH(ROW(orderHistory[customer]),ROW(orderHistory[customer])),""),ROWS($A$15:A45)+$B$3))),IF($D$15="",INDEX(orderHistory[order_no],SMALL(IF(ISNUMBER(MATCH(orderHistory[order_type],$D$13,0)),MATCH(ROW(orderHistory[customer]),ROW(orderHistory[customer])),""),ROWS($A$15:A45)+$B$3)),INDEX(orderHistory[order_no],SMALL(IF(ISNUMBER(MATCH(orderHistory[order_type],$D$13,0)*MATCH(YEAR(orderHistory[invoice_date]),$D$15,0)),MATCH(ROW(orderHistory[customer]),ROW(orderHistory[customer])),""),ROWS($A$15:A45)+$B$3)))),IF($D$13="",IF($D$15="",INDEX(orderHistory[order_no],SMALL(IF(ISNUMBER(MATCH(orderHistory[status],$D$11,0)),MATCH(ROW(orderHistory[customer]),ROW(orderHistory[customer])),""),ROWS($A$15:A45)+$B$3)),INDEX(orderHistory[order_no],SMALL(IF(ISNUMBER(MATCH(orderHistory[status],$D$11,0)*MATCH(YEAR(orderHistory[invoice_date]),$D$15,0)),MATCH(ROW(orderHistory[customer]),ROW(orderHistory[customer])),""),ROWS($A$15:A45)+$B$3))),IF($D$15="",INDEX(orderHistory[order_no],SMALL(IF(ISNUMBER(MATCH(orderHistory[status],$D$11,0)*MATCH(orderHistory[order_type],$D$13,0)),MATCH(ROW(orderHistory[customer]),ROW(orderHistory[customer])),""),ROWS($A$15:A45)+$B$3)),INDEX(orderHistory[order_no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order_no],SMALL(IF(ISNUMBER(MATCH(orderHistory[customer],$D$9,0)),MATCH(ROW(orderHistory[customer]),ROW(orderHistory[customer])),""),ROWS($A$15:A45)+$B$3)),INDEX(orderHistory[order_no],SMALL(IF(ISNUMBER(MATCH(orderHistory[customer],$D$9,0)*MATCH(YEAR(orderHistory[invoice_date]),$D$15,0)),MATCH(ROW(orderHistory[customer]),ROW(orderHistory[customer])),""),ROWS($A$15:A45)+$B$3))),IF($D$15="",INDEX(orderHistory[order_no],SMALL(IF(ISNUMBER(MATCH(orderHistory[customer],$D$9,0)*MATCH(orderHistory[order_type],$D$13,0)),MATCH(ROW(orderHistory[customer]),ROW(orderHistory[customer])),""),ROWS($A$15:A45)+$B$3)),INDEX(orderHistory[order_no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order_no],SMALL(IF(ISNUMBER(MATCH(orderHistory[customer],$D$9,0)*MATCH(orderHistory[status],$D$11,0)),MATCH(ROW(orderHistory[customer]),ROW(orderHistory[customer])),""),ROWS($A$15:A45)+$B$3)),INDEX(orderHistory[order_no],SMALL(IF(ISNUMBER(MATCH(orderHistory[customer],$D$9,0)*MATCH(orderHistory[status],$D$11,0)*MATCH(YEAR(orderHistory[invoice_date]),$D$15,0)),MATCH(ROW(orderHistory[customer]),ROW(orderHistory[customer])),""),ROWS($A$15:A45)+$B$3))),IF($D$15="",INDEX(orderHistory[order_no],SMALL(IF(ISNUMBER(MATCH(orderHistory[customer],$D$9,0)*MATCH(orderHistory[status],$D$11,0)*MATCH(orderHistory[order_type],$D$13,0)),MATCH(ROW(orderHistory[customer]),ROW(orderHistory[customer])),""),ROWS($A$15:A45)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25</v>
      </c>
      <c r="N40" s="383" t="str">
        <f t="array" ref="N40">IFERROR(IF($D$9="",IF($D$11="",IF($D$13="",IF($D$15="",INDEX(orderHistory[order_type],SMALL(MATCH(ROW(orderHistory[customer]),ROW(orderHistory[customer])),ROWS($A$15:A45)+$B$3)),INDEX(orderHistory[order_type],SMALL(IF(ISNUMBER(MATCH(YEAR(orderHistory[invoice_date]),$D$15,0)),MATCH(ROW(orderHistory[customer]),ROW(orderHistory[customer])),""),ROWS($A$15:A45)+$B$3))),IF($D$15="",INDEX(orderHistory[order_type],SMALL(IF(ISNUMBER(MATCH(orderHistory[order_type],$D$13,0)),MATCH(ROW(orderHistory[customer]),ROW(orderHistory[customer])),""),ROWS($A$15:A45)+$B$3)),INDEX(orderHistory[order_type],SMALL(IF(ISNUMBER(MATCH(orderHistory[order_type],$D$13,0)*MATCH(YEAR(orderHistory[invoice_date]),$D$15,0)),MATCH(ROW(orderHistory[customer]),ROW(orderHistory[customer])),""),ROWS($A$15:A45)+$B$3)))),IF($D$13="",IF($D$15="",INDEX(orderHistory[order_type],SMALL(IF(ISNUMBER(MATCH(orderHistory[status],$D$11,0)),MATCH(ROW(orderHistory[customer]),ROW(orderHistory[customer])),""),ROWS($A$15:A45)+$B$3)),INDEX(orderHistory[order_type],SMALL(IF(ISNUMBER(MATCH(orderHistory[status],$D$11,0)*MATCH(YEAR(orderHistory[invoice_date]),$D$15,0)),MATCH(ROW(orderHistory[customer]),ROW(orderHistory[customer])),""),ROWS($A$15:A45)+$B$3))),IF($D$15="",INDEX(orderHistory[order_type],SMALL(IF(ISNUMBER(MATCH(orderHistory[status],$D$11,0)*MATCH(orderHistory[order_type],$D$13,0)),MATCH(ROW(orderHistory[customer]),ROW(orderHistory[customer])),""),ROWS($A$15:A45)+$B$3)),INDEX(orderHistory[order_type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order_type],SMALL(IF(ISNUMBER(MATCH(orderHistory[customer],$D$9,0)),MATCH(ROW(orderHistory[customer]),ROW(orderHistory[customer])),""),ROWS($A$15:A45)+$B$3)),INDEX(orderHistory[order_type],SMALL(IF(ISNUMBER(MATCH(orderHistory[customer],$D$9,0)*MATCH(YEAR(orderHistory[invoice_date]),$D$15,0)),MATCH(ROW(orderHistory[customer]),ROW(orderHistory[customer])),""),ROWS($A$15:A45)+$B$3))),IF($D$15="",INDEX(orderHistory[order_type],SMALL(IF(ISNUMBER(MATCH(orderHistory[customer],$D$9,0)*MATCH(orderHistory[order_type],$D$13,0)),MATCH(ROW(orderHistory[customer]),ROW(orderHistory[customer])),""),ROWS($A$15:A45)+$B$3)),INDEX(orderHistory[order_type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order_type],SMALL(IF(ISNUMBER(MATCH(orderHistory[customer],$D$9,0)*MATCH(orderHistory[status],$D$11,0)),MATCH(ROW(orderHistory[customer]),ROW(orderHistory[customer])),""),ROWS($A$15:A45)+$B$3)),INDEX(orderHistory[order_type],SMALL(IF(ISNUMBER(MATCH(orderHistory[customer],$D$9,0)*MATCH(orderHistory[status],$D$11,0)*MATCH(YEAR(orderHistory[invoice_date]),$D$15,0)),MATCH(ROW(orderHistory[customer]),ROW(orderHistory[customer])),""),ROWS($A$15:A45)+$B$3))),IF($D$15="",INDEX(orderHistory[order_type],SMALL(IF(ISNUMBER(MATCH(orderHistory[customer],$D$9,0)*MATCH(orderHistory[status],$D$11,0)*MATCH(orderHistory[order_type],$D$13,0)),MATCH(ROW(orderHistory[customer]),ROW(orderHistory[customer])),""),ROWS($A$15:A45)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SALE</v>
      </c>
      <c r="O40" s="384">
        <f t="array" ref="O40">IFERROR(IF($D$9="",IF($D$11="",IF($D$13="",IF($D$15="",INDEX(orderHistory[order_date],SMALL(MATCH(ROW(orderHistory[customer]),ROW(orderHistory[customer])),ROWS($A$15:A45)+$B$3)),INDEX(orderHistory[order_date],SMALL(IF(ISNUMBER(MATCH(YEAR(orderHistory[invoice_date]),$D$15,0)),MATCH(ROW(orderHistory[customer]),ROW(orderHistory[customer])),""),ROWS($A$15:A45)+$B$3))),IF($D$15="",INDEX(orderHistory[order_date],SMALL(IF(ISNUMBER(MATCH(orderHistory[order_type],$D$13,0)),MATCH(ROW(orderHistory[customer]),ROW(orderHistory[customer])),""),ROWS($A$15:A45)+$B$3)),INDEX(orderHistory[order_date],SMALL(IF(ISNUMBER(MATCH(orderHistory[order_type],$D$13,0)*MATCH(YEAR(orderHistory[invoice_date]),$D$15,0)),MATCH(ROW(orderHistory[customer]),ROW(orderHistory[customer])),""),ROWS($A$15:A45)+$B$3)))),IF($D$13="",IF($D$15="",INDEX(orderHistory[order_date],SMALL(IF(ISNUMBER(MATCH(orderHistory[status],$D$11,0)),MATCH(ROW(orderHistory[customer]),ROW(orderHistory[customer])),""),ROWS($A$15:A45)+$B$3)),INDEX(orderHistory[order_date],SMALL(IF(ISNUMBER(MATCH(orderHistory[status],$D$11,0)*MATCH(YEAR(orderHistory[invoice_date]),$D$15,0)),MATCH(ROW(orderHistory[customer]),ROW(orderHistory[customer])),""),ROWS($A$15:A45)+$B$3))),IF($D$15="",INDEX(orderHistory[order_date],SMALL(IF(ISNUMBER(MATCH(orderHistory[status],$D$11,0)*MATCH(orderHistory[order_type],$D$13,0)),MATCH(ROW(orderHistory[customer]),ROW(orderHistory[customer])),""),ROWS($A$15:A45)+$B$3)),INDEX(orderHistory[order_date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order_date],SMALL(IF(ISNUMBER(MATCH(orderHistory[customer],$D$9,0)),MATCH(ROW(orderHistory[customer]),ROW(orderHistory[customer])),""),ROWS($A$15:A45)+$B$3)),INDEX(orderHistory[order_date],SMALL(IF(ISNUMBER(MATCH(orderHistory[customer],$D$9,0)*MATCH(YEAR(orderHistory[invoice_date]),$D$15,0)),MATCH(ROW(orderHistory[customer]),ROW(orderHistory[customer])),""),ROWS($A$15:A45)+$B$3))),IF($D$15="",INDEX(orderHistory[order_date],SMALL(IF(ISNUMBER(MATCH(orderHistory[customer],$D$9,0)*MATCH(orderHistory[order_type],$D$13,0)),MATCH(ROW(orderHistory[customer]),ROW(orderHistory[customer])),""),ROWS($A$15:A45)+$B$3)),INDEX(orderHistory[order_date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order_date],SMALL(IF(ISNUMBER(MATCH(orderHistory[customer],$D$9,0)*MATCH(orderHistory[status],$D$11,0)),MATCH(ROW(orderHistory[customer]),ROW(orderHistory[customer])),""),ROWS($A$15:A45)+$B$3)),INDEX(orderHistory[order_date],SMALL(IF(ISNUMBER(MATCH(orderHistory[customer],$D$9,0)*MATCH(orderHistory[status],$D$11,0)*MATCH(YEAR(orderHistory[invoice_date]),$D$15,0)),MATCH(ROW(orderHistory[customer]),ROW(orderHistory[customer])),""),ROWS($A$15:A45)+$B$3))),IF($D$15="",INDEX(orderHistory[order_date],SMALL(IF(ISNUMBER(MATCH(orderHistory[customer],$D$9,0)*MATCH(orderHistory[status],$D$11,0)*MATCH(orderHistory[order_type],$D$13,0)),MATCH(ROW(orderHistory[customer]),ROW(orderHistory[customer])),""),ROWS($A$15:A45)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45390</v>
      </c>
      <c r="P40" s="385" t="str">
        <f t="array" ref="P40">IFERROR(IF($D$9="",IF($D$11="",IF($D$13="",IF($D$15="",INDEX(orderHistory[invoice_no],SMALL(MATCH(ROW(orderHistory[customer]),ROW(orderHistory[customer])),ROWS($A$15:A45)+$B$3)),INDEX(orderHistory[invoice_no],SMALL(IF(ISNUMBER(MATCH(YEAR(orderHistory[invoice_date]),$D$15,0)),MATCH(ROW(orderHistory[customer]),ROW(orderHistory[customer])),""),ROWS($A$15:A45)+$B$3))),IF($D$15="",INDEX(orderHistory[invoice_no],SMALL(IF(ISNUMBER(MATCH(orderHistory[order_type],$D$13,0)),MATCH(ROW(orderHistory[customer]),ROW(orderHistory[customer])),""),ROWS($A$15:A45)+$B$3)),INDEX(orderHistory[invoice_no],SMALL(IF(ISNUMBER(MATCH(orderHistory[order_type],$D$13,0)*MATCH(YEAR(orderHistory[invoice_date]),$D$15,0)),MATCH(ROW(orderHistory[customer]),ROW(orderHistory[customer])),""),ROWS($A$15:A45)+$B$3)))),IF($D$13="",IF($D$15="",INDEX(orderHistory[invoice_no],SMALL(IF(ISNUMBER(MATCH(orderHistory[status],$D$11,0)),MATCH(ROW(orderHistory[customer]),ROW(orderHistory[customer])),""),ROWS($A$15:A45)+$B$3)),INDEX(orderHistory[invoice_no],SMALL(IF(ISNUMBER(MATCH(orderHistory[status],$D$11,0)*MATCH(YEAR(orderHistory[invoice_date]),$D$15,0)),MATCH(ROW(orderHistory[customer]),ROW(orderHistory[customer])),""),ROWS($A$15:A45)+$B$3))),IF($D$15="",INDEX(orderHistory[invoice_no],SMALL(IF(ISNUMBER(MATCH(orderHistory[status],$D$11,0)*MATCH(orderHistory[order_type],$D$13,0)),MATCH(ROW(orderHistory[customer]),ROW(orderHistory[customer])),""),ROWS($A$15:A45)+$B$3)),INDEX(orderHistory[invoice_no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invoice_no],SMALL(IF(ISNUMBER(MATCH(orderHistory[customer],$D$9,0)),MATCH(ROW(orderHistory[customer]),ROW(orderHistory[customer])),""),ROWS($A$15:A45)+$B$3)),INDEX(orderHistory[invoice_no],SMALL(IF(ISNUMBER(MATCH(orderHistory[customer],$D$9,0)*MATCH(YEAR(orderHistory[invoice_date]),$D$15,0)),MATCH(ROW(orderHistory[customer]),ROW(orderHistory[customer])),""),ROWS($A$15:A45)+$B$3))),IF($D$15="",INDEX(orderHistory[invoice_no],SMALL(IF(ISNUMBER(MATCH(orderHistory[customer],$D$9,0)*MATCH(orderHistory[order_type],$D$13,0)),MATCH(ROW(orderHistory[customer]),ROW(orderHistory[customer])),""),ROWS($A$15:A45)+$B$3)),INDEX(orderHistory[invoice_no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invoice_no],SMALL(IF(ISNUMBER(MATCH(orderHistory[customer],$D$9,0)*MATCH(orderHistory[status],$D$11,0)),MATCH(ROW(orderHistory[customer]),ROW(orderHistory[customer])),""),ROWS($A$15:A45)+$B$3)),INDEX(orderHistory[invoice_no],SMALL(IF(ISNUMBER(MATCH(orderHistory[customer],$D$9,0)*MATCH(orderHistory[status],$D$11,0)*MATCH(YEAR(orderHistory[invoice_date]),$D$15,0)),MATCH(ROW(orderHistory[customer]),ROW(orderHistory[customer])),""),ROWS($A$15:A45)+$B$3))),IF($D$15="",INDEX(orderHistory[invoice_no],SMALL(IF(ISNUMBER(MATCH(orderHistory[customer],$D$9,0)*MATCH(orderHistory[status],$D$11,0)*MATCH(orderHistory[order_type],$D$13,0)),MATCH(ROW(orderHistory[customer]),ROW(orderHistory[customer])),""),ROWS($A$15:A45)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118</v>
      </c>
      <c r="Q40" s="386">
        <f t="array" ref="Q40">IFERROR(IF($D$9="",IF($D$11="",IF($D$13="",IF($D$15="",INDEX(orderHistory[invoice_date],SMALL(MATCH(ROW(orderHistory[customer]),ROW(orderHistory[customer])),ROWS($A$15:A45)+$B$3)),INDEX(orderHistory[invoice_date],SMALL(IF(ISNUMBER(MATCH(YEAR(orderHistory[invoice_date]),$D$15,0)),MATCH(ROW(orderHistory[customer]),ROW(orderHistory[customer])),""),ROWS($A$15:A45)+$B$3))),IF($D$15="",INDEX(orderHistory[invoice_date],SMALL(IF(ISNUMBER(MATCH(orderHistory[order_type],$D$13,0)),MATCH(ROW(orderHistory[customer]),ROW(orderHistory[customer])),""),ROWS($A$15:A45)+$B$3)),INDEX(orderHistory[invoice_date],SMALL(IF(ISNUMBER(MATCH(orderHistory[order_type],$D$13,0)*MATCH(YEAR(orderHistory[invoice_date]),$D$15,0)),MATCH(ROW(orderHistory[customer]),ROW(orderHistory[customer])),""),ROWS($A$15:A45)+$B$3)))),IF($D$13="",IF($D$15="",INDEX(orderHistory[invoice_date],SMALL(IF(ISNUMBER(MATCH(orderHistory[status],$D$11,0)),MATCH(ROW(orderHistory[customer]),ROW(orderHistory[customer])),""),ROWS($A$15:A45)+$B$3)),INDEX(orderHistory[invoice_date],SMALL(IF(ISNUMBER(MATCH(orderHistory[status],$D$11,0)*MATCH(YEAR(orderHistory[invoice_date]),$D$15,0)),MATCH(ROW(orderHistory[customer]),ROW(orderHistory[customer])),""),ROWS($A$15:A45)+$B$3))),IF($D$15="",INDEX(orderHistory[invoice_date],SMALL(IF(ISNUMBER(MATCH(orderHistory[status],$D$11,0)*MATCH(orderHistory[order_type],$D$13,0)),MATCH(ROW(orderHistory[customer]),ROW(orderHistory[customer])),""),ROWS($A$15:A45)+$B$3)),INDEX(orderHistory[invoice_date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invoice_date],SMALL(IF(ISNUMBER(MATCH(orderHistory[customer],$D$9,0)),MATCH(ROW(orderHistory[customer]),ROW(orderHistory[customer])),""),ROWS($A$15:A45)+$B$3)),INDEX(orderHistory[invoice_date],SMALL(IF(ISNUMBER(MATCH(orderHistory[customer],$D$9,0)*MATCH(YEAR(orderHistory[invoice_date]),$D$15,0)),MATCH(ROW(orderHistory[customer]),ROW(orderHistory[customer])),""),ROWS($A$15:A45)+$B$3))),IF($D$15="",INDEX(orderHistory[invoice_date],SMALL(IF(ISNUMBER(MATCH(orderHistory[customer],$D$9,0)*MATCH(orderHistory[order_type],$D$13,0)),MATCH(ROW(orderHistory[customer]),ROW(orderHistory[customer])),""),ROWS($A$15:A45)+$B$3)),INDEX(orderHistory[invoice_date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invoice_date],SMALL(IF(ISNUMBER(MATCH(orderHistory[customer],$D$9,0)*MATCH(orderHistory[status],$D$11,0)),MATCH(ROW(orderHistory[customer]),ROW(orderHistory[customer])),""),ROWS($A$15:A45)+$B$3)),INDEX(orderHistory[invoice_date],SMALL(IF(ISNUMBER(MATCH(orderHistory[customer],$D$9,0)*MATCH(orderHistory[status],$D$11,0)*MATCH(YEAR(orderHistory[invoice_date]),$D$15,0)),MATCH(ROW(orderHistory[customer]),ROW(orderHistory[customer])),""),ROWS($A$15:A45)+$B$3))),IF($D$15="",INDEX(orderHistory[invoice_date],SMALL(IF(ISNUMBER(MATCH(orderHistory[customer],$D$9,0)*MATCH(orderHistory[status],$D$11,0)*MATCH(orderHistory[order_type],$D$13,0)),MATCH(ROW(orderHistory[customer]),ROW(orderHistory[customer])),""),ROWS($A$15:A45)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45392</v>
      </c>
      <c r="R40" s="387">
        <f t="array" ref="R40">IFERROR(IF($D$9="",IF($D$11="",IF($D$13="",IF($D$15="",INDEX(orderHistory[inv_amount],SMALL(MATCH(ROW(orderHistory[customer]),ROW(orderHistory[customer])),ROWS($A$15:A45)+$B$3)),INDEX(orderHistory[inv_amount],SMALL(IF(ISNUMBER(MATCH(YEAR(orderHistory[invoice_date]),$D$15,0)),MATCH(ROW(orderHistory[customer]),ROW(orderHistory[customer])),""),ROWS($A$15:A45)+$B$3))),IF($D$15="",INDEX(orderHistory[inv_amount],SMALL(IF(ISNUMBER(MATCH(orderHistory[order_type],$D$13,0)),MATCH(ROW(orderHistory[customer]),ROW(orderHistory[customer])),""),ROWS($A$15:A45)+$B$3)),INDEX(orderHistory[inv_amount],SMALL(IF(ISNUMBER(MATCH(orderHistory[order_type],$D$13,0)*MATCH(YEAR(orderHistory[invoice_date]),$D$15,0)),MATCH(ROW(orderHistory[customer]),ROW(orderHistory[customer])),""),ROWS($A$15:A45)+$B$3)))),IF($D$13="",IF($D$15="",INDEX(orderHistory[inv_amount],SMALL(IF(ISNUMBER(MATCH(orderHistory[status],$D$11,0)),MATCH(ROW(orderHistory[customer]),ROW(orderHistory[customer])),""),ROWS($A$15:A45)+$B$3)),INDEX(orderHistory[inv_amount],SMALL(IF(ISNUMBER(MATCH(orderHistory[status],$D$11,0)*MATCH(YEAR(orderHistory[invoice_date]),$D$15,0)),MATCH(ROW(orderHistory[customer]),ROW(orderHistory[customer])),""),ROWS($A$15:A45)+$B$3))),IF($D$15="",INDEX(orderHistory[inv_amount],SMALL(IF(ISNUMBER(MATCH(orderHistory[status],$D$11,0)*MATCH(orderHistory[order_type],$D$13,0)),MATCH(ROW(orderHistory[customer]),ROW(orderHistory[customer])),""),ROWS($A$15:A45)+$B$3)),INDEX(orderHistory[inv_amount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inv_amount],SMALL(IF(ISNUMBER(MATCH(orderHistory[customer],$D$9,0)),MATCH(ROW(orderHistory[customer]),ROW(orderHistory[customer])),""),ROWS($A$15:A45)+$B$3)),INDEX(orderHistory[inv_amount],SMALL(IF(ISNUMBER(MATCH(orderHistory[customer],$D$9,0)*MATCH(YEAR(orderHistory[invoice_date]),$D$15,0)),MATCH(ROW(orderHistory[customer]),ROW(orderHistory[customer])),""),ROWS($A$15:A45)+$B$3))),IF($D$15="",INDEX(orderHistory[inv_amount],SMALL(IF(ISNUMBER(MATCH(orderHistory[customer],$D$9,0)*MATCH(orderHistory[order_type],$D$13,0)),MATCH(ROW(orderHistory[customer]),ROW(orderHistory[customer])),""),ROWS($A$15:A45)+$B$3)),INDEX(orderHistory[inv_amount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inv_amount],SMALL(IF(ISNUMBER(MATCH(orderHistory[customer],$D$9,0)*MATCH(orderHistory[status],$D$11,0)),MATCH(ROW(orderHistory[customer]),ROW(orderHistory[customer])),""),ROWS($A$15:A45)+$B$3)),INDEX(orderHistory[inv_amount],SMALL(IF(ISNUMBER(MATCH(orderHistory[customer],$D$9,0)*MATCH(orderHistory[status],$D$11,0)*MATCH(YEAR(orderHistory[inv_amount]),$D$15,0)),MATCH(ROW(orderHistory[customer]),ROW(orderHistory[customer])),""),ROWS($A$15:A45)+$B$3))),IF($D$15="",INDEX(orderHistory[inv_amount],SMALL(IF(ISNUMBER(MATCH(orderHistory[customer],$D$9,0)*MATCH(orderHistory[status],$D$11,0)*MATCH(orderHistory[order_type],$D$13,0)),MATCH(ROW(orderHistory[customer]),ROW(orderHistory[customer])),""),ROWS($A$15:A45)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15300</v>
      </c>
      <c r="S40" s="465" t="str">
        <f t="array" ref="S40">IFERROR(IF($D$9="",IF($D$11="",IF($D$13="",IF($D$15="",INDEX(orderHistory[lock_goods],SMALL(MATCH(ROW(orderHistory[customer]),ROW(orderHistory[customer])),ROWS($A$15:A45)+$B$3)),INDEX(orderHistory[lock_goods],SMALL(IF(ISNUMBER(MATCH(YEAR(orderHistory[invoice_date]),$D$15,0)),MATCH(ROW(orderHistory[customer]),ROW(orderHistory[customer])),""),ROWS($A$15:A45)+$B$3))),IF($D$15="",INDEX(orderHistory[lock_goods],SMALL(IF(ISNUMBER(MATCH(orderHistory[order_type],$D$13,0)),MATCH(ROW(orderHistory[customer]),ROW(orderHistory[customer])),""),ROWS($A$15:A45)+$B$3)),INDEX(orderHistory[lock_goods],SMALL(IF(ISNUMBER(MATCH(orderHistory[order_type],$D$13,0)*MATCH(YEAR(orderHistory[invoice_date]),$D$15,0)),MATCH(ROW(orderHistory[customer]),ROW(orderHistory[customer])),""),ROWS($A$15:A45)+$B$3)))),IF($D$13="",IF($D$15="",INDEX(orderHistory[lock_goods],SMALL(IF(ISNUMBER(MATCH(orderHistory[status],$D$11,0)),MATCH(ROW(orderHistory[customer]),ROW(orderHistory[customer])),""),ROWS($A$15:A45)+$B$3)),INDEX(orderHistory[lock_goods],SMALL(IF(ISNUMBER(MATCH(orderHistory[status],$D$11,0)*MATCH(YEAR(orderHistory[invoice_date]),$D$15,0)),MATCH(ROW(orderHistory[customer]),ROW(orderHistory[customer])),""),ROWS($A$15:A45)+$B$3))),IF($D$15="",INDEX(orderHistory[lock_goods],SMALL(IF(ISNUMBER(MATCH(orderHistory[status],$D$11,0)*MATCH(orderHistory[order_type],$D$13,0)),MATCH(ROW(orderHistory[customer]),ROW(orderHistory[customer])),""),ROWS($A$15:A45)+$B$3)),INDEX(orderHistory[lock_goods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lock_goods],SMALL(IF(ISNUMBER(MATCH(orderHistory[customer],$D$9,0)),MATCH(ROW(orderHistory[customer]),ROW(orderHistory[customer])),""),ROWS($A$15:A45)+$B$3)),INDEX(orderHistory[lock_goods],SMALL(IF(ISNUMBER(MATCH(orderHistory[customer],$D$9,0)*MATCH(YEAR(orderHistory[invoice_date]),$D$15,0)),MATCH(ROW(orderHistory[customer]),ROW(orderHistory[customer])),""),ROWS($A$15:A45)+$B$3))),IF($D$15="",INDEX(orderHistory[lock_goods],SMALL(IF(ISNUMBER(MATCH(orderHistory[customer],$D$9,0)*MATCH(orderHistory[order_type],$D$13,0)),MATCH(ROW(orderHistory[customer]),ROW(orderHistory[customer])),""),ROWS($A$15:A45)+$B$3)),INDEX(orderHistory[lock_goods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lock_goods],SMALL(IF(ISNUMBER(MATCH(orderHistory[customer],$D$9,0)*MATCH(orderHistory[status],$D$11,0)),MATCH(ROW(orderHistory[customer]),ROW(orderHistory[customer])),""),ROWS($A$15:A45)+$B$3)),INDEX(orderHistory[lock_goods],SMALL(IF(ISNUMBER(MATCH(orderHistory[customer],$D$9,0)*MATCH(orderHistory[status],$D$11,0)*MATCH(YEAR(orderHistory[payed]),$D$15,0)),MATCH(ROW(orderHistory[customer]),ROW(orderHistory[customer])),""),ROWS($A$15:A45)+$B$3))),IF($D$15="",INDEX(orderHistory[lock_goods],SMALL(IF(ISNUMBER(MATCH(orderHistory[customer],$D$9,0)*MATCH(orderHistory[status],$D$11,0)*MATCH(orderHistory[order_type],$D$13,0)),MATCH(ROW(orderHistory[customer]),ROW(orderHistory[customer])),""),ROWS($A$15:A45)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GOODS SENT</v>
      </c>
      <c r="T40" s="388" t="b">
        <f t="array" ref="T40">IFERROR(IF($D$9="",IF($D$11="",IF($D$13="",IF($D$15="",INDEX(orderHistory[payed],SMALL(MATCH(ROW(orderHistory[customer]),ROW(orderHistory[customer])),ROWS($A$15:A45)+$B$3)),INDEX(orderHistory[payed],SMALL(IF(ISNUMBER(MATCH(YEAR(orderHistory[invoice_date]),$D$15,0)),MATCH(ROW(orderHistory[customer]),ROW(orderHistory[customer])),""),ROWS($A$15:A45)+$B$3))),IF($D$15="",INDEX(orderHistory[payed],SMALL(IF(ISNUMBER(MATCH(orderHistory[order_type],$D$13,0)),MATCH(ROW(orderHistory[customer]),ROW(orderHistory[customer])),""),ROWS($A$15:A45)+$B$3)),INDEX(orderHistory[payed],SMALL(IF(ISNUMBER(MATCH(orderHistory[order_type],$D$13,0)*MATCH(YEAR(orderHistory[invoice_date]),$D$15,0)),MATCH(ROW(orderHistory[customer]),ROW(orderHistory[customer])),""),ROWS($A$15:A45)+$B$3)))),IF($D$13="",IF($D$15="",INDEX(orderHistory[payed],SMALL(IF(ISNUMBER(MATCH(orderHistory[status],$D$11,0)),MATCH(ROW(orderHistory[customer]),ROW(orderHistory[customer])),""),ROWS($A$15:A45)+$B$3)),INDEX(orderHistory[payed],SMALL(IF(ISNUMBER(MATCH(orderHistory[status],$D$11,0)*MATCH(YEAR(orderHistory[invoice_date]),$D$15,0)),MATCH(ROW(orderHistory[customer]),ROW(orderHistory[customer])),""),ROWS($A$15:A45)+$B$3))),IF($D$15="",INDEX(orderHistory[payed],SMALL(IF(ISNUMBER(MATCH(orderHistory[status],$D$11,0)*MATCH(orderHistory[order_type],$D$13,0)),MATCH(ROW(orderHistory[customer]),ROW(orderHistory[customer])),""),ROWS($A$15:A45)+$B$3)),INDEX(orderHistory[payed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payed],SMALL(IF(ISNUMBER(MATCH(orderHistory[customer],$D$9,0)),MATCH(ROW(orderHistory[customer]),ROW(orderHistory[customer])),""),ROWS($A$15:A45)+$B$3)),INDEX(orderHistory[payed],SMALL(IF(ISNUMBER(MATCH(orderHistory[customer],$D$9,0)*MATCH(YEAR(orderHistory[invoice_date]),$D$15,0)),MATCH(ROW(orderHistory[customer]),ROW(orderHistory[customer])),""),ROWS($A$15:A45)+$B$3))),IF($D$15="",INDEX(orderHistory[payed],SMALL(IF(ISNUMBER(MATCH(orderHistory[customer],$D$9,0)*MATCH(orderHistory[order_type],$D$13,0)),MATCH(ROW(orderHistory[customer]),ROW(orderHistory[customer])),""),ROWS($A$15:A45)+$B$3)),INDEX(orderHistory[payed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payed],SMALL(IF(ISNUMBER(MATCH(orderHistory[customer],$D$9,0)*MATCH(orderHistory[status],$D$11,0)),MATCH(ROW(orderHistory[customer]),ROW(orderHistory[customer])),""),ROWS($A$15:A45)+$B$3)),INDEX(orderHistory[payed],SMALL(IF(ISNUMBER(MATCH(orderHistory[customer],$D$9,0)*MATCH(orderHistory[status],$D$11,0)*MATCH(YEAR(orderHistory[payed]),$D$15,0)),MATCH(ROW(orderHistory[customer]),ROW(orderHistory[customer])),""),ROWS($A$15:A45)+$B$3))),IF($D$15="",INDEX(orderHistory[payed],SMALL(IF(ISNUMBER(MATCH(orderHistory[customer],$D$9,0)*MATCH(orderHistory[status],$D$11,0)*MATCH(orderHistory[order_type],$D$13,0)),MATCH(ROW(orderHistory[customer]),ROW(orderHistory[customer])),""),ROWS($A$15:A45)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1</v>
      </c>
      <c r="U40" s="383" t="str">
        <f t="array" ref="U40">IFERROR(IF($D$9="",IF($D$11="",IF($D$13="",IF($D$15="",INDEX(orderHistory[shipping_method],SMALL(MATCH(ROW(orderHistory[customer]),ROW(orderHistory[customer])),ROWS($A$15:A45)+$B$3)),INDEX(orderHistory[shipping_method],SMALL(IF(ISNUMBER(MATCH(YEAR(orderHistory[invoice_date]),$D$15,0)),MATCH(ROW(orderHistory[customer]),ROW(orderHistory[customer])),""),ROWS($A$15:A45)+$B$3))),IF($D$15="",INDEX(orderHistory[shipping_method],SMALL(IF(ISNUMBER(MATCH(orderHistory[order_type],$D$13,0)),MATCH(ROW(orderHistory[customer]),ROW(orderHistory[customer])),""),ROWS($A$15:A45)+$B$3)),INDEX(orderHistory[shipping_method],SMALL(IF(ISNUMBER(MATCH(orderHistory[order_type],$D$13,0)*MATCH(YEAR(orderHistory[invoice_date]),$D$15,0)),MATCH(ROW(orderHistory[customer]),ROW(orderHistory[customer])),""),ROWS($A$15:A45)+$B$3)))),IF($D$13="",IF($D$15="",INDEX(orderHistory[shipping_method],SMALL(IF(ISNUMBER(MATCH(orderHistory[status],$D$11,0)),MATCH(ROW(orderHistory[customer]),ROW(orderHistory[customer])),""),ROWS($A$15:A45)+$B$3)),INDEX(orderHistory[shipping_method],SMALL(IF(ISNUMBER(MATCH(orderHistory[status],$D$11,0)*MATCH(YEAR(orderHistory[invoice_date]),$D$15,0)),MATCH(ROW(orderHistory[customer]),ROW(orderHistory[customer])),""),ROWS($A$15:A45)+$B$3))),IF($D$15="",INDEX(orderHistory[shipping_method],SMALL(IF(ISNUMBER(MATCH(orderHistory[status],$D$11,0)*MATCH(orderHistory[order_type],$D$13,0)),MATCH(ROW(orderHistory[customer]),ROW(orderHistory[customer])),""),ROWS($A$15:A45)+$B$3)),INDEX(orderHistory[shipping_method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shipping_method],SMALL(IF(ISNUMBER(MATCH(orderHistory[customer],$D$9,0)),MATCH(ROW(orderHistory[customer]),ROW(orderHistory[customer])),""),ROWS($A$15:A45)+$B$3)),INDEX(orderHistory[shipping_method],SMALL(IF(ISNUMBER(MATCH(orderHistory[customer],$D$9,0)*MATCH(YEAR(orderHistory[invoice_date]),$D$15,0)),MATCH(ROW(orderHistory[customer]),ROW(orderHistory[customer])),""),ROWS($A$15:A45)+$B$3))),IF($D$15="",INDEX(orderHistory[shipping_method],SMALL(IF(ISNUMBER(MATCH(orderHistory[customer],$D$9,0)*MATCH(orderHistory[order_type],$D$13,0)),MATCH(ROW(orderHistory[customer]),ROW(orderHistory[customer])),""),ROWS($A$15:A45)+$B$3)),INDEX(orderHistory[shipping_method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shipping_method],SMALL(IF(ISNUMBER(MATCH(orderHistory[customer],$D$9,0)*MATCH(orderHistory[status],$D$11,0)),MATCH(ROW(orderHistory[customer]),ROW(orderHistory[customer])),""),ROWS($A$15:A45)+$B$3)),INDEX(orderHistory[shipping_method],SMALL(IF(ISNUMBER(MATCH(orderHistory[customer],$D$9,0)*MATCH(orderHistory[status],$D$11,0)*MATCH(YEAR(orderHistory[shipping_method]),$D$15,0)),MATCH(ROW(orderHistory[customer]),ROW(orderHistory[customer])),""),ROWS($A$15:A45)+$B$3))),IF($D$15="",INDEX(orderHistory[shipping_method],SMALL(IF(ISNUMBER(MATCH(orderHistory[customer],$D$9,0)*MATCH(orderHistory[status],$D$11,0)*MATCH(orderHistory[order_type],$D$13,0)),MATCH(ROW(orderHistory[customer]),ROW(orderHistory[customer])),""),ROWS($A$15:A45)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BY ROAD</v>
      </c>
      <c r="V40" s="388" t="str">
        <f t="array" ref="V40">IFERROR(IF($D$9="",IF($D$11="",IF($D$13="",IF($D$15="",INDEX(orderHistory[status],SMALL(MATCH(ROW(orderHistory[customer]),ROW(orderHistory[customer])),ROWS($A$15:A45)+$B$3)),INDEX(orderHistory[status],SMALL(IF(ISNUMBER(MATCH(YEAR(orderHistory[invoice_date]),$D$15,0)),MATCH(ROW(orderHistory[customer]),ROW(orderHistory[customer])),""),ROWS($A$15:A45)+$B$3))),IF($D$15="",INDEX(orderHistory[status],SMALL(IF(ISNUMBER(MATCH(orderHistory[order_type],$D$13,0)),MATCH(ROW(orderHistory[customer]),ROW(orderHistory[customer])),""),ROWS($A$15:A45)+$B$3)),INDEX(orderHistory[status],SMALL(IF(ISNUMBER(MATCH(orderHistory[order_type],$D$13,0)*MATCH(YEAR(orderHistory[invoice_date]),$D$15,0)),MATCH(ROW(orderHistory[customer]),ROW(orderHistory[customer])),""),ROWS($A$15:A45)+$B$3)))),IF($D$13="",IF($D$15="",INDEX(orderHistory[status],SMALL(IF(ISNUMBER(MATCH(orderHistory[status],$D$11,0)),MATCH(ROW(orderHistory[customer]),ROW(orderHistory[customer])),""),ROWS($A$15:A45)+$B$3)),INDEX(orderHistory[status],SMALL(IF(ISNUMBER(MATCH(orderHistory[status],$D$11,0)*MATCH(YEAR(orderHistory[invoice_date]),$D$15,0)),MATCH(ROW(orderHistory[customer]),ROW(orderHistory[customer])),""),ROWS($A$15:A45)+$B$3))),IF($D$15="",INDEX(orderHistory[status],SMALL(IF(ISNUMBER(MATCH(orderHistory[status],$D$11,0)*MATCH(orderHistory[order_type],$D$13,0)),MATCH(ROW(orderHistory[customer]),ROW(orderHistory[customer])),""),ROWS($A$15:A45)+$B$3)),INDEX(orderHistory[status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status],SMALL(IF(ISNUMBER(MATCH(orderHistory[customer],$D$9,0)),MATCH(ROW(orderHistory[customer]),ROW(orderHistory[customer])),""),ROWS($A$15:A45)+$B$3)),INDEX(orderHistory[status],SMALL(IF(ISNUMBER(MATCH(orderHistory[customer],$D$9,0)*MATCH(YEAR(orderHistory[invoice_date]),$D$15,0)),MATCH(ROW(orderHistory[customer]),ROW(orderHistory[customer])),""),ROWS($A$15:A45)+$B$3))),IF($D$15="",INDEX(orderHistory[status],SMALL(IF(ISNUMBER(MATCH(orderHistory[customer],$D$9,0)*MATCH(orderHistory[order_type],$D$13,0)),MATCH(ROW(orderHistory[customer]),ROW(orderHistory[customer])),""),ROWS($A$15:A45)+$B$3)),INDEX(orderHistory[status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status],SMALL(IF(ISNUMBER(MATCH(orderHistory[customer],$D$9,0)*MATCH(orderHistory[status],$D$11,0)),MATCH(ROW(orderHistory[customer]),ROW(orderHistory[customer])),""),ROWS($A$15:A45)+$B$3)),INDEX(orderHistory[status],SMALL(IF(ISNUMBER(MATCH(orderHistory[customer],$D$9,0)*MATCH(orderHistory[status],$D$11,0)*MATCH(YEAR(orderHistory[status]),$D$15,0)),MATCH(ROW(orderHistory[customer]),ROW(orderHistory[customer])),""),ROWS($A$15:A45)+$B$3))),IF($D$15="",INDEX(orderHistory[status],SMALL(IF(ISNUMBER(MATCH(orderHistory[customer],$D$9,0)*MATCH(orderHistory[status],$D$11,0)*MATCH(orderHistory[order_type],$D$13,0)),MATCH(ROW(orderHistory[customer]),ROW(orderHistory[customer])),""),ROWS($A$15:A45)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SHIPPED</v>
      </c>
      <c r="W40" s="547" t="str">
        <f t="array" ref="W40">IFERROR(IF($D$9="",IF($D$11="",IF($D$13="",IF($D$15="",INDEX(orderHistory[custom_docs],SMALL(MATCH(ROW(orderHistory[customer]),ROW(orderHistory[customer])),ROWS($A$15:A45)+$B$3)),INDEX(orderHistory[custom_docs],SMALL(IF(ISNUMBER(MATCH(YEAR(orderHistory[invoice_date]),$D$15,0)),MATCH(ROW(orderHistory[customer]),ROW(orderHistory[customer])),""),ROWS($A$15:A45)+$B$3))),IF($D$15="",INDEX(orderHistory[custom_docs],SMALL(IF(ISNUMBER(MATCH(orderHistory[order_type],$D$13,0)),MATCH(ROW(orderHistory[customer]),ROW(orderHistory[customer])),""),ROWS($A$15:A45)+$B$3)),INDEX(orderHistory[custom_docs],SMALL(IF(ISNUMBER(MATCH(orderHistory[order_type],$D$13,0)*MATCH(YEAR(orderHistory[invoice_date]),$D$15,0)),MATCH(ROW(orderHistory[customer]),ROW(orderHistory[customer])),""),ROWS($A$15:A45)+$B$3)))),IF($D$13="",IF($D$15="",INDEX(orderHistory[custom_docs],SMALL(IF(ISNUMBER(MATCH(orderHistory[status],$D$11,0)),MATCH(ROW(orderHistory[customer]),ROW(orderHistory[customer])),""),ROWS($A$15:A45)+$B$3)),INDEX(orderHistory[custom_docs],SMALL(IF(ISNUMBER(MATCH(orderHistory[status],$D$11,0)*MATCH(YEAR(orderHistory[invoice_date]),$D$15,0)),MATCH(ROW(orderHistory[customer]),ROW(orderHistory[customer])),""),ROWS($A$15:A45)+$B$3))),IF($D$15="",INDEX(orderHistory[custom_docs],SMALL(IF(ISNUMBER(MATCH(orderHistory[status],$D$11,0)*MATCH(orderHistory[order_type],$D$13,0)),MATCH(ROW(orderHistory[customer]),ROW(orderHistory[customer])),""),ROWS($A$15:A45)+$B$3)),INDEX(orderHistory[custom_docs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custom_docs],SMALL(IF(ISNUMBER(MATCH(orderHistory[customer],$D$9,0)),MATCH(ROW(orderHistory[customer]),ROW(orderHistory[customer])),""),ROWS($A$15:A45)+$B$3)),INDEX(orderHistory[custom_docs],SMALL(IF(ISNUMBER(MATCH(orderHistory[customer],$D$9,0)*MATCH(YEAR(orderHistory[invoice_date]),$D$15,0)),MATCH(ROW(orderHistory[customer]),ROW(orderHistory[customer])),""),ROWS($A$15:A45)+$B$3))),IF($D$15="",INDEX(orderHistory[custom_docs],SMALL(IF(ISNUMBER(MATCH(orderHistory[customer],$D$9,0)*MATCH(orderHistory[order_type],$D$13,0)),MATCH(ROW(orderHistory[customer]),ROW(orderHistory[customer])),""),ROWS($A$15:A45)+$B$3)),INDEX(orderHistory[custom_docs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custom_docs],SMALL(IF(ISNUMBER(MATCH(orderHistory[customer],$D$9,0)*MATCH(orderHistory[status],$D$11,0)),MATCH(ROW(orderHistory[customer]),ROW(orderHistory[customer])),""),ROWS($A$15:A45)+$B$3)),INDEX(orderHistory[custom_docs],SMALL(IF(ISNUMBER(MATCH(orderHistory[customer],$D$9,0)*MATCH(orderHistory[status],$D$11,0)*MATCH(YEAR(orderHistory[status]),$D$15,0)),MATCH(ROW(orderHistory[customer]),ROW(orderHistory[customer])),""),ROWS($A$15:A45)+$B$3))),IF($D$15="",INDEX(orderHistory[custom_docs],SMALL(IF(ISNUMBER(MATCH(orderHistory[customer],$D$9,0)*MATCH(orderHistory[status],$D$11,0)*MATCH(orderHistory[order_type],$D$13,0)),MATCH(ROW(orderHistory[customer]),ROW(orderHistory[customer])),""),ROWS($A$15:A45)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OK</v>
      </c>
      <c r="AQ40" s="326"/>
      <c r="AR40" s="276"/>
      <c r="AS40" s="276"/>
      <c r="AT40" s="276"/>
      <c r="AU40" s="277"/>
      <c r="AW40" s="328"/>
      <c r="AX40" s="276"/>
      <c r="AY40" s="276"/>
      <c r="AZ40" s="276"/>
      <c r="BA40" s="276"/>
      <c r="BB40" s="276"/>
      <c r="BC40" s="276"/>
      <c r="BD40" s="276"/>
      <c r="BE40" s="276"/>
      <c r="BF40" s="276"/>
      <c r="BG40" s="329"/>
      <c r="BH40" s="276"/>
      <c r="BI40" s="276"/>
      <c r="BJ40" s="277"/>
      <c r="BK40" s="296"/>
      <c r="BL40" s="297"/>
      <c r="BM40" s="298"/>
      <c r="BN40" s="297"/>
      <c r="BO40" s="298"/>
      <c r="BZ40" s="412"/>
      <c r="CA40" s="401" t="str">
        <f>IFERROR(IF(BZ40="","",INDEX(bhpc_data[description],MATCH(BZ40,bhpc_data[sku],0))),"")</f>
        <v/>
      </c>
      <c r="CB40" s="402"/>
      <c r="CC40" s="887"/>
      <c r="CD40" s="409"/>
      <c r="CE40" s="890"/>
      <c r="CF40" s="404"/>
      <c r="CG40" s="405" t="str">
        <f>IFERROR(ROUNDUP(CB40/INDEX(bhpc_data[units_per_carton],MATCH(BZ40,bhpc_data[sku],0)),0),"")</f>
        <v/>
      </c>
      <c r="CH40" s="406" t="str">
        <f>IFERROR(ROUNDUP(CD40/INDEX(bhpc_data[units_per_carton],MATCH(BZ40,bhpc_data[sku],0)),0),"")</f>
        <v/>
      </c>
      <c r="CI40" s="406" t="str">
        <f>IFERROR(ROUNDUP(CF40/INDEX(bhpc_data[units_per_carton],MATCH(BZ40,bhpc_data[sku])),0),"")</f>
        <v/>
      </c>
      <c r="CJ40" s="406" t="str">
        <f>IFERROR(((CB40+CD40+CF40)/INDEX(bhpc_data[units_per_carton],MATCH(BZ40,bhpc_data[sku],0)))*INDEX(bhpc_data[net_weight],MATCH(BZ40,bhpc_data[sku],0)),"")</f>
        <v/>
      </c>
      <c r="CK40" s="406" t="str">
        <f>IFERROR(((CB40+CD40+CF40)/INDEX(bhpc_data[units_per_carton],MATCH(BZ40,bhpc_data[sku],0)))*INDEX(bhpc_data[gross_weight],MATCH(BZ40,bhpc_data[sku],0)),"")</f>
        <v/>
      </c>
      <c r="CL40" s="602" t="str">
        <f>IFERROR((CB40+CD40+CF40)/INDEX(bhpc_data[units_per_carton],MATCH(BZ40,bhpc_data[sku],0))*INDEX(bhpc_data[length],MATCH(BZ40,bhpc_data[sku],0))*INDEX(bhpc_data[width],MATCH(BZ40,bhpc_data[sku],0))*INDEX(bhpc_data[height],MATCH(BZ40,bhpc_data[sku],0))/1000000000,"")</f>
        <v/>
      </c>
      <c r="CM40" s="407" t="str">
        <f>IFERROR(INDEX(bhpc_data[category],MATCH(BZ40,bhpc_data[sku],0)),"")</f>
        <v/>
      </c>
      <c r="CN40" s="407" t="str">
        <f>IFERROR(INDEX(bhpc_data[size],MATCH(BZ40,bhpc_data[sku],0)),"")</f>
        <v/>
      </c>
      <c r="CO40" s="408" t="str">
        <f>IFERROR(INDEX(bhpc_data[hs_code],MATCH(BZ40,bhpc_data[sku],0)),"")</f>
        <v/>
      </c>
      <c r="CP40" s="489" t="str">
        <f>IFERROR(INDEX(bhpc_data[sku_geko],MATCH(BZ40,bhpc_data[sku],0)),"")</f>
        <v/>
      </c>
      <c r="CQ40" s="404"/>
      <c r="CR40" s="517" t="str">
        <f>IFERROR(IF(BZ40="","",IF($BX$15="SALE",INDEX(inventory[COSTO UNITARIO],MATCH(BZ40,inventory[SKU],0)),IF($BX$15="SAMPLING",INDEX(inventory[COSTO UNITARIO],MATCH(BZ40,inventory[SKU],0)),""))),"")</f>
        <v/>
      </c>
      <c r="CS40" s="517" t="str">
        <f t="shared" si="5"/>
        <v/>
      </c>
      <c r="CT40" s="896" t="str">
        <f t="shared" si="6"/>
        <v/>
      </c>
      <c r="CU40" s="469" t="str">
        <f t="shared" si="0"/>
        <v/>
      </c>
      <c r="CY40" s="293"/>
      <c r="DB40" s="280" t="str">
        <f>IFERROR(VLOOKUP(BZ40,bhpc_data[],22,FALSE),"")</f>
        <v/>
      </c>
      <c r="DH40" s="215"/>
      <c r="EE40" s="445" t="str" cm="1">
        <f t="array" ref="EE40">IFERROR(IF($EC$9="",IF($EC$11="",IF($EC$13="",INDEX(bhpc_data[sku],SMALL(MATCH(ROW(bhpc_data[sku]),ROW(bhpc_data[sku])),ROWS($A$15:A45)+$B$3)),INDEX(bhpc_data[sku],SMALL(IF(ISNUMBER(MATCH(bhpc_data[size],$EC$13,0)),MATCH(ROW(bhpc_data[sku]),ROW(bhpc_data[sku])),""),ROWS($A$15:A45)+$B$3))),IF($EC$13="",INDEX(bhpc_data[sku],SMALL(IF(ISNUMBER(MATCH(bhpc_data[sex],$EC$11,0)),MATCH(ROW(bhpc_data[sku]),ROW(bhpc_data[sku])),""),ROWS($A$15:A45)+$B$3)),INDEX(bhpc_data[sku],SMALL(IF(ISNUMBER(MATCH(bhpc_data[sex],$EC$11,0)*MATCH(bhpc_data[size],$EC$13,0)),MATCH(ROW(bhpc_data[sku]),ROW(bhpc_data[sku])),""),ROWS($A$15:A45)+$B$3)))),IF($EC$11="",IF($EC$13="",INDEX(bhpc_data[sku],SMALL(IF(ISNUMBER(MATCH(bhpc_data[category],$EC$9,0)),MATCH(ROW(bhpc_data[sku]),ROW(bhpc_data[sku])),""),ROWS($A$15:A45)+$B$3)),INDEX(bhpc_data[sku],SMALL(IF(ISNUMBER(MATCH(bhpc_data[category],$EC$9,0)*MATCH(bhpc_data[size],$EC$13,0)),MATCH(ROW(bhpc_data[sku]),ROW(bhpc_data[sku])),""),ROWS($A$15:A45)+$B$3))),IF($EC$13="",INDEX(bhpc_data[sku],SMALL(IF(ISNUMBER(MATCH(bhpc_data[category],$EC$9,0)*MATCH(bhpc_data[sex],$EC$11,0)),MATCH(ROW(bhpc_data[sku]),ROW(bhpc_data[sku])),""),ROWS($A$15:A45)+$B$3)),INDEX(bhpc_data[sku],SMALL(IF(ISNUMBER(MATCH(bhpc_data[category],$EC$9,0)*MATCH(bhpc_data[sex],$EC$11,0)*MATCH(bhpc_data[size],$EC$13,0)),MATCH(ROW(bhpc_data[sku]),ROW(bhpc_data[sku])),""),ROWS($A$15:A45)+$B$3))))),"")</f>
        <v>P06004</v>
      </c>
      <c r="EF40" s="446" t="str" cm="1">
        <f t="array" ref="EF40">IFERROR(IF($EC$9="",IF($EC$11="",IF($EC$13="",INDEX(bhpc_data[description],SMALL(MATCH(ROW(bhpc_data[sku]),ROW(bhpc_data[sku])),ROWS($A$15:A45)+$B$3)),INDEX(bhpc_data[description],SMALL(IF(ISNUMBER(MATCH(bhpc_data[size],$EC$13,0)),MATCH(ROW(bhpc_data[sku]),ROW(bhpc_data[sku])),""),ROWS($A$15:A45)+$B$3))),IF($EC$13="",INDEX(bhpc_data[description],SMALL(IF(ISNUMBER(MATCH(bhpc_data[sex],$EC$11,0)),MATCH(ROW(bhpc_data[sku]),ROW(bhpc_data[sku])),""),ROWS($A$15:A45)+$B$3)),INDEX(bhpc_data[description],SMALL(IF(ISNUMBER(MATCH(bhpc_data[sex],$EC$11,0)*MATCH(bhpc_data[size],$EC$13,0)),MATCH(ROW(bhpc_data[sku]),ROW(bhpc_data[sku])),""),ROWS($A$15:A45)+$B$3)))),IF($EC$11="",IF($EC$13="",INDEX(bhpc_data[description],SMALL(IF(ISNUMBER(MATCH(bhpc_data[category],$EC$9,0)),MATCH(ROW(bhpc_data[sku]),ROW(bhpc_data[sku])),""),ROWS($A$15:A45)+$B$3)),INDEX(bhpc_data[description],SMALL(IF(ISNUMBER(MATCH(bhpc_data[category],$EC$9,0)*MATCH(bhpc_data[size],$EC$13,0)),MATCH(ROW(bhpc_data[sku]),ROW(bhpc_data[sku])),""),ROWS($A$15:A45)+$B$3))),IF($EC$13="",INDEX(bhpc_data[description],SMALL(IF(ISNUMBER(MATCH(bhpc_data[category],$EC$9,0)*MATCH(bhpc_data[sex],$EC$11,0)),MATCH(ROW(bhpc_data[sku]),ROW(bhpc_data[sku])),""),ROWS($A$15:A45)+$B$3)),INDEX(bhpc_data[description],SMALL(IF(ISNUMBER(MATCH(bhpc_data[category],$EC$9,0)*MATCH(bhpc_data[sex],$EC$11,0)*MATCH(bhpc_data[size],$EC$13,0)),MATCH(ROW(bhpc_data[sku]),ROW(bhpc_data[sku])),""),ROWS($A$15:A45)+$B$3))))),"")</f>
        <v>BHPC PRESTIGE ELEGANCE 100ML EDP WOMEN</v>
      </c>
      <c r="EG40" s="447">
        <f>IFERROR(IF('BHPC MANAGER'!$EE40="","",INDEX(inventory[ESISTENZA],MATCH('BHPC MANAGER'!$EE40,inventory[SKU],0))),0)</f>
        <v>115</v>
      </c>
      <c r="EH40" s="448">
        <v>-70</v>
      </c>
      <c r="EI40" s="448">
        <f t="shared" si="1"/>
        <v>45</v>
      </c>
      <c r="EJ40" s="449">
        <v>0</v>
      </c>
      <c r="EK40" s="450">
        <f t="shared" si="2"/>
        <v>45</v>
      </c>
      <c r="FF40" s="263"/>
      <c r="FG40" s="263"/>
      <c r="FH40" s="263"/>
      <c r="FI40" s="263"/>
      <c r="FJ40" s="263"/>
      <c r="FK40" s="263"/>
      <c r="FL40" s="263"/>
      <c r="FM40" s="263"/>
      <c r="FN40" s="263"/>
      <c r="FO40" s="263"/>
      <c r="FP40" s="263"/>
      <c r="FQ40" s="263"/>
      <c r="FR40" s="263"/>
      <c r="FS40" s="263"/>
      <c r="FT40" s="263"/>
      <c r="FU40" s="263"/>
      <c r="FV40" s="263"/>
      <c r="FW40" s="263"/>
      <c r="FX40" s="263"/>
      <c r="FY40" s="263"/>
      <c r="FZ40" s="263"/>
      <c r="GA40" s="263"/>
      <c r="GB40" s="263"/>
      <c r="GC40" s="263"/>
      <c r="GD40" s="263"/>
      <c r="GE40" s="263"/>
      <c r="GF40" s="263"/>
      <c r="GG40" s="263"/>
      <c r="GH40" s="263"/>
      <c r="GI40" s="263"/>
      <c r="GJ40" s="263"/>
      <c r="GK40" s="263"/>
      <c r="GL40" s="263"/>
      <c r="GM40" s="263"/>
      <c r="GN40" s="263"/>
      <c r="GO40" s="263"/>
      <c r="GP40" s="263"/>
      <c r="GQ40" s="263"/>
      <c r="GR40" s="263"/>
      <c r="GS40" s="263"/>
      <c r="GT40" s="263"/>
      <c r="GU40" s="263"/>
      <c r="GV40" s="263"/>
      <c r="GW40" s="263"/>
      <c r="GX40" s="263"/>
      <c r="GY40" s="263"/>
      <c r="GZ40" s="263"/>
      <c r="HA40" s="263"/>
      <c r="HB40" s="263"/>
      <c r="HC40" s="263"/>
      <c r="HD40" s="263"/>
      <c r="HE40" s="263"/>
      <c r="HF40" s="263"/>
      <c r="HG40" s="263"/>
      <c r="HH40" s="263"/>
      <c r="HI40" s="263"/>
      <c r="HJ40" s="263"/>
      <c r="HK40" s="263"/>
      <c r="HL40" s="263"/>
      <c r="HM40" s="263"/>
      <c r="HN40" s="263"/>
      <c r="HO40" s="263"/>
      <c r="HP40" s="263"/>
      <c r="HQ40" s="263"/>
      <c r="HR40" s="263"/>
      <c r="HS40" s="263"/>
      <c r="HT40" s="263"/>
    </row>
    <row r="41" spans="6:228" ht="15" customHeight="1" x14ac:dyDescent="0.35">
      <c r="F41" s="91"/>
      <c r="G41" s="803"/>
      <c r="H41" s="804"/>
      <c r="I41" s="805"/>
      <c r="J41" s="77"/>
      <c r="L41" s="381" t="str">
        <f t="array" ref="L41">IFERROR(IF($D$9="",IF($D$11="",IF($D$13="",IF($D$15="",INDEX(orderHistory[customer],SMALL(MATCH(ROW(orderHistory[customer]),ROW(orderHistory[customer])),ROWS($A$15:A46)+$B$3)),INDEX(orderHistory[customer],SMALL(IF(ISNUMBER(MATCH(YEAR(orderHistory[invoice_date]),$D$15,0)),MATCH(ROW(orderHistory[customer]),ROW(orderHistory[customer])),""),ROWS($A$15:A46)+$B$3))),IF($D$15="",INDEX(orderHistory[customer],SMALL(IF(ISNUMBER(MATCH(orderHistory[order_type],$D$13,0)),MATCH(ROW(orderHistory[customer]),ROW(orderHistory[customer])),""),ROWS($A$15:A46)+$B$3)),INDEX(orderHistory[customer],SMALL(IF(ISNUMBER(MATCH(orderHistory[order_type],$D$13,0)*MATCH(YEAR(orderHistory[invoice_date]),$D$15,0)),MATCH(ROW(orderHistory[customer]),ROW(orderHistory[customer])),""),ROWS($A$15:A46)+$B$3)))),IF($D$13="",IF($D$15="",INDEX(orderHistory[customer],SMALL(IF(ISNUMBER(MATCH(orderHistory[status],$D$11,0)),MATCH(ROW(orderHistory[customer]),ROW(orderHistory[customer])),""),ROWS($A$15:A46)+$B$3)),INDEX(orderHistory[customer],SMALL(IF(ISNUMBER(MATCH(orderHistory[status],$D$11,0)*MATCH(YEAR(orderHistory[invoice_date]),$D$15,0)),MATCH(ROW(orderHistory[customer]),ROW(orderHistory[customer])),""),ROWS($A$15:A46)+$B$3))),IF($D$15="",INDEX(orderHistory[customer],SMALL(IF(ISNUMBER(MATCH(orderHistory[status],$D$11,0)*MATCH(orderHistory[order_type],$D$13,0)),MATCH(ROW(orderHistory[customer]),ROW(orderHistory[customer])),""),ROWS($A$15:A46)+$B$3)),INDEX(orderHistory[customer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customer],SMALL(IF(ISNUMBER(MATCH(orderHistory[customer],$D$9,0)),MATCH(ROW(orderHistory[customer]),ROW(orderHistory[customer])),""),ROWS($A$15:A46)+$B$3)),INDEX(orderHistory[customer],SMALL(IF(ISNUMBER(MATCH(orderHistory[customer],$D$9,0)*MATCH(YEAR(orderHistory[invoice_date]),$D$15,0)),MATCH(ROW(orderHistory[customer]),ROW(orderHistory[customer])),""),ROWS($A$15:A46)+$B$3))),IF($D$15="",INDEX(orderHistory[customer],SMALL(IF(ISNUMBER(MATCH(orderHistory[customer],$D$9,0)*MATCH(orderHistory[order_type],$D$13,0)),MATCH(ROW(orderHistory[customer]),ROW(orderHistory[customer])),""),ROWS($A$15:A46)+$B$3)),INDEX(orderHistory[customer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customer],SMALL(IF(ISNUMBER(MATCH(orderHistory[customer],$D$9,0)*MATCH(orderHistory[status],$D$11,0)),MATCH(ROW(orderHistory[customer]),ROW(orderHistory[customer])),""),ROWS($A$15:A46)+$B$3)),INDEX(orderHistory[customer],SMALL(IF(ISNUMBER(MATCH(orderHistory[customer],$D$9,0)*MATCH(orderHistory[status],$D$11,0)*MATCH(YEAR(orderHistory[invoice_date]),$D$15,0)),MATCH(ROW(orderHistory[customer]),ROW(orderHistory[customer])),""),ROWS($A$15:A46)+$B$3))),IF($D$15="",INDEX(orderHistory[customer],SMALL(IF(ISNUMBER(MATCH(orderHistory[customer],$D$9,0)*MATCH(orderHistory[status],$D$11,0)*MATCH(orderHistory[order_type],$D$13,0)),MATCH(ROW(orderHistory[customer]),ROW(orderHistory[customer])),""),ROWS($A$15:A46)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LUXUM BEAUTY - ULM</v>
      </c>
      <c r="M41" s="382">
        <f t="array" ref="M41">IFERROR(IF($D$9="",IF($D$11="",IF($D$13="",IF($D$15="",INDEX(orderHistory[order_no],SMALL(MATCH(ROW(orderHistory[customer]),ROW(orderHistory[customer])),ROWS($A$15:A46)+$B$3)),INDEX(orderHistory[order_no],SMALL(IF(ISNUMBER(MATCH(YEAR(orderHistory[invoice_date]),$D$15,0)),MATCH(ROW(orderHistory[customer]),ROW(orderHistory[customer])),""),ROWS($A$15:A46)+$B$3))),IF($D$15="",INDEX(orderHistory[order_no],SMALL(IF(ISNUMBER(MATCH(orderHistory[order_type],$D$13,0)),MATCH(ROW(orderHistory[customer]),ROW(orderHistory[customer])),""),ROWS($A$15:A46)+$B$3)),INDEX(orderHistory[order_no],SMALL(IF(ISNUMBER(MATCH(orderHistory[order_type],$D$13,0)*MATCH(YEAR(orderHistory[invoice_date]),$D$15,0)),MATCH(ROW(orderHistory[customer]),ROW(orderHistory[customer])),""),ROWS($A$15:A46)+$B$3)))),IF($D$13="",IF($D$15="",INDEX(orderHistory[order_no],SMALL(IF(ISNUMBER(MATCH(orderHistory[status],$D$11,0)),MATCH(ROW(orderHistory[customer]),ROW(orderHistory[customer])),""),ROWS($A$15:A46)+$B$3)),INDEX(orderHistory[order_no],SMALL(IF(ISNUMBER(MATCH(orderHistory[status],$D$11,0)*MATCH(YEAR(orderHistory[invoice_date]),$D$15,0)),MATCH(ROW(orderHistory[customer]),ROW(orderHistory[customer])),""),ROWS($A$15:A46)+$B$3))),IF($D$15="",INDEX(orderHistory[order_no],SMALL(IF(ISNUMBER(MATCH(orderHistory[status],$D$11,0)*MATCH(orderHistory[order_type],$D$13,0)),MATCH(ROW(orderHistory[customer]),ROW(orderHistory[customer])),""),ROWS($A$15:A46)+$B$3)),INDEX(orderHistory[order_no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order_no],SMALL(IF(ISNUMBER(MATCH(orderHistory[customer],$D$9,0)),MATCH(ROW(orderHistory[customer]),ROW(orderHistory[customer])),""),ROWS($A$15:A46)+$B$3)),INDEX(orderHistory[order_no],SMALL(IF(ISNUMBER(MATCH(orderHistory[customer],$D$9,0)*MATCH(YEAR(orderHistory[invoice_date]),$D$15,0)),MATCH(ROW(orderHistory[customer]),ROW(orderHistory[customer])),""),ROWS($A$15:A46)+$B$3))),IF($D$15="",INDEX(orderHistory[order_no],SMALL(IF(ISNUMBER(MATCH(orderHistory[customer],$D$9,0)*MATCH(orderHistory[order_type],$D$13,0)),MATCH(ROW(orderHistory[customer]),ROW(orderHistory[customer])),""),ROWS($A$15:A46)+$B$3)),INDEX(orderHistory[order_no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order_no],SMALL(IF(ISNUMBER(MATCH(orderHistory[customer],$D$9,0)*MATCH(orderHistory[status],$D$11,0)),MATCH(ROW(orderHistory[customer]),ROW(orderHistory[customer])),""),ROWS($A$15:A46)+$B$3)),INDEX(orderHistory[order_no],SMALL(IF(ISNUMBER(MATCH(orderHistory[customer],$D$9,0)*MATCH(orderHistory[status],$D$11,0)*MATCH(YEAR(orderHistory[invoice_date]),$D$15,0)),MATCH(ROW(orderHistory[customer]),ROW(orderHistory[customer])),""),ROWS($A$15:A46)+$B$3))),IF($D$15="",INDEX(orderHistory[order_no],SMALL(IF(ISNUMBER(MATCH(orderHistory[customer],$D$9,0)*MATCH(orderHistory[status],$D$11,0)*MATCH(orderHistory[order_type],$D$13,0)),MATCH(ROW(orderHistory[customer]),ROW(orderHistory[customer])),""),ROWS($A$15:A46)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24</v>
      </c>
      <c r="N41" s="383" t="str">
        <f t="array" ref="N41">IFERROR(IF($D$9="",IF($D$11="",IF($D$13="",IF($D$15="",INDEX(orderHistory[order_type],SMALL(MATCH(ROW(orderHistory[customer]),ROW(orderHistory[customer])),ROWS($A$15:A46)+$B$3)),INDEX(orderHistory[order_type],SMALL(IF(ISNUMBER(MATCH(YEAR(orderHistory[invoice_date]),$D$15,0)),MATCH(ROW(orderHistory[customer]),ROW(orderHistory[customer])),""),ROWS($A$15:A46)+$B$3))),IF($D$15="",INDEX(orderHistory[order_type],SMALL(IF(ISNUMBER(MATCH(orderHistory[order_type],$D$13,0)),MATCH(ROW(orderHistory[customer]),ROW(orderHistory[customer])),""),ROWS($A$15:A46)+$B$3)),INDEX(orderHistory[order_type],SMALL(IF(ISNUMBER(MATCH(orderHistory[order_type],$D$13,0)*MATCH(YEAR(orderHistory[invoice_date]),$D$15,0)),MATCH(ROW(orderHistory[customer]),ROW(orderHistory[customer])),""),ROWS($A$15:A46)+$B$3)))),IF($D$13="",IF($D$15="",INDEX(orderHistory[order_type],SMALL(IF(ISNUMBER(MATCH(orderHistory[status],$D$11,0)),MATCH(ROW(orderHistory[customer]),ROW(orderHistory[customer])),""),ROWS($A$15:A46)+$B$3)),INDEX(orderHistory[order_type],SMALL(IF(ISNUMBER(MATCH(orderHistory[status],$D$11,0)*MATCH(YEAR(orderHistory[invoice_date]),$D$15,0)),MATCH(ROW(orderHistory[customer]),ROW(orderHistory[customer])),""),ROWS($A$15:A46)+$B$3))),IF($D$15="",INDEX(orderHistory[order_type],SMALL(IF(ISNUMBER(MATCH(orderHistory[status],$D$11,0)*MATCH(orderHistory[order_type],$D$13,0)),MATCH(ROW(orderHistory[customer]),ROW(orderHistory[customer])),""),ROWS($A$15:A46)+$B$3)),INDEX(orderHistory[order_type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order_type],SMALL(IF(ISNUMBER(MATCH(orderHistory[customer],$D$9,0)),MATCH(ROW(orderHistory[customer]),ROW(orderHistory[customer])),""),ROWS($A$15:A46)+$B$3)),INDEX(orderHistory[order_type],SMALL(IF(ISNUMBER(MATCH(orderHistory[customer],$D$9,0)*MATCH(YEAR(orderHistory[invoice_date]),$D$15,0)),MATCH(ROW(orderHistory[customer]),ROW(orderHistory[customer])),""),ROWS($A$15:A46)+$B$3))),IF($D$15="",INDEX(orderHistory[order_type],SMALL(IF(ISNUMBER(MATCH(orderHistory[customer],$D$9,0)*MATCH(orderHistory[order_type],$D$13,0)),MATCH(ROW(orderHistory[customer]),ROW(orderHistory[customer])),""),ROWS($A$15:A46)+$B$3)),INDEX(orderHistory[order_type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order_type],SMALL(IF(ISNUMBER(MATCH(orderHistory[customer],$D$9,0)*MATCH(orderHistory[status],$D$11,0)),MATCH(ROW(orderHistory[customer]),ROW(orderHistory[customer])),""),ROWS($A$15:A46)+$B$3)),INDEX(orderHistory[order_type],SMALL(IF(ISNUMBER(MATCH(orderHistory[customer],$D$9,0)*MATCH(orderHistory[status],$D$11,0)*MATCH(YEAR(orderHistory[invoice_date]),$D$15,0)),MATCH(ROW(orderHistory[customer]),ROW(orderHistory[customer])),""),ROWS($A$15:A46)+$B$3))),IF($D$15="",INDEX(orderHistory[order_type],SMALL(IF(ISNUMBER(MATCH(orderHistory[customer],$D$9,0)*MATCH(orderHistory[status],$D$11,0)*MATCH(orderHistory[order_type],$D$13,0)),MATCH(ROW(orderHistory[customer]),ROW(orderHistory[customer])),""),ROWS($A$15:A46)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SALE</v>
      </c>
      <c r="O41" s="384">
        <f t="array" ref="O41">IFERROR(IF($D$9="",IF($D$11="",IF($D$13="",IF($D$15="",INDEX(orderHistory[order_date],SMALL(MATCH(ROW(orderHistory[customer]),ROW(orderHistory[customer])),ROWS($A$15:A46)+$B$3)),INDEX(orderHistory[order_date],SMALL(IF(ISNUMBER(MATCH(YEAR(orderHistory[invoice_date]),$D$15,0)),MATCH(ROW(orderHistory[customer]),ROW(orderHistory[customer])),""),ROWS($A$15:A46)+$B$3))),IF($D$15="",INDEX(orderHistory[order_date],SMALL(IF(ISNUMBER(MATCH(orderHistory[order_type],$D$13,0)),MATCH(ROW(orderHistory[customer]),ROW(orderHistory[customer])),""),ROWS($A$15:A46)+$B$3)),INDEX(orderHistory[order_date],SMALL(IF(ISNUMBER(MATCH(orderHistory[order_type],$D$13,0)*MATCH(YEAR(orderHistory[invoice_date]),$D$15,0)),MATCH(ROW(orderHistory[customer]),ROW(orderHistory[customer])),""),ROWS($A$15:A46)+$B$3)))),IF($D$13="",IF($D$15="",INDEX(orderHistory[order_date],SMALL(IF(ISNUMBER(MATCH(orderHistory[status],$D$11,0)),MATCH(ROW(orderHistory[customer]),ROW(orderHistory[customer])),""),ROWS($A$15:A46)+$B$3)),INDEX(orderHistory[order_date],SMALL(IF(ISNUMBER(MATCH(orderHistory[status],$D$11,0)*MATCH(YEAR(orderHistory[invoice_date]),$D$15,0)),MATCH(ROW(orderHistory[customer]),ROW(orderHistory[customer])),""),ROWS($A$15:A46)+$B$3))),IF($D$15="",INDEX(orderHistory[order_date],SMALL(IF(ISNUMBER(MATCH(orderHistory[status],$D$11,0)*MATCH(orderHistory[order_type],$D$13,0)),MATCH(ROW(orderHistory[customer]),ROW(orderHistory[customer])),""),ROWS($A$15:A46)+$B$3)),INDEX(orderHistory[order_date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order_date],SMALL(IF(ISNUMBER(MATCH(orderHistory[customer],$D$9,0)),MATCH(ROW(orderHistory[customer]),ROW(orderHistory[customer])),""),ROWS($A$15:A46)+$B$3)),INDEX(orderHistory[order_date],SMALL(IF(ISNUMBER(MATCH(orderHistory[customer],$D$9,0)*MATCH(YEAR(orderHistory[invoice_date]),$D$15,0)),MATCH(ROW(orderHistory[customer]),ROW(orderHistory[customer])),""),ROWS($A$15:A46)+$B$3))),IF($D$15="",INDEX(orderHistory[order_date],SMALL(IF(ISNUMBER(MATCH(orderHistory[customer],$D$9,0)*MATCH(orderHistory[order_type],$D$13,0)),MATCH(ROW(orderHistory[customer]),ROW(orderHistory[customer])),""),ROWS($A$15:A46)+$B$3)),INDEX(orderHistory[order_date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order_date],SMALL(IF(ISNUMBER(MATCH(orderHistory[customer],$D$9,0)*MATCH(orderHistory[status],$D$11,0)),MATCH(ROW(orderHistory[customer]),ROW(orderHistory[customer])),""),ROWS($A$15:A46)+$B$3)),INDEX(orderHistory[order_date],SMALL(IF(ISNUMBER(MATCH(orderHistory[customer],$D$9,0)*MATCH(orderHistory[status],$D$11,0)*MATCH(YEAR(orderHistory[invoice_date]),$D$15,0)),MATCH(ROW(orderHistory[customer]),ROW(orderHistory[customer])),""),ROWS($A$15:A46)+$B$3))),IF($D$15="",INDEX(orderHistory[order_date],SMALL(IF(ISNUMBER(MATCH(orderHistory[customer],$D$9,0)*MATCH(orderHistory[status],$D$11,0)*MATCH(orderHistory[order_type],$D$13,0)),MATCH(ROW(orderHistory[customer]),ROW(orderHistory[customer])),""),ROWS($A$15:A46)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45390</v>
      </c>
      <c r="P41" s="385" t="str">
        <f t="array" ref="P41">IFERROR(IF($D$9="",IF($D$11="",IF($D$13="",IF($D$15="",INDEX(orderHistory[invoice_no],SMALL(MATCH(ROW(orderHistory[customer]),ROW(orderHistory[customer])),ROWS($A$15:A46)+$B$3)),INDEX(orderHistory[invoice_no],SMALL(IF(ISNUMBER(MATCH(YEAR(orderHistory[invoice_date]),$D$15,0)),MATCH(ROW(orderHistory[customer]),ROW(orderHistory[customer])),""),ROWS($A$15:A46)+$B$3))),IF($D$15="",INDEX(orderHistory[invoice_no],SMALL(IF(ISNUMBER(MATCH(orderHistory[order_type],$D$13,0)),MATCH(ROW(orderHistory[customer]),ROW(orderHistory[customer])),""),ROWS($A$15:A46)+$B$3)),INDEX(orderHistory[invoice_no],SMALL(IF(ISNUMBER(MATCH(orderHistory[order_type],$D$13,0)*MATCH(YEAR(orderHistory[invoice_date]),$D$15,0)),MATCH(ROW(orderHistory[customer]),ROW(orderHistory[customer])),""),ROWS($A$15:A46)+$B$3)))),IF($D$13="",IF($D$15="",INDEX(orderHistory[invoice_no],SMALL(IF(ISNUMBER(MATCH(orderHistory[status],$D$11,0)),MATCH(ROW(orderHistory[customer]),ROW(orderHistory[customer])),""),ROWS($A$15:A46)+$B$3)),INDEX(orderHistory[invoice_no],SMALL(IF(ISNUMBER(MATCH(orderHistory[status],$D$11,0)*MATCH(YEAR(orderHistory[invoice_date]),$D$15,0)),MATCH(ROW(orderHistory[customer]),ROW(orderHistory[customer])),""),ROWS($A$15:A46)+$B$3))),IF($D$15="",INDEX(orderHistory[invoice_no],SMALL(IF(ISNUMBER(MATCH(orderHistory[status],$D$11,0)*MATCH(orderHistory[order_type],$D$13,0)),MATCH(ROW(orderHistory[customer]),ROW(orderHistory[customer])),""),ROWS($A$15:A46)+$B$3)),INDEX(orderHistory[invoice_no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invoice_no],SMALL(IF(ISNUMBER(MATCH(orderHistory[customer],$D$9,0)),MATCH(ROW(orderHistory[customer]),ROW(orderHistory[customer])),""),ROWS($A$15:A46)+$B$3)),INDEX(orderHistory[invoice_no],SMALL(IF(ISNUMBER(MATCH(orderHistory[customer],$D$9,0)*MATCH(YEAR(orderHistory[invoice_date]),$D$15,0)),MATCH(ROW(orderHistory[customer]),ROW(orderHistory[customer])),""),ROWS($A$15:A46)+$B$3))),IF($D$15="",INDEX(orderHistory[invoice_no],SMALL(IF(ISNUMBER(MATCH(orderHistory[customer],$D$9,0)*MATCH(orderHistory[order_type],$D$13,0)),MATCH(ROW(orderHistory[customer]),ROW(orderHistory[customer])),""),ROWS($A$15:A46)+$B$3)),INDEX(orderHistory[invoice_no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invoice_no],SMALL(IF(ISNUMBER(MATCH(orderHistory[customer],$D$9,0)*MATCH(orderHistory[status],$D$11,0)),MATCH(ROW(orderHistory[customer]),ROW(orderHistory[customer])),""),ROWS($A$15:A46)+$B$3)),INDEX(orderHistory[invoice_no],SMALL(IF(ISNUMBER(MATCH(orderHistory[customer],$D$9,0)*MATCH(orderHistory[status],$D$11,0)*MATCH(YEAR(orderHistory[invoice_date]),$D$15,0)),MATCH(ROW(orderHistory[customer]),ROW(orderHistory[customer])),""),ROWS($A$15:A46)+$B$3))),IF($D$15="",INDEX(orderHistory[invoice_no],SMALL(IF(ISNUMBER(MATCH(orderHistory[customer],$D$9,0)*MATCH(orderHistory[status],$D$11,0)*MATCH(orderHistory[order_type],$D$13,0)),MATCH(ROW(orderHistory[customer]),ROW(orderHistory[customer])),""),ROWS($A$15:A46)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113</v>
      </c>
      <c r="Q41" s="386">
        <f t="array" ref="Q41">IFERROR(IF($D$9="",IF($D$11="",IF($D$13="",IF($D$15="",INDEX(orderHistory[invoice_date],SMALL(MATCH(ROW(orderHistory[customer]),ROW(orderHistory[customer])),ROWS($A$15:A46)+$B$3)),INDEX(orderHistory[invoice_date],SMALL(IF(ISNUMBER(MATCH(YEAR(orderHistory[invoice_date]),$D$15,0)),MATCH(ROW(orderHistory[customer]),ROW(orderHistory[customer])),""),ROWS($A$15:A46)+$B$3))),IF($D$15="",INDEX(orderHistory[invoice_date],SMALL(IF(ISNUMBER(MATCH(orderHistory[order_type],$D$13,0)),MATCH(ROW(orderHistory[customer]),ROW(orderHistory[customer])),""),ROWS($A$15:A46)+$B$3)),INDEX(orderHistory[invoice_date],SMALL(IF(ISNUMBER(MATCH(orderHistory[order_type],$D$13,0)*MATCH(YEAR(orderHistory[invoice_date]),$D$15,0)),MATCH(ROW(orderHistory[customer]),ROW(orderHistory[customer])),""),ROWS($A$15:A46)+$B$3)))),IF($D$13="",IF($D$15="",INDEX(orderHistory[invoice_date],SMALL(IF(ISNUMBER(MATCH(orderHistory[status],$D$11,0)),MATCH(ROW(orderHistory[customer]),ROW(orderHistory[customer])),""),ROWS($A$15:A46)+$B$3)),INDEX(orderHistory[invoice_date],SMALL(IF(ISNUMBER(MATCH(orderHistory[status],$D$11,0)*MATCH(YEAR(orderHistory[invoice_date]),$D$15,0)),MATCH(ROW(orderHistory[customer]),ROW(orderHistory[customer])),""),ROWS($A$15:A46)+$B$3))),IF($D$15="",INDEX(orderHistory[invoice_date],SMALL(IF(ISNUMBER(MATCH(orderHistory[status],$D$11,0)*MATCH(orderHistory[order_type],$D$13,0)),MATCH(ROW(orderHistory[customer]),ROW(orderHistory[customer])),""),ROWS($A$15:A46)+$B$3)),INDEX(orderHistory[invoice_date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invoice_date],SMALL(IF(ISNUMBER(MATCH(orderHistory[customer],$D$9,0)),MATCH(ROW(orderHistory[customer]),ROW(orderHistory[customer])),""),ROWS($A$15:A46)+$B$3)),INDEX(orderHistory[invoice_date],SMALL(IF(ISNUMBER(MATCH(orderHistory[customer],$D$9,0)*MATCH(YEAR(orderHistory[invoice_date]),$D$15,0)),MATCH(ROW(orderHistory[customer]),ROW(orderHistory[customer])),""),ROWS($A$15:A46)+$B$3))),IF($D$15="",INDEX(orderHistory[invoice_date],SMALL(IF(ISNUMBER(MATCH(orderHistory[customer],$D$9,0)*MATCH(orderHistory[order_type],$D$13,0)),MATCH(ROW(orderHistory[customer]),ROW(orderHistory[customer])),""),ROWS($A$15:A46)+$B$3)),INDEX(orderHistory[invoice_date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invoice_date],SMALL(IF(ISNUMBER(MATCH(orderHistory[customer],$D$9,0)*MATCH(orderHistory[status],$D$11,0)),MATCH(ROW(orderHistory[customer]),ROW(orderHistory[customer])),""),ROWS($A$15:A46)+$B$3)),INDEX(orderHistory[invoice_date],SMALL(IF(ISNUMBER(MATCH(orderHistory[customer],$D$9,0)*MATCH(orderHistory[status],$D$11,0)*MATCH(YEAR(orderHistory[invoice_date]),$D$15,0)),MATCH(ROW(orderHistory[customer]),ROW(orderHistory[customer])),""),ROWS($A$15:A46)+$B$3))),IF($D$15="",INDEX(orderHistory[invoice_date],SMALL(IF(ISNUMBER(MATCH(orderHistory[customer],$D$9,0)*MATCH(orderHistory[status],$D$11,0)*MATCH(orderHistory[order_type],$D$13,0)),MATCH(ROW(orderHistory[customer]),ROW(orderHistory[customer])),""),ROWS($A$15:A46)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45386</v>
      </c>
      <c r="R41" s="387">
        <f t="array" ref="R41">IFERROR(IF($D$9="",IF($D$11="",IF($D$13="",IF($D$15="",INDEX(orderHistory[inv_amount],SMALL(MATCH(ROW(orderHistory[customer]),ROW(orderHistory[customer])),ROWS($A$15:A46)+$B$3)),INDEX(orderHistory[inv_amount],SMALL(IF(ISNUMBER(MATCH(YEAR(orderHistory[invoice_date]),$D$15,0)),MATCH(ROW(orderHistory[customer]),ROW(orderHistory[customer])),""),ROWS($A$15:A46)+$B$3))),IF($D$15="",INDEX(orderHistory[inv_amount],SMALL(IF(ISNUMBER(MATCH(orderHistory[order_type],$D$13,0)),MATCH(ROW(orderHistory[customer]),ROW(orderHistory[customer])),""),ROWS($A$15:A46)+$B$3)),INDEX(orderHistory[inv_amount],SMALL(IF(ISNUMBER(MATCH(orderHistory[order_type],$D$13,0)*MATCH(YEAR(orderHistory[invoice_date]),$D$15,0)),MATCH(ROW(orderHistory[customer]),ROW(orderHistory[customer])),""),ROWS($A$15:A46)+$B$3)))),IF($D$13="",IF($D$15="",INDEX(orderHistory[inv_amount],SMALL(IF(ISNUMBER(MATCH(orderHistory[status],$D$11,0)),MATCH(ROW(orderHistory[customer]),ROW(orderHistory[customer])),""),ROWS($A$15:A46)+$B$3)),INDEX(orderHistory[inv_amount],SMALL(IF(ISNUMBER(MATCH(orderHistory[status],$D$11,0)*MATCH(YEAR(orderHistory[invoice_date]),$D$15,0)),MATCH(ROW(orderHistory[customer]),ROW(orderHistory[customer])),""),ROWS($A$15:A46)+$B$3))),IF($D$15="",INDEX(orderHistory[inv_amount],SMALL(IF(ISNUMBER(MATCH(orderHistory[status],$D$11,0)*MATCH(orderHistory[order_type],$D$13,0)),MATCH(ROW(orderHistory[customer]),ROW(orderHistory[customer])),""),ROWS($A$15:A46)+$B$3)),INDEX(orderHistory[inv_amount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inv_amount],SMALL(IF(ISNUMBER(MATCH(orderHistory[customer],$D$9,0)),MATCH(ROW(orderHistory[customer]),ROW(orderHistory[customer])),""),ROWS($A$15:A46)+$B$3)),INDEX(orderHistory[inv_amount],SMALL(IF(ISNUMBER(MATCH(orderHistory[customer],$D$9,0)*MATCH(YEAR(orderHistory[invoice_date]),$D$15,0)),MATCH(ROW(orderHistory[customer]),ROW(orderHistory[customer])),""),ROWS($A$15:A46)+$B$3))),IF($D$15="",INDEX(orderHistory[inv_amount],SMALL(IF(ISNUMBER(MATCH(orderHistory[customer],$D$9,0)*MATCH(orderHistory[order_type],$D$13,0)),MATCH(ROW(orderHistory[customer]),ROW(orderHistory[customer])),""),ROWS($A$15:A46)+$B$3)),INDEX(orderHistory[inv_amount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inv_amount],SMALL(IF(ISNUMBER(MATCH(orderHistory[customer],$D$9,0)*MATCH(orderHistory[status],$D$11,0)),MATCH(ROW(orderHistory[customer]),ROW(orderHistory[customer])),""),ROWS($A$15:A46)+$B$3)),INDEX(orderHistory[inv_amount],SMALL(IF(ISNUMBER(MATCH(orderHistory[customer],$D$9,0)*MATCH(orderHistory[status],$D$11,0)*MATCH(YEAR(orderHistory[inv_amount]),$D$15,0)),MATCH(ROW(orderHistory[customer]),ROW(orderHistory[customer])),""),ROWS($A$15:A46)+$B$3))),IF($D$15="",INDEX(orderHistory[inv_amount],SMALL(IF(ISNUMBER(MATCH(orderHistory[customer],$D$9,0)*MATCH(orderHistory[status],$D$11,0)*MATCH(orderHistory[order_type],$D$13,0)),MATCH(ROW(orderHistory[customer]),ROW(orderHistory[customer])),""),ROWS($A$15:A46)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67500</v>
      </c>
      <c r="S41" s="465" t="str">
        <f t="array" ref="S41">IFERROR(IF($D$9="",IF($D$11="",IF($D$13="",IF($D$15="",INDEX(orderHistory[lock_goods],SMALL(MATCH(ROW(orderHistory[customer]),ROW(orderHistory[customer])),ROWS($A$15:A46)+$B$3)),INDEX(orderHistory[lock_goods],SMALL(IF(ISNUMBER(MATCH(YEAR(orderHistory[invoice_date]),$D$15,0)),MATCH(ROW(orderHistory[customer]),ROW(orderHistory[customer])),""),ROWS($A$15:A46)+$B$3))),IF($D$15="",INDEX(orderHistory[lock_goods],SMALL(IF(ISNUMBER(MATCH(orderHistory[order_type],$D$13,0)),MATCH(ROW(orderHistory[customer]),ROW(orderHistory[customer])),""),ROWS($A$15:A46)+$B$3)),INDEX(orderHistory[lock_goods],SMALL(IF(ISNUMBER(MATCH(orderHistory[order_type],$D$13,0)*MATCH(YEAR(orderHistory[invoice_date]),$D$15,0)),MATCH(ROW(orderHistory[customer]),ROW(orderHistory[customer])),""),ROWS($A$15:A46)+$B$3)))),IF($D$13="",IF($D$15="",INDEX(orderHistory[lock_goods],SMALL(IF(ISNUMBER(MATCH(orderHistory[status],$D$11,0)),MATCH(ROW(orderHistory[customer]),ROW(orderHistory[customer])),""),ROWS($A$15:A46)+$B$3)),INDEX(orderHistory[lock_goods],SMALL(IF(ISNUMBER(MATCH(orderHistory[status],$D$11,0)*MATCH(YEAR(orderHistory[invoice_date]),$D$15,0)),MATCH(ROW(orderHistory[customer]),ROW(orderHistory[customer])),""),ROWS($A$15:A46)+$B$3))),IF($D$15="",INDEX(orderHistory[lock_goods],SMALL(IF(ISNUMBER(MATCH(orderHistory[status],$D$11,0)*MATCH(orderHistory[order_type],$D$13,0)),MATCH(ROW(orderHistory[customer]),ROW(orderHistory[customer])),""),ROWS($A$15:A46)+$B$3)),INDEX(orderHistory[lock_goods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lock_goods],SMALL(IF(ISNUMBER(MATCH(orderHistory[customer],$D$9,0)),MATCH(ROW(orderHistory[customer]),ROW(orderHistory[customer])),""),ROWS($A$15:A46)+$B$3)),INDEX(orderHistory[lock_goods],SMALL(IF(ISNUMBER(MATCH(orderHistory[customer],$D$9,0)*MATCH(YEAR(orderHistory[invoice_date]),$D$15,0)),MATCH(ROW(orderHistory[customer]),ROW(orderHistory[customer])),""),ROWS($A$15:A46)+$B$3))),IF($D$15="",INDEX(orderHistory[lock_goods],SMALL(IF(ISNUMBER(MATCH(orderHistory[customer],$D$9,0)*MATCH(orderHistory[order_type],$D$13,0)),MATCH(ROW(orderHistory[customer]),ROW(orderHistory[customer])),""),ROWS($A$15:A46)+$B$3)),INDEX(orderHistory[lock_goods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lock_goods],SMALL(IF(ISNUMBER(MATCH(orderHistory[customer],$D$9,0)*MATCH(orderHistory[status],$D$11,0)),MATCH(ROW(orderHistory[customer]),ROW(orderHistory[customer])),""),ROWS($A$15:A46)+$B$3)),INDEX(orderHistory[lock_goods],SMALL(IF(ISNUMBER(MATCH(orderHistory[customer],$D$9,0)*MATCH(orderHistory[status],$D$11,0)*MATCH(YEAR(orderHistory[payed]),$D$15,0)),MATCH(ROW(orderHistory[customer]),ROW(orderHistory[customer])),""),ROWS($A$15:A46)+$B$3))),IF($D$15="",INDEX(orderHistory[lock_goods],SMALL(IF(ISNUMBER(MATCH(orderHistory[customer],$D$9,0)*MATCH(orderHistory[status],$D$11,0)*MATCH(orderHistory[order_type],$D$13,0)),MATCH(ROW(orderHistory[customer]),ROW(orderHistory[customer])),""),ROWS($A$15:A46)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GOODS SENT</v>
      </c>
      <c r="T41" s="388" t="b">
        <f t="array" ref="T41">IFERROR(IF($D$9="",IF($D$11="",IF($D$13="",IF($D$15="",INDEX(orderHistory[payed],SMALL(MATCH(ROW(orderHistory[customer]),ROW(orderHistory[customer])),ROWS($A$15:A46)+$B$3)),INDEX(orderHistory[payed],SMALL(IF(ISNUMBER(MATCH(YEAR(orderHistory[invoice_date]),$D$15,0)),MATCH(ROW(orderHistory[customer]),ROW(orderHistory[customer])),""),ROWS($A$15:A46)+$B$3))),IF($D$15="",INDEX(orderHistory[payed],SMALL(IF(ISNUMBER(MATCH(orderHistory[order_type],$D$13,0)),MATCH(ROW(orderHistory[customer]),ROW(orderHistory[customer])),""),ROWS($A$15:A46)+$B$3)),INDEX(orderHistory[payed],SMALL(IF(ISNUMBER(MATCH(orderHistory[order_type],$D$13,0)*MATCH(YEAR(orderHistory[invoice_date]),$D$15,0)),MATCH(ROW(orderHistory[customer]),ROW(orderHistory[customer])),""),ROWS($A$15:A46)+$B$3)))),IF($D$13="",IF($D$15="",INDEX(orderHistory[payed],SMALL(IF(ISNUMBER(MATCH(orderHistory[status],$D$11,0)),MATCH(ROW(orderHistory[customer]),ROW(orderHistory[customer])),""),ROWS($A$15:A46)+$B$3)),INDEX(orderHistory[payed],SMALL(IF(ISNUMBER(MATCH(orderHistory[status],$D$11,0)*MATCH(YEAR(orderHistory[invoice_date]),$D$15,0)),MATCH(ROW(orderHistory[customer]),ROW(orderHistory[customer])),""),ROWS($A$15:A46)+$B$3))),IF($D$15="",INDEX(orderHistory[payed],SMALL(IF(ISNUMBER(MATCH(orderHistory[status],$D$11,0)*MATCH(orderHistory[order_type],$D$13,0)),MATCH(ROW(orderHistory[customer]),ROW(orderHistory[customer])),""),ROWS($A$15:A46)+$B$3)),INDEX(orderHistory[payed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payed],SMALL(IF(ISNUMBER(MATCH(orderHistory[customer],$D$9,0)),MATCH(ROW(orderHistory[customer]),ROW(orderHistory[customer])),""),ROWS($A$15:A46)+$B$3)),INDEX(orderHistory[payed],SMALL(IF(ISNUMBER(MATCH(orderHistory[customer],$D$9,0)*MATCH(YEAR(orderHistory[invoice_date]),$D$15,0)),MATCH(ROW(orderHistory[customer]),ROW(orderHistory[customer])),""),ROWS($A$15:A46)+$B$3))),IF($D$15="",INDEX(orderHistory[payed],SMALL(IF(ISNUMBER(MATCH(orderHistory[customer],$D$9,0)*MATCH(orderHistory[order_type],$D$13,0)),MATCH(ROW(orderHistory[customer]),ROW(orderHistory[customer])),""),ROWS($A$15:A46)+$B$3)),INDEX(orderHistory[payed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payed],SMALL(IF(ISNUMBER(MATCH(orderHistory[customer],$D$9,0)*MATCH(orderHistory[status],$D$11,0)),MATCH(ROW(orderHistory[customer]),ROW(orderHistory[customer])),""),ROWS($A$15:A46)+$B$3)),INDEX(orderHistory[payed],SMALL(IF(ISNUMBER(MATCH(orderHistory[customer],$D$9,0)*MATCH(orderHistory[status],$D$11,0)*MATCH(YEAR(orderHistory[payed]),$D$15,0)),MATCH(ROW(orderHistory[customer]),ROW(orderHistory[customer])),""),ROWS($A$15:A46)+$B$3))),IF($D$15="",INDEX(orderHistory[payed],SMALL(IF(ISNUMBER(MATCH(orderHistory[customer],$D$9,0)*MATCH(orderHistory[status],$D$11,0)*MATCH(orderHistory[order_type],$D$13,0)),MATCH(ROW(orderHistory[customer]),ROW(orderHistory[customer])),""),ROWS($A$15:A46)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1</v>
      </c>
      <c r="U41" s="383" t="str">
        <f t="array" ref="U41">IFERROR(IF($D$9="",IF($D$11="",IF($D$13="",IF($D$15="",INDEX(orderHistory[shipping_method],SMALL(MATCH(ROW(orderHistory[customer]),ROW(orderHistory[customer])),ROWS($A$15:A46)+$B$3)),INDEX(orderHistory[shipping_method],SMALL(IF(ISNUMBER(MATCH(YEAR(orderHistory[invoice_date]),$D$15,0)),MATCH(ROW(orderHistory[customer]),ROW(orderHistory[customer])),""),ROWS($A$15:A46)+$B$3))),IF($D$15="",INDEX(orderHistory[shipping_method],SMALL(IF(ISNUMBER(MATCH(orderHistory[order_type],$D$13,0)),MATCH(ROW(orderHistory[customer]),ROW(orderHistory[customer])),""),ROWS($A$15:A46)+$B$3)),INDEX(orderHistory[shipping_method],SMALL(IF(ISNUMBER(MATCH(orderHistory[order_type],$D$13,0)*MATCH(YEAR(orderHistory[invoice_date]),$D$15,0)),MATCH(ROW(orderHistory[customer]),ROW(orderHistory[customer])),""),ROWS($A$15:A46)+$B$3)))),IF($D$13="",IF($D$15="",INDEX(orderHistory[shipping_method],SMALL(IF(ISNUMBER(MATCH(orderHistory[status],$D$11,0)),MATCH(ROW(orderHistory[customer]),ROW(orderHistory[customer])),""),ROWS($A$15:A46)+$B$3)),INDEX(orderHistory[shipping_method],SMALL(IF(ISNUMBER(MATCH(orderHistory[status],$D$11,0)*MATCH(YEAR(orderHistory[invoice_date]),$D$15,0)),MATCH(ROW(orderHistory[customer]),ROW(orderHistory[customer])),""),ROWS($A$15:A46)+$B$3))),IF($D$15="",INDEX(orderHistory[shipping_method],SMALL(IF(ISNUMBER(MATCH(orderHistory[status],$D$11,0)*MATCH(orderHistory[order_type],$D$13,0)),MATCH(ROW(orderHistory[customer]),ROW(orderHistory[customer])),""),ROWS($A$15:A46)+$B$3)),INDEX(orderHistory[shipping_method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shipping_method],SMALL(IF(ISNUMBER(MATCH(orderHistory[customer],$D$9,0)),MATCH(ROW(orderHistory[customer]),ROW(orderHistory[customer])),""),ROWS($A$15:A46)+$B$3)),INDEX(orderHistory[shipping_method],SMALL(IF(ISNUMBER(MATCH(orderHistory[customer],$D$9,0)*MATCH(YEAR(orderHistory[invoice_date]),$D$15,0)),MATCH(ROW(orderHistory[customer]),ROW(orderHistory[customer])),""),ROWS($A$15:A46)+$B$3))),IF($D$15="",INDEX(orderHistory[shipping_method],SMALL(IF(ISNUMBER(MATCH(orderHistory[customer],$D$9,0)*MATCH(orderHistory[order_type],$D$13,0)),MATCH(ROW(orderHistory[customer]),ROW(orderHistory[customer])),""),ROWS($A$15:A46)+$B$3)),INDEX(orderHistory[shipping_method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shipping_method],SMALL(IF(ISNUMBER(MATCH(orderHistory[customer],$D$9,0)*MATCH(orderHistory[status],$D$11,0)),MATCH(ROW(orderHistory[customer]),ROW(orderHistory[customer])),""),ROWS($A$15:A46)+$B$3)),INDEX(orderHistory[shipping_method],SMALL(IF(ISNUMBER(MATCH(orderHistory[customer],$D$9,0)*MATCH(orderHistory[status],$D$11,0)*MATCH(YEAR(orderHistory[shipping_method]),$D$15,0)),MATCH(ROW(orderHistory[customer]),ROW(orderHistory[customer])),""),ROWS($A$15:A46)+$B$3))),IF($D$15="",INDEX(orderHistory[shipping_method],SMALL(IF(ISNUMBER(MATCH(orderHistory[customer],$D$9,0)*MATCH(orderHistory[status],$D$11,0)*MATCH(orderHistory[order_type],$D$13,0)),MATCH(ROW(orderHistory[customer]),ROW(orderHistory[customer])),""),ROWS($A$15:A46)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BY ROAD</v>
      </c>
      <c r="V41" s="388" t="str">
        <f t="array" ref="V41">IFERROR(IF($D$9="",IF($D$11="",IF($D$13="",IF($D$15="",INDEX(orderHistory[status],SMALL(MATCH(ROW(orderHistory[customer]),ROW(orderHistory[customer])),ROWS($A$15:A46)+$B$3)),INDEX(orderHistory[status],SMALL(IF(ISNUMBER(MATCH(YEAR(orderHistory[invoice_date]),$D$15,0)),MATCH(ROW(orderHistory[customer]),ROW(orderHistory[customer])),""),ROWS($A$15:A46)+$B$3))),IF($D$15="",INDEX(orderHistory[status],SMALL(IF(ISNUMBER(MATCH(orderHistory[order_type],$D$13,0)),MATCH(ROW(orderHistory[customer]),ROW(orderHistory[customer])),""),ROWS($A$15:A46)+$B$3)),INDEX(orderHistory[status],SMALL(IF(ISNUMBER(MATCH(orderHistory[order_type],$D$13,0)*MATCH(YEAR(orderHistory[invoice_date]),$D$15,0)),MATCH(ROW(orderHistory[customer]),ROW(orderHistory[customer])),""),ROWS($A$15:A46)+$B$3)))),IF($D$13="",IF($D$15="",INDEX(orderHistory[status],SMALL(IF(ISNUMBER(MATCH(orderHistory[status],$D$11,0)),MATCH(ROW(orderHistory[customer]),ROW(orderHistory[customer])),""),ROWS($A$15:A46)+$B$3)),INDEX(orderHistory[status],SMALL(IF(ISNUMBER(MATCH(orderHistory[status],$D$11,0)*MATCH(YEAR(orderHistory[invoice_date]),$D$15,0)),MATCH(ROW(orderHistory[customer]),ROW(orderHistory[customer])),""),ROWS($A$15:A46)+$B$3))),IF($D$15="",INDEX(orderHistory[status],SMALL(IF(ISNUMBER(MATCH(orderHistory[status],$D$11,0)*MATCH(orderHistory[order_type],$D$13,0)),MATCH(ROW(orderHistory[customer]),ROW(orderHistory[customer])),""),ROWS($A$15:A46)+$B$3)),INDEX(orderHistory[status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status],SMALL(IF(ISNUMBER(MATCH(orderHistory[customer],$D$9,0)),MATCH(ROW(orderHistory[customer]),ROW(orderHistory[customer])),""),ROWS($A$15:A46)+$B$3)),INDEX(orderHistory[status],SMALL(IF(ISNUMBER(MATCH(orderHistory[customer],$D$9,0)*MATCH(YEAR(orderHistory[invoice_date]),$D$15,0)),MATCH(ROW(orderHistory[customer]),ROW(orderHistory[customer])),""),ROWS($A$15:A46)+$B$3))),IF($D$15="",INDEX(orderHistory[status],SMALL(IF(ISNUMBER(MATCH(orderHistory[customer],$D$9,0)*MATCH(orderHistory[order_type],$D$13,0)),MATCH(ROW(orderHistory[customer]),ROW(orderHistory[customer])),""),ROWS($A$15:A46)+$B$3)),INDEX(orderHistory[status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status],SMALL(IF(ISNUMBER(MATCH(orderHistory[customer],$D$9,0)*MATCH(orderHistory[status],$D$11,0)),MATCH(ROW(orderHistory[customer]),ROW(orderHistory[customer])),""),ROWS($A$15:A46)+$B$3)),INDEX(orderHistory[status],SMALL(IF(ISNUMBER(MATCH(orderHistory[customer],$D$9,0)*MATCH(orderHistory[status],$D$11,0)*MATCH(YEAR(orderHistory[status]),$D$15,0)),MATCH(ROW(orderHistory[customer]),ROW(orderHistory[customer])),""),ROWS($A$15:A46)+$B$3))),IF($D$15="",INDEX(orderHistory[status],SMALL(IF(ISNUMBER(MATCH(orderHistory[customer],$D$9,0)*MATCH(orderHistory[status],$D$11,0)*MATCH(orderHistory[order_type],$D$13,0)),MATCH(ROW(orderHistory[customer]),ROW(orderHistory[customer])),""),ROWS($A$15:A46)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SHIPPED</v>
      </c>
      <c r="W41" s="547" t="str">
        <f t="array" ref="W41">IFERROR(IF($D$9="",IF($D$11="",IF($D$13="",IF($D$15="",INDEX(orderHistory[custom_docs],SMALL(MATCH(ROW(orderHistory[customer]),ROW(orderHistory[customer])),ROWS($A$15:A46)+$B$3)),INDEX(orderHistory[custom_docs],SMALL(IF(ISNUMBER(MATCH(YEAR(orderHistory[invoice_date]),$D$15,0)),MATCH(ROW(orderHistory[customer]),ROW(orderHistory[customer])),""),ROWS($A$15:A46)+$B$3))),IF($D$15="",INDEX(orderHistory[custom_docs],SMALL(IF(ISNUMBER(MATCH(orderHistory[order_type],$D$13,0)),MATCH(ROW(orderHistory[customer]),ROW(orderHistory[customer])),""),ROWS($A$15:A46)+$B$3)),INDEX(orderHistory[custom_docs],SMALL(IF(ISNUMBER(MATCH(orderHistory[order_type],$D$13,0)*MATCH(YEAR(orderHistory[invoice_date]),$D$15,0)),MATCH(ROW(orderHistory[customer]),ROW(orderHistory[customer])),""),ROWS($A$15:A46)+$B$3)))),IF($D$13="",IF($D$15="",INDEX(orderHistory[custom_docs],SMALL(IF(ISNUMBER(MATCH(orderHistory[status],$D$11,0)),MATCH(ROW(orderHistory[customer]),ROW(orderHistory[customer])),""),ROWS($A$15:A46)+$B$3)),INDEX(orderHistory[custom_docs],SMALL(IF(ISNUMBER(MATCH(orderHistory[status],$D$11,0)*MATCH(YEAR(orderHistory[invoice_date]),$D$15,0)),MATCH(ROW(orderHistory[customer]),ROW(orderHistory[customer])),""),ROWS($A$15:A46)+$B$3))),IF($D$15="",INDEX(orderHistory[custom_docs],SMALL(IF(ISNUMBER(MATCH(orderHistory[status],$D$11,0)*MATCH(orderHistory[order_type],$D$13,0)),MATCH(ROW(orderHistory[customer]),ROW(orderHistory[customer])),""),ROWS($A$15:A46)+$B$3)),INDEX(orderHistory[custom_docs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custom_docs],SMALL(IF(ISNUMBER(MATCH(orderHistory[customer],$D$9,0)),MATCH(ROW(orderHistory[customer]),ROW(orderHistory[customer])),""),ROWS($A$15:A46)+$B$3)),INDEX(orderHistory[custom_docs],SMALL(IF(ISNUMBER(MATCH(orderHistory[customer],$D$9,0)*MATCH(YEAR(orderHistory[invoice_date]),$D$15,0)),MATCH(ROW(orderHistory[customer]),ROW(orderHistory[customer])),""),ROWS($A$15:A46)+$B$3))),IF($D$15="",INDEX(orderHistory[custom_docs],SMALL(IF(ISNUMBER(MATCH(orderHistory[customer],$D$9,0)*MATCH(orderHistory[order_type],$D$13,0)),MATCH(ROW(orderHistory[customer]),ROW(orderHistory[customer])),""),ROWS($A$15:A46)+$B$3)),INDEX(orderHistory[custom_docs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custom_docs],SMALL(IF(ISNUMBER(MATCH(orderHistory[customer],$D$9,0)*MATCH(orderHistory[status],$D$11,0)),MATCH(ROW(orderHistory[customer]),ROW(orderHistory[customer])),""),ROWS($A$15:A46)+$B$3)),INDEX(orderHistory[custom_docs],SMALL(IF(ISNUMBER(MATCH(orderHistory[customer],$D$9,0)*MATCH(orderHistory[status],$D$11,0)*MATCH(YEAR(orderHistory[status]),$D$15,0)),MATCH(ROW(orderHistory[customer]),ROW(orderHistory[customer])),""),ROWS($A$15:A46)+$B$3))),IF($D$15="",INDEX(orderHistory[custom_docs],SMALL(IF(ISNUMBER(MATCH(orderHistory[customer],$D$9,0)*MATCH(orderHistory[status],$D$11,0)*MATCH(orderHistory[order_type],$D$13,0)),MATCH(ROW(orderHistory[customer]),ROW(orderHistory[customer])),""),ROWS($A$15:A46)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OK</v>
      </c>
      <c r="BK41" s="296"/>
      <c r="BL41" s="297"/>
      <c r="BM41" s="298"/>
      <c r="BN41" s="297"/>
      <c r="BO41" s="298"/>
      <c r="BZ41" s="412"/>
      <c r="CA41" s="401" t="str">
        <f>IFERROR(IF(BZ41="","",INDEX(bhpc_data[description],MATCH(BZ41,bhpc_data[sku],0))),"")</f>
        <v/>
      </c>
      <c r="CB41" s="403"/>
      <c r="CC41" s="885"/>
      <c r="CD41" s="409"/>
      <c r="CE41" s="890"/>
      <c r="CF41" s="404"/>
      <c r="CG41" s="405" t="str">
        <f>IFERROR(ROUNDUP(CB41/INDEX(bhpc_data[units_per_carton],MATCH(BZ41,bhpc_data[sku],0)),0),"")</f>
        <v/>
      </c>
      <c r="CH41" s="406" t="str">
        <f>IFERROR(ROUNDUP(CD41/INDEX(bhpc_data[units_per_carton],MATCH(BZ41,bhpc_data[sku],0)),0),"")</f>
        <v/>
      </c>
      <c r="CI41" s="406" t="str">
        <f>IFERROR(ROUNDUP(CF41/INDEX(bhpc_data[units_per_carton],MATCH(BZ41,bhpc_data[sku])),0),"")</f>
        <v/>
      </c>
      <c r="CJ41" s="406" t="str">
        <f>IFERROR(((CB41+CD41+CF41)/INDEX(bhpc_data[units_per_carton],MATCH(BZ41,bhpc_data[sku],0)))*INDEX(bhpc_data[net_weight],MATCH(BZ41,bhpc_data[sku],0)),"")</f>
        <v/>
      </c>
      <c r="CK41" s="406" t="str">
        <f>IFERROR(((CB41+CD41+CF41)/INDEX(bhpc_data[units_per_carton],MATCH(BZ41,bhpc_data[sku],0)))*INDEX(bhpc_data[gross_weight],MATCH(BZ41,bhpc_data[sku],0)),"")</f>
        <v/>
      </c>
      <c r="CL41" s="602" t="str">
        <f>IFERROR((CB41+CD41+CF41)/INDEX(bhpc_data[units_per_carton],MATCH(BZ41,bhpc_data[sku],0))*INDEX(bhpc_data[length],MATCH(BZ41,bhpc_data[sku],0))*INDEX(bhpc_data[width],MATCH(BZ41,bhpc_data[sku],0))*INDEX(bhpc_data[height],MATCH(BZ41,bhpc_data[sku],0))/1000000000,"")</f>
        <v/>
      </c>
      <c r="CM41" s="407" t="str">
        <f>IFERROR(INDEX(bhpc_data[category],MATCH(BZ41,bhpc_data[sku],0)),"")</f>
        <v/>
      </c>
      <c r="CN41" s="407" t="str">
        <f>IFERROR(INDEX(bhpc_data[size],MATCH(BZ41,bhpc_data[sku],0)),"")</f>
        <v/>
      </c>
      <c r="CO41" s="408" t="str">
        <f>IFERROR(INDEX(bhpc_data[hs_code],MATCH(BZ41,bhpc_data[sku],0)),"")</f>
        <v/>
      </c>
      <c r="CP41" s="489" t="str">
        <f>IFERROR(INDEX(bhpc_data[sku_geko],MATCH(BZ41,bhpc_data[sku],0)),"")</f>
        <v/>
      </c>
      <c r="CQ41" s="404"/>
      <c r="CR41" s="516" t="str">
        <f>IFERROR(IF(BZ41="","",IF($BX$15="SALE",INDEX(inventory[COSTO UNITARIO],MATCH(BZ41,inventory[SKU],0)),IF($BX$15="SAMPLING",INDEX(inventory[COSTO UNITARIO],MATCH(BZ41,inventory[SKU],0)),""))),"")</f>
        <v/>
      </c>
      <c r="CS41" s="516" t="str">
        <f t="shared" si="5"/>
        <v/>
      </c>
      <c r="CT41" s="896" t="str">
        <f t="shared" si="6"/>
        <v/>
      </c>
      <c r="CU41" s="469" t="str">
        <f t="shared" si="0"/>
        <v/>
      </c>
      <c r="CV41" s="280"/>
      <c r="CW41" s="361"/>
      <c r="CX41" s="280"/>
      <c r="CY41" s="280"/>
      <c r="CZ41" s="280"/>
      <c r="DA41" s="280"/>
      <c r="DH41" s="215"/>
      <c r="EE41" s="439" t="str" cm="1">
        <f t="array" ref="EE41">IFERROR(IF($EC$9="",IF($EC$11="",IF($EC$13="",INDEX(bhpc_data[sku],SMALL(MATCH(ROW(bhpc_data[sku]),ROW(bhpc_data[sku])),ROWS($A$15:A46)+$B$3)),INDEX(bhpc_data[sku],SMALL(IF(ISNUMBER(MATCH(bhpc_data[size],$EC$13,0)),MATCH(ROW(bhpc_data[sku]),ROW(bhpc_data[sku])),""),ROWS($A$15:A46)+$B$3))),IF($EC$13="",INDEX(bhpc_data[sku],SMALL(IF(ISNUMBER(MATCH(bhpc_data[sex],$EC$11,0)),MATCH(ROW(bhpc_data[sku]),ROW(bhpc_data[sku])),""),ROWS($A$15:A46)+$B$3)),INDEX(bhpc_data[sku],SMALL(IF(ISNUMBER(MATCH(bhpc_data[sex],$EC$11,0)*MATCH(bhpc_data[size],$EC$13,0)),MATCH(ROW(bhpc_data[sku]),ROW(bhpc_data[sku])),""),ROWS($A$15:A46)+$B$3)))),IF($EC$11="",IF($EC$13="",INDEX(bhpc_data[sku],SMALL(IF(ISNUMBER(MATCH(bhpc_data[category],$EC$9,0)),MATCH(ROW(bhpc_data[sku]),ROW(bhpc_data[sku])),""),ROWS($A$15:A46)+$B$3)),INDEX(bhpc_data[sku],SMALL(IF(ISNUMBER(MATCH(bhpc_data[category],$EC$9,0)*MATCH(bhpc_data[size],$EC$13,0)),MATCH(ROW(bhpc_data[sku]),ROW(bhpc_data[sku])),""),ROWS($A$15:A46)+$B$3))),IF($EC$13="",INDEX(bhpc_data[sku],SMALL(IF(ISNUMBER(MATCH(bhpc_data[category],$EC$9,0)*MATCH(bhpc_data[sex],$EC$11,0)),MATCH(ROW(bhpc_data[sku]),ROW(bhpc_data[sku])),""),ROWS($A$15:A46)+$B$3)),INDEX(bhpc_data[sku],SMALL(IF(ISNUMBER(MATCH(bhpc_data[category],$EC$9,0)*MATCH(bhpc_data[sex],$EC$11,0)*MATCH(bhpc_data[size],$EC$13,0)),MATCH(ROW(bhpc_data[sku]),ROW(bhpc_data[sku])),""),ROWS($A$15:A46)+$B$3))))),"")</f>
        <v>P06004I</v>
      </c>
      <c r="EF41" s="440" t="str" cm="1">
        <f t="array" ref="EF41">IFERROR(IF($EC$9="",IF($EC$11="",IF($EC$13="",INDEX(bhpc_data[description],SMALL(MATCH(ROW(bhpc_data[sku]),ROW(bhpc_data[sku])),ROWS($A$15:A46)+$B$3)),INDEX(bhpc_data[description],SMALL(IF(ISNUMBER(MATCH(bhpc_data[size],$EC$13,0)),MATCH(ROW(bhpc_data[sku]),ROW(bhpc_data[sku])),""),ROWS($A$15:A46)+$B$3))),IF($EC$13="",INDEX(bhpc_data[description],SMALL(IF(ISNUMBER(MATCH(bhpc_data[sex],$EC$11,0)),MATCH(ROW(bhpc_data[sku]),ROW(bhpc_data[sku])),""),ROWS($A$15:A46)+$B$3)),INDEX(bhpc_data[description],SMALL(IF(ISNUMBER(MATCH(bhpc_data[sex],$EC$11,0)*MATCH(bhpc_data[size],$EC$13,0)),MATCH(ROW(bhpc_data[sku]),ROW(bhpc_data[sku])),""),ROWS($A$15:A46)+$B$3)))),IF($EC$11="",IF($EC$13="",INDEX(bhpc_data[description],SMALL(IF(ISNUMBER(MATCH(bhpc_data[category],$EC$9,0)),MATCH(ROW(bhpc_data[sku]),ROW(bhpc_data[sku])),""),ROWS($A$15:A46)+$B$3)),INDEX(bhpc_data[description],SMALL(IF(ISNUMBER(MATCH(bhpc_data[category],$EC$9,0)*MATCH(bhpc_data[size],$EC$13,0)),MATCH(ROW(bhpc_data[sku]),ROW(bhpc_data[sku])),""),ROWS($A$15:A46)+$B$3))),IF($EC$13="",INDEX(bhpc_data[description],SMALL(IF(ISNUMBER(MATCH(bhpc_data[category],$EC$9,0)*MATCH(bhpc_data[sex],$EC$11,0)),MATCH(ROW(bhpc_data[sku]),ROW(bhpc_data[sku])),""),ROWS($A$15:A46)+$B$3)),INDEX(bhpc_data[description],SMALL(IF(ISNUMBER(MATCH(bhpc_data[category],$EC$9,0)*MATCH(bhpc_data[sex],$EC$11,0)*MATCH(bhpc_data[size],$EC$13,0)),MATCH(ROW(bhpc_data[sku]),ROW(bhpc_data[sku])),""),ROWS($A$15:A46)+$B$3))))),"")</f>
        <v>BHPC PRESTIGE ELEGANCE INTENSE 100ML EDP WOMEN</v>
      </c>
      <c r="EG41" s="441">
        <f>IFERROR(IF('BHPC MANAGER'!$EE41="","",INDEX(inventory[ESISTENZA],MATCH('BHPC MANAGER'!$EE41,inventory[SKU],0))),0)</f>
        <v>0</v>
      </c>
      <c r="EH41" s="442" t="s">
        <v>861</v>
      </c>
      <c r="EI41" s="442">
        <f t="shared" si="1"/>
        <v>0</v>
      </c>
      <c r="EJ41" s="443" t="s">
        <v>861</v>
      </c>
      <c r="EK41" s="444">
        <f t="shared" si="2"/>
        <v>0</v>
      </c>
      <c r="EO41" s="215" t="str">
        <f t="array" ref="EO41">IFERROR(INDEX(orderHistory[order_no],SMALL(IF(ISNUMBER(MATCH(orderHistory[status],$EO$9,0)),MATCH(ROW(orderHistory[order_no]),ROW(orderHistory[order_no])),""),ROWS($A$15:A46))),"")</f>
        <v/>
      </c>
    </row>
    <row r="42" spans="6:228" ht="15" customHeight="1" x14ac:dyDescent="0.35">
      <c r="F42" s="91"/>
      <c r="G42" s="806"/>
      <c r="H42" s="807"/>
      <c r="I42" s="808"/>
      <c r="J42" s="77"/>
      <c r="L42" s="381" t="str">
        <f t="array" ref="L42">IFERROR(IF($D$9="",IF($D$11="",IF($D$13="",IF($D$15="",INDEX(orderHistory[customer],SMALL(MATCH(ROW(orderHistory[customer]),ROW(orderHistory[customer])),ROWS($A$15:A47)+$B$3)),INDEX(orderHistory[customer],SMALL(IF(ISNUMBER(MATCH(YEAR(orderHistory[invoice_date]),$D$15,0)),MATCH(ROW(orderHistory[customer]),ROW(orderHistory[customer])),""),ROWS($A$15:A47)+$B$3))),IF($D$15="",INDEX(orderHistory[customer],SMALL(IF(ISNUMBER(MATCH(orderHistory[order_type],$D$13,0)),MATCH(ROW(orderHistory[customer]),ROW(orderHistory[customer])),""),ROWS($A$15:A47)+$B$3)),INDEX(orderHistory[customer],SMALL(IF(ISNUMBER(MATCH(orderHistory[order_type],$D$13,0)*MATCH(YEAR(orderHistory[invoice_date]),$D$15,0)),MATCH(ROW(orderHistory[customer]),ROW(orderHistory[customer])),""),ROWS($A$15:A47)+$B$3)))),IF($D$13="",IF($D$15="",INDEX(orderHistory[customer],SMALL(IF(ISNUMBER(MATCH(orderHistory[status],$D$11,0)),MATCH(ROW(orderHistory[customer]),ROW(orderHistory[customer])),""),ROWS($A$15:A47)+$B$3)),INDEX(orderHistory[customer],SMALL(IF(ISNUMBER(MATCH(orderHistory[status],$D$11,0)*MATCH(YEAR(orderHistory[invoice_date]),$D$15,0)),MATCH(ROW(orderHistory[customer]),ROW(orderHistory[customer])),""),ROWS($A$15:A47)+$B$3))),IF($D$15="",INDEX(orderHistory[customer],SMALL(IF(ISNUMBER(MATCH(orderHistory[status],$D$11,0)*MATCH(orderHistory[order_type],$D$13,0)),MATCH(ROW(orderHistory[customer]),ROW(orderHistory[customer])),""),ROWS($A$15:A47)+$B$3)),INDEX(orderHistory[customer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customer],SMALL(IF(ISNUMBER(MATCH(orderHistory[customer],$D$9,0)),MATCH(ROW(orderHistory[customer]),ROW(orderHistory[customer])),""),ROWS($A$15:A47)+$B$3)),INDEX(orderHistory[customer],SMALL(IF(ISNUMBER(MATCH(orderHistory[customer],$D$9,0)*MATCH(YEAR(orderHistory[invoice_date]),$D$15,0)),MATCH(ROW(orderHistory[customer]),ROW(orderHistory[customer])),""),ROWS($A$15:A47)+$B$3))),IF($D$15="",INDEX(orderHistory[customer],SMALL(IF(ISNUMBER(MATCH(orderHistory[customer],$D$9,0)*MATCH(orderHistory[order_type],$D$13,0)),MATCH(ROW(orderHistory[customer]),ROW(orderHistory[customer])),""),ROWS($A$15:A47)+$B$3)),INDEX(orderHistory[customer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customer],SMALL(IF(ISNUMBER(MATCH(orderHistory[customer],$D$9,0)*MATCH(orderHistory[status],$D$11,0)),MATCH(ROW(orderHistory[customer]),ROW(orderHistory[customer])),""),ROWS($A$15:A47)+$B$3)),INDEX(orderHistory[customer],SMALL(IF(ISNUMBER(MATCH(orderHistory[customer],$D$9,0)*MATCH(orderHistory[status],$D$11,0)*MATCH(YEAR(orderHistory[invoice_date]),$D$15,0)),MATCH(ROW(orderHistory[customer]),ROW(orderHistory[customer])),""),ROWS($A$15:A47)+$B$3))),IF($D$15="",INDEX(orderHistory[customer],SMALL(IF(ISNUMBER(MATCH(orderHistory[customer],$D$9,0)*MATCH(orderHistory[status],$D$11,0)*MATCH(orderHistory[order_type],$D$13,0)),MATCH(ROW(orderHistory[customer]),ROW(orderHistory[customer])),""),ROWS($A$15:A47)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MAKEUP</v>
      </c>
      <c r="M42" s="382">
        <f t="array" ref="M42">IFERROR(IF($D$9="",IF($D$11="",IF($D$13="",IF($D$15="",INDEX(orderHistory[order_no],SMALL(MATCH(ROW(orderHistory[customer]),ROW(orderHistory[customer])),ROWS($A$15:A47)+$B$3)),INDEX(orderHistory[order_no],SMALL(IF(ISNUMBER(MATCH(YEAR(orderHistory[invoice_date]),$D$15,0)),MATCH(ROW(orderHistory[customer]),ROW(orderHistory[customer])),""),ROWS($A$15:A47)+$B$3))),IF($D$15="",INDEX(orderHistory[order_no],SMALL(IF(ISNUMBER(MATCH(orderHistory[order_type],$D$13,0)),MATCH(ROW(orderHistory[customer]),ROW(orderHistory[customer])),""),ROWS($A$15:A47)+$B$3)),INDEX(orderHistory[order_no],SMALL(IF(ISNUMBER(MATCH(orderHistory[order_type],$D$13,0)*MATCH(YEAR(orderHistory[invoice_date]),$D$15,0)),MATCH(ROW(orderHistory[customer]),ROW(orderHistory[customer])),""),ROWS($A$15:A47)+$B$3)))),IF($D$13="",IF($D$15="",INDEX(orderHistory[order_no],SMALL(IF(ISNUMBER(MATCH(orderHistory[status],$D$11,0)),MATCH(ROW(orderHistory[customer]),ROW(orderHistory[customer])),""),ROWS($A$15:A47)+$B$3)),INDEX(orderHistory[order_no],SMALL(IF(ISNUMBER(MATCH(orderHistory[status],$D$11,0)*MATCH(YEAR(orderHistory[invoice_date]),$D$15,0)),MATCH(ROW(orderHistory[customer]),ROW(orderHistory[customer])),""),ROWS($A$15:A47)+$B$3))),IF($D$15="",INDEX(orderHistory[order_no],SMALL(IF(ISNUMBER(MATCH(orderHistory[status],$D$11,0)*MATCH(orderHistory[order_type],$D$13,0)),MATCH(ROW(orderHistory[customer]),ROW(orderHistory[customer])),""),ROWS($A$15:A47)+$B$3)),INDEX(orderHistory[order_no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order_no],SMALL(IF(ISNUMBER(MATCH(orderHistory[customer],$D$9,0)),MATCH(ROW(orderHistory[customer]),ROW(orderHistory[customer])),""),ROWS($A$15:A47)+$B$3)),INDEX(orderHistory[order_no],SMALL(IF(ISNUMBER(MATCH(orderHistory[customer],$D$9,0)*MATCH(YEAR(orderHistory[invoice_date]),$D$15,0)),MATCH(ROW(orderHistory[customer]),ROW(orderHistory[customer])),""),ROWS($A$15:A47)+$B$3))),IF($D$15="",INDEX(orderHistory[order_no],SMALL(IF(ISNUMBER(MATCH(orderHistory[customer],$D$9,0)*MATCH(orderHistory[order_type],$D$13,0)),MATCH(ROW(orderHistory[customer]),ROW(orderHistory[customer])),""),ROWS($A$15:A47)+$B$3)),INDEX(orderHistory[order_no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order_no],SMALL(IF(ISNUMBER(MATCH(orderHistory[customer],$D$9,0)*MATCH(orderHistory[status],$D$11,0)),MATCH(ROW(orderHistory[customer]),ROW(orderHistory[customer])),""),ROWS($A$15:A47)+$B$3)),INDEX(orderHistory[order_no],SMALL(IF(ISNUMBER(MATCH(orderHistory[customer],$D$9,0)*MATCH(orderHistory[status],$D$11,0)*MATCH(YEAR(orderHistory[invoice_date]),$D$15,0)),MATCH(ROW(orderHistory[customer]),ROW(orderHistory[customer])),""),ROWS($A$15:A47)+$B$3))),IF($D$15="",INDEX(orderHistory[order_no],SMALL(IF(ISNUMBER(MATCH(orderHistory[customer],$D$9,0)*MATCH(orderHistory[status],$D$11,0)*MATCH(orderHistory[order_type],$D$13,0)),MATCH(ROW(orderHistory[customer]),ROW(orderHistory[customer])),""),ROWS($A$15:A47)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17</v>
      </c>
      <c r="N42" s="383" t="str">
        <f t="array" ref="N42">IFERROR(IF($D$9="",IF($D$11="",IF($D$13="",IF($D$15="",INDEX(orderHistory[order_type],SMALL(MATCH(ROW(orderHistory[customer]),ROW(orderHistory[customer])),ROWS($A$15:A47)+$B$3)),INDEX(orderHistory[order_type],SMALL(IF(ISNUMBER(MATCH(YEAR(orderHistory[invoice_date]),$D$15,0)),MATCH(ROW(orderHistory[customer]),ROW(orderHistory[customer])),""),ROWS($A$15:A47)+$B$3))),IF($D$15="",INDEX(orderHistory[order_type],SMALL(IF(ISNUMBER(MATCH(orderHistory[order_type],$D$13,0)),MATCH(ROW(orderHistory[customer]),ROW(orderHistory[customer])),""),ROWS($A$15:A47)+$B$3)),INDEX(orderHistory[order_type],SMALL(IF(ISNUMBER(MATCH(orderHistory[order_type],$D$13,0)*MATCH(YEAR(orderHistory[invoice_date]),$D$15,0)),MATCH(ROW(orderHistory[customer]),ROW(orderHistory[customer])),""),ROWS($A$15:A47)+$B$3)))),IF($D$13="",IF($D$15="",INDEX(orderHistory[order_type],SMALL(IF(ISNUMBER(MATCH(orderHistory[status],$D$11,0)),MATCH(ROW(orderHistory[customer]),ROW(orderHistory[customer])),""),ROWS($A$15:A47)+$B$3)),INDEX(orderHistory[order_type],SMALL(IF(ISNUMBER(MATCH(orderHistory[status],$D$11,0)*MATCH(YEAR(orderHistory[invoice_date]),$D$15,0)),MATCH(ROW(orderHistory[customer]),ROW(orderHistory[customer])),""),ROWS($A$15:A47)+$B$3))),IF($D$15="",INDEX(orderHistory[order_type],SMALL(IF(ISNUMBER(MATCH(orderHistory[status],$D$11,0)*MATCH(orderHistory[order_type],$D$13,0)),MATCH(ROW(orderHistory[customer]),ROW(orderHistory[customer])),""),ROWS($A$15:A47)+$B$3)),INDEX(orderHistory[order_type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order_type],SMALL(IF(ISNUMBER(MATCH(orderHistory[customer],$D$9,0)),MATCH(ROW(orderHistory[customer]),ROW(orderHistory[customer])),""),ROWS($A$15:A47)+$B$3)),INDEX(orderHistory[order_type],SMALL(IF(ISNUMBER(MATCH(orderHistory[customer],$D$9,0)*MATCH(YEAR(orderHistory[invoice_date]),$D$15,0)),MATCH(ROW(orderHistory[customer]),ROW(orderHistory[customer])),""),ROWS($A$15:A47)+$B$3))),IF($D$15="",INDEX(orderHistory[order_type],SMALL(IF(ISNUMBER(MATCH(orderHistory[customer],$D$9,0)*MATCH(orderHistory[order_type],$D$13,0)),MATCH(ROW(orderHistory[customer]),ROW(orderHistory[customer])),""),ROWS($A$15:A47)+$B$3)),INDEX(orderHistory[order_type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order_type],SMALL(IF(ISNUMBER(MATCH(orderHistory[customer],$D$9,0)*MATCH(orderHistory[status],$D$11,0)),MATCH(ROW(orderHistory[customer]),ROW(orderHistory[customer])),""),ROWS($A$15:A47)+$B$3)),INDEX(orderHistory[order_type],SMALL(IF(ISNUMBER(MATCH(orderHistory[customer],$D$9,0)*MATCH(orderHistory[status],$D$11,0)*MATCH(YEAR(orderHistory[invoice_date]),$D$15,0)),MATCH(ROW(orderHistory[customer]),ROW(orderHistory[customer])),""),ROWS($A$15:A47)+$B$3))),IF($D$15="",INDEX(orderHistory[order_type],SMALL(IF(ISNUMBER(MATCH(orderHistory[customer],$D$9,0)*MATCH(orderHistory[status],$D$11,0)*MATCH(orderHistory[order_type],$D$13,0)),MATCH(ROW(orderHistory[customer]),ROW(orderHistory[customer])),""),ROWS($A$15:A47)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SALE</v>
      </c>
      <c r="O42" s="384">
        <f t="array" ref="O42">IFERROR(IF($D$9="",IF($D$11="",IF($D$13="",IF($D$15="",INDEX(orderHistory[order_date],SMALL(MATCH(ROW(orderHistory[customer]),ROW(orderHistory[customer])),ROWS($A$15:A47)+$B$3)),INDEX(orderHistory[order_date],SMALL(IF(ISNUMBER(MATCH(YEAR(orderHistory[invoice_date]),$D$15,0)),MATCH(ROW(orderHistory[customer]),ROW(orderHistory[customer])),""),ROWS($A$15:A47)+$B$3))),IF($D$15="",INDEX(orderHistory[order_date],SMALL(IF(ISNUMBER(MATCH(orderHistory[order_type],$D$13,0)),MATCH(ROW(orderHistory[customer]),ROW(orderHistory[customer])),""),ROWS($A$15:A47)+$B$3)),INDEX(orderHistory[order_date],SMALL(IF(ISNUMBER(MATCH(orderHistory[order_type],$D$13,0)*MATCH(YEAR(orderHistory[invoice_date]),$D$15,0)),MATCH(ROW(orderHistory[customer]),ROW(orderHistory[customer])),""),ROWS($A$15:A47)+$B$3)))),IF($D$13="",IF($D$15="",INDEX(orderHistory[order_date],SMALL(IF(ISNUMBER(MATCH(orderHistory[status],$D$11,0)),MATCH(ROW(orderHistory[customer]),ROW(orderHistory[customer])),""),ROWS($A$15:A47)+$B$3)),INDEX(orderHistory[order_date],SMALL(IF(ISNUMBER(MATCH(orderHistory[status],$D$11,0)*MATCH(YEAR(orderHistory[invoice_date]),$D$15,0)),MATCH(ROW(orderHistory[customer]),ROW(orderHistory[customer])),""),ROWS($A$15:A47)+$B$3))),IF($D$15="",INDEX(orderHistory[order_date],SMALL(IF(ISNUMBER(MATCH(orderHistory[status],$D$11,0)*MATCH(orderHistory[order_type],$D$13,0)),MATCH(ROW(orderHistory[customer]),ROW(orderHistory[customer])),""),ROWS($A$15:A47)+$B$3)),INDEX(orderHistory[order_date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order_date],SMALL(IF(ISNUMBER(MATCH(orderHistory[customer],$D$9,0)),MATCH(ROW(orderHistory[customer]),ROW(orderHistory[customer])),""),ROWS($A$15:A47)+$B$3)),INDEX(orderHistory[order_date],SMALL(IF(ISNUMBER(MATCH(orderHistory[customer],$D$9,0)*MATCH(YEAR(orderHistory[invoice_date]),$D$15,0)),MATCH(ROW(orderHistory[customer]),ROW(orderHistory[customer])),""),ROWS($A$15:A47)+$B$3))),IF($D$15="",INDEX(orderHistory[order_date],SMALL(IF(ISNUMBER(MATCH(orderHistory[customer],$D$9,0)*MATCH(orderHistory[order_type],$D$13,0)),MATCH(ROW(orderHistory[customer]),ROW(orderHistory[customer])),""),ROWS($A$15:A47)+$B$3)),INDEX(orderHistory[order_date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order_date],SMALL(IF(ISNUMBER(MATCH(orderHistory[customer],$D$9,0)*MATCH(orderHistory[status],$D$11,0)),MATCH(ROW(orderHistory[customer]),ROW(orderHistory[customer])),""),ROWS($A$15:A47)+$B$3)),INDEX(orderHistory[order_date],SMALL(IF(ISNUMBER(MATCH(orderHistory[customer],$D$9,0)*MATCH(orderHistory[status],$D$11,0)*MATCH(YEAR(orderHistory[invoice_date]),$D$15,0)),MATCH(ROW(orderHistory[customer]),ROW(orderHistory[customer])),""),ROWS($A$15:A47)+$B$3))),IF($D$15="",INDEX(orderHistory[order_date],SMALL(IF(ISNUMBER(MATCH(orderHistory[customer],$D$9,0)*MATCH(orderHistory[status],$D$11,0)*MATCH(orderHistory[order_type],$D$13,0)),MATCH(ROW(orderHistory[customer]),ROW(orderHistory[customer])),""),ROWS($A$15:A47)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45364</v>
      </c>
      <c r="P42" s="385" t="str">
        <f t="array" ref="P42">IFERROR(IF($D$9="",IF($D$11="",IF($D$13="",IF($D$15="",INDEX(orderHistory[invoice_no],SMALL(MATCH(ROW(orderHistory[customer]),ROW(orderHistory[customer])),ROWS($A$15:A47)+$B$3)),INDEX(orderHistory[invoice_no],SMALL(IF(ISNUMBER(MATCH(YEAR(orderHistory[invoice_date]),$D$15,0)),MATCH(ROW(orderHistory[customer]),ROW(orderHistory[customer])),""),ROWS($A$15:A47)+$B$3))),IF($D$15="",INDEX(orderHistory[invoice_no],SMALL(IF(ISNUMBER(MATCH(orderHistory[order_type],$D$13,0)),MATCH(ROW(orderHistory[customer]),ROW(orderHistory[customer])),""),ROWS($A$15:A47)+$B$3)),INDEX(orderHistory[invoice_no],SMALL(IF(ISNUMBER(MATCH(orderHistory[order_type],$D$13,0)*MATCH(YEAR(orderHistory[invoice_date]),$D$15,0)),MATCH(ROW(orderHistory[customer]),ROW(orderHistory[customer])),""),ROWS($A$15:A47)+$B$3)))),IF($D$13="",IF($D$15="",INDEX(orderHistory[invoice_no],SMALL(IF(ISNUMBER(MATCH(orderHistory[status],$D$11,0)),MATCH(ROW(orderHistory[customer]),ROW(orderHistory[customer])),""),ROWS($A$15:A47)+$B$3)),INDEX(orderHistory[invoice_no],SMALL(IF(ISNUMBER(MATCH(orderHistory[status],$D$11,0)*MATCH(YEAR(orderHistory[invoice_date]),$D$15,0)),MATCH(ROW(orderHistory[customer]),ROW(orderHistory[customer])),""),ROWS($A$15:A47)+$B$3))),IF($D$15="",INDEX(orderHistory[invoice_no],SMALL(IF(ISNUMBER(MATCH(orderHistory[status],$D$11,0)*MATCH(orderHistory[order_type],$D$13,0)),MATCH(ROW(orderHistory[customer]),ROW(orderHistory[customer])),""),ROWS($A$15:A47)+$B$3)),INDEX(orderHistory[invoice_no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invoice_no],SMALL(IF(ISNUMBER(MATCH(orderHistory[customer],$D$9,0)),MATCH(ROW(orderHistory[customer]),ROW(orderHistory[customer])),""),ROWS($A$15:A47)+$B$3)),INDEX(orderHistory[invoice_no],SMALL(IF(ISNUMBER(MATCH(orderHistory[customer],$D$9,0)*MATCH(YEAR(orderHistory[invoice_date]),$D$15,0)),MATCH(ROW(orderHistory[customer]),ROW(orderHistory[customer])),""),ROWS($A$15:A47)+$B$3))),IF($D$15="",INDEX(orderHistory[invoice_no],SMALL(IF(ISNUMBER(MATCH(orderHistory[customer],$D$9,0)*MATCH(orderHistory[order_type],$D$13,0)),MATCH(ROW(orderHistory[customer]),ROW(orderHistory[customer])),""),ROWS($A$15:A47)+$B$3)),INDEX(orderHistory[invoice_no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invoice_no],SMALL(IF(ISNUMBER(MATCH(orderHistory[customer],$D$9,0)*MATCH(orderHistory[status],$D$11,0)),MATCH(ROW(orderHistory[customer]),ROW(orderHistory[customer])),""),ROWS($A$15:A47)+$B$3)),INDEX(orderHistory[invoice_no],SMALL(IF(ISNUMBER(MATCH(orderHistory[customer],$D$9,0)*MATCH(orderHistory[status],$D$11,0)*MATCH(YEAR(orderHistory[invoice_date]),$D$15,0)),MATCH(ROW(orderHistory[customer]),ROW(orderHistory[customer])),""),ROWS($A$15:A47)+$B$3))),IF($D$15="",INDEX(orderHistory[invoice_no],SMALL(IF(ISNUMBER(MATCH(orderHistory[customer],$D$9,0)*MATCH(orderHistory[status],$D$11,0)*MATCH(orderHistory[order_type],$D$13,0)),MATCH(ROW(orderHistory[customer]),ROW(orderHistory[customer])),""),ROWS($A$15:A47)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111</v>
      </c>
      <c r="Q42" s="386">
        <f t="array" ref="Q42">IFERROR(IF($D$9="",IF($D$11="",IF($D$13="",IF($D$15="",INDEX(orderHistory[invoice_date],SMALL(MATCH(ROW(orderHistory[customer]),ROW(orderHistory[customer])),ROWS($A$15:A47)+$B$3)),INDEX(orderHistory[invoice_date],SMALL(IF(ISNUMBER(MATCH(YEAR(orderHistory[invoice_date]),$D$15,0)),MATCH(ROW(orderHistory[customer]),ROW(orderHistory[customer])),""),ROWS($A$15:A47)+$B$3))),IF($D$15="",INDEX(orderHistory[invoice_date],SMALL(IF(ISNUMBER(MATCH(orderHistory[order_type],$D$13,0)),MATCH(ROW(orderHistory[customer]),ROW(orderHistory[customer])),""),ROWS($A$15:A47)+$B$3)),INDEX(orderHistory[invoice_date],SMALL(IF(ISNUMBER(MATCH(orderHistory[order_type],$D$13,0)*MATCH(YEAR(orderHistory[invoice_date]),$D$15,0)),MATCH(ROW(orderHistory[customer]),ROW(orderHistory[customer])),""),ROWS($A$15:A47)+$B$3)))),IF($D$13="",IF($D$15="",INDEX(orderHistory[invoice_date],SMALL(IF(ISNUMBER(MATCH(orderHistory[status],$D$11,0)),MATCH(ROW(orderHistory[customer]),ROW(orderHistory[customer])),""),ROWS($A$15:A47)+$B$3)),INDEX(orderHistory[invoice_date],SMALL(IF(ISNUMBER(MATCH(orderHistory[status],$D$11,0)*MATCH(YEAR(orderHistory[invoice_date]),$D$15,0)),MATCH(ROW(orderHistory[customer]),ROW(orderHistory[customer])),""),ROWS($A$15:A47)+$B$3))),IF($D$15="",INDEX(orderHistory[invoice_date],SMALL(IF(ISNUMBER(MATCH(orderHistory[status],$D$11,0)*MATCH(orderHistory[order_type],$D$13,0)),MATCH(ROW(orderHistory[customer]),ROW(orderHistory[customer])),""),ROWS($A$15:A47)+$B$3)),INDEX(orderHistory[invoice_date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invoice_date],SMALL(IF(ISNUMBER(MATCH(orderHistory[customer],$D$9,0)),MATCH(ROW(orderHistory[customer]),ROW(orderHistory[customer])),""),ROWS($A$15:A47)+$B$3)),INDEX(orderHistory[invoice_date],SMALL(IF(ISNUMBER(MATCH(orderHistory[customer],$D$9,0)*MATCH(YEAR(orderHistory[invoice_date]),$D$15,0)),MATCH(ROW(orderHistory[customer]),ROW(orderHistory[customer])),""),ROWS($A$15:A47)+$B$3))),IF($D$15="",INDEX(orderHistory[invoice_date],SMALL(IF(ISNUMBER(MATCH(orderHistory[customer],$D$9,0)*MATCH(orderHistory[order_type],$D$13,0)),MATCH(ROW(orderHistory[customer]),ROW(orderHistory[customer])),""),ROWS($A$15:A47)+$B$3)),INDEX(orderHistory[invoice_date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invoice_date],SMALL(IF(ISNUMBER(MATCH(orderHistory[customer],$D$9,0)*MATCH(orderHistory[status],$D$11,0)),MATCH(ROW(orderHistory[customer]),ROW(orderHistory[customer])),""),ROWS($A$15:A47)+$B$3)),INDEX(orderHistory[invoice_date],SMALL(IF(ISNUMBER(MATCH(orderHistory[customer],$D$9,0)*MATCH(orderHistory[status],$D$11,0)*MATCH(YEAR(orderHistory[invoice_date]),$D$15,0)),MATCH(ROW(orderHistory[customer]),ROW(orderHistory[customer])),""),ROWS($A$15:A47)+$B$3))),IF($D$15="",INDEX(orderHistory[invoice_date],SMALL(IF(ISNUMBER(MATCH(orderHistory[customer],$D$9,0)*MATCH(orderHistory[status],$D$11,0)*MATCH(orderHistory[order_type],$D$13,0)),MATCH(ROW(orderHistory[customer]),ROW(orderHistory[customer])),""),ROWS($A$15:A47)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45386</v>
      </c>
      <c r="R42" s="387">
        <f t="array" ref="R42">IFERROR(IF($D$9="",IF($D$11="",IF($D$13="",IF($D$15="",INDEX(orderHistory[inv_amount],SMALL(MATCH(ROW(orderHistory[customer]),ROW(orderHistory[customer])),ROWS($A$15:A47)+$B$3)),INDEX(orderHistory[inv_amount],SMALL(IF(ISNUMBER(MATCH(YEAR(orderHistory[invoice_date]),$D$15,0)),MATCH(ROW(orderHistory[customer]),ROW(orderHistory[customer])),""),ROWS($A$15:A47)+$B$3))),IF($D$15="",INDEX(orderHistory[inv_amount],SMALL(IF(ISNUMBER(MATCH(orderHistory[order_type],$D$13,0)),MATCH(ROW(orderHistory[customer]),ROW(orderHistory[customer])),""),ROWS($A$15:A47)+$B$3)),INDEX(orderHistory[inv_amount],SMALL(IF(ISNUMBER(MATCH(orderHistory[order_type],$D$13,0)*MATCH(YEAR(orderHistory[invoice_date]),$D$15,0)),MATCH(ROW(orderHistory[customer]),ROW(orderHistory[customer])),""),ROWS($A$15:A47)+$B$3)))),IF($D$13="",IF($D$15="",INDEX(orderHistory[inv_amount],SMALL(IF(ISNUMBER(MATCH(orderHistory[status],$D$11,0)),MATCH(ROW(orderHistory[customer]),ROW(orderHistory[customer])),""),ROWS($A$15:A47)+$B$3)),INDEX(orderHistory[inv_amount],SMALL(IF(ISNUMBER(MATCH(orderHistory[status],$D$11,0)*MATCH(YEAR(orderHistory[invoice_date]),$D$15,0)),MATCH(ROW(orderHistory[customer]),ROW(orderHistory[customer])),""),ROWS($A$15:A47)+$B$3))),IF($D$15="",INDEX(orderHistory[inv_amount],SMALL(IF(ISNUMBER(MATCH(orderHistory[status],$D$11,0)*MATCH(orderHistory[order_type],$D$13,0)),MATCH(ROW(orderHistory[customer]),ROW(orderHistory[customer])),""),ROWS($A$15:A47)+$B$3)),INDEX(orderHistory[inv_amount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inv_amount],SMALL(IF(ISNUMBER(MATCH(orderHistory[customer],$D$9,0)),MATCH(ROW(orderHistory[customer]),ROW(orderHistory[customer])),""),ROWS($A$15:A47)+$B$3)),INDEX(orderHistory[inv_amount],SMALL(IF(ISNUMBER(MATCH(orderHistory[customer],$D$9,0)*MATCH(YEAR(orderHistory[invoice_date]),$D$15,0)),MATCH(ROW(orderHistory[customer]),ROW(orderHistory[customer])),""),ROWS($A$15:A47)+$B$3))),IF($D$15="",INDEX(orderHistory[inv_amount],SMALL(IF(ISNUMBER(MATCH(orderHistory[customer],$D$9,0)*MATCH(orderHistory[order_type],$D$13,0)),MATCH(ROW(orderHistory[customer]),ROW(orderHistory[customer])),""),ROWS($A$15:A47)+$B$3)),INDEX(orderHistory[inv_amount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inv_amount],SMALL(IF(ISNUMBER(MATCH(orderHistory[customer],$D$9,0)*MATCH(orderHistory[status],$D$11,0)),MATCH(ROW(orderHistory[customer]),ROW(orderHistory[customer])),""),ROWS($A$15:A47)+$B$3)),INDEX(orderHistory[inv_amount],SMALL(IF(ISNUMBER(MATCH(orderHistory[customer],$D$9,0)*MATCH(orderHistory[status],$D$11,0)*MATCH(YEAR(orderHistory[inv_amount]),$D$15,0)),MATCH(ROW(orderHistory[customer]),ROW(orderHistory[customer])),""),ROWS($A$15:A47)+$B$3))),IF($D$15="",INDEX(orderHistory[inv_amount],SMALL(IF(ISNUMBER(MATCH(orderHistory[customer],$D$9,0)*MATCH(orderHistory[status],$D$11,0)*MATCH(orderHistory[order_type],$D$13,0)),MATCH(ROW(orderHistory[customer]),ROW(orderHistory[customer])),""),ROWS($A$15:A47)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72576</v>
      </c>
      <c r="S42" s="465" t="str">
        <f t="array" ref="S42">IFERROR(IF($D$9="",IF($D$11="",IF($D$13="",IF($D$15="",INDEX(orderHistory[lock_goods],SMALL(MATCH(ROW(orderHistory[customer]),ROW(orderHistory[customer])),ROWS($A$15:A47)+$B$3)),INDEX(orderHistory[lock_goods],SMALL(IF(ISNUMBER(MATCH(YEAR(orderHistory[invoice_date]),$D$15,0)),MATCH(ROW(orderHistory[customer]),ROW(orderHistory[customer])),""),ROWS($A$15:A47)+$B$3))),IF($D$15="",INDEX(orderHistory[lock_goods],SMALL(IF(ISNUMBER(MATCH(orderHistory[order_type],$D$13,0)),MATCH(ROW(orderHistory[customer]),ROW(orderHistory[customer])),""),ROWS($A$15:A47)+$B$3)),INDEX(orderHistory[lock_goods],SMALL(IF(ISNUMBER(MATCH(orderHistory[order_type],$D$13,0)*MATCH(YEAR(orderHistory[invoice_date]),$D$15,0)),MATCH(ROW(orderHistory[customer]),ROW(orderHistory[customer])),""),ROWS($A$15:A47)+$B$3)))),IF($D$13="",IF($D$15="",INDEX(orderHistory[lock_goods],SMALL(IF(ISNUMBER(MATCH(orderHistory[status],$D$11,0)),MATCH(ROW(orderHistory[customer]),ROW(orderHistory[customer])),""),ROWS($A$15:A47)+$B$3)),INDEX(orderHistory[lock_goods],SMALL(IF(ISNUMBER(MATCH(orderHistory[status],$D$11,0)*MATCH(YEAR(orderHistory[invoice_date]),$D$15,0)),MATCH(ROW(orderHistory[customer]),ROW(orderHistory[customer])),""),ROWS($A$15:A47)+$B$3))),IF($D$15="",INDEX(orderHistory[lock_goods],SMALL(IF(ISNUMBER(MATCH(orderHistory[status],$D$11,0)*MATCH(orderHistory[order_type],$D$13,0)),MATCH(ROW(orderHistory[customer]),ROW(orderHistory[customer])),""),ROWS($A$15:A47)+$B$3)),INDEX(orderHistory[lock_goods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lock_goods],SMALL(IF(ISNUMBER(MATCH(orderHistory[customer],$D$9,0)),MATCH(ROW(orderHistory[customer]),ROW(orderHistory[customer])),""),ROWS($A$15:A47)+$B$3)),INDEX(orderHistory[lock_goods],SMALL(IF(ISNUMBER(MATCH(orderHistory[customer],$D$9,0)*MATCH(YEAR(orderHistory[invoice_date]),$D$15,0)),MATCH(ROW(orderHistory[customer]),ROW(orderHistory[customer])),""),ROWS($A$15:A47)+$B$3))),IF($D$15="",INDEX(orderHistory[lock_goods],SMALL(IF(ISNUMBER(MATCH(orderHistory[customer],$D$9,0)*MATCH(orderHistory[order_type],$D$13,0)),MATCH(ROW(orderHistory[customer]),ROW(orderHistory[customer])),""),ROWS($A$15:A47)+$B$3)),INDEX(orderHistory[lock_goods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lock_goods],SMALL(IF(ISNUMBER(MATCH(orderHistory[customer],$D$9,0)*MATCH(orderHistory[status],$D$11,0)),MATCH(ROW(orderHistory[customer]),ROW(orderHistory[customer])),""),ROWS($A$15:A47)+$B$3)),INDEX(orderHistory[lock_goods],SMALL(IF(ISNUMBER(MATCH(orderHistory[customer],$D$9,0)*MATCH(orderHistory[status],$D$11,0)*MATCH(YEAR(orderHistory[payed]),$D$15,0)),MATCH(ROW(orderHistory[customer]),ROW(orderHistory[customer])),""),ROWS($A$15:A47)+$B$3))),IF($D$15="",INDEX(orderHistory[lock_goods],SMALL(IF(ISNUMBER(MATCH(orderHistory[customer],$D$9,0)*MATCH(orderHistory[status],$D$11,0)*MATCH(orderHistory[order_type],$D$13,0)),MATCH(ROW(orderHistory[customer]),ROW(orderHistory[customer])),""),ROWS($A$15:A47)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GOODS SENT</v>
      </c>
      <c r="T42" s="388" t="b">
        <f t="array" ref="T42">IFERROR(IF($D$9="",IF($D$11="",IF($D$13="",IF($D$15="",INDEX(orderHistory[payed],SMALL(MATCH(ROW(orderHistory[customer]),ROW(orderHistory[customer])),ROWS($A$15:A47)+$B$3)),INDEX(orderHistory[payed],SMALL(IF(ISNUMBER(MATCH(YEAR(orderHistory[invoice_date]),$D$15,0)),MATCH(ROW(orderHistory[customer]),ROW(orderHistory[customer])),""),ROWS($A$15:A47)+$B$3))),IF($D$15="",INDEX(orderHistory[payed],SMALL(IF(ISNUMBER(MATCH(orderHistory[order_type],$D$13,0)),MATCH(ROW(orderHistory[customer]),ROW(orderHistory[customer])),""),ROWS($A$15:A47)+$B$3)),INDEX(orderHistory[payed],SMALL(IF(ISNUMBER(MATCH(orderHistory[order_type],$D$13,0)*MATCH(YEAR(orderHistory[invoice_date]),$D$15,0)),MATCH(ROW(orderHistory[customer]),ROW(orderHistory[customer])),""),ROWS($A$15:A47)+$B$3)))),IF($D$13="",IF($D$15="",INDEX(orderHistory[payed],SMALL(IF(ISNUMBER(MATCH(orderHistory[status],$D$11,0)),MATCH(ROW(orderHistory[customer]),ROW(orderHistory[customer])),""),ROWS($A$15:A47)+$B$3)),INDEX(orderHistory[payed],SMALL(IF(ISNUMBER(MATCH(orderHistory[status],$D$11,0)*MATCH(YEAR(orderHistory[invoice_date]),$D$15,0)),MATCH(ROW(orderHistory[customer]),ROW(orderHistory[customer])),""),ROWS($A$15:A47)+$B$3))),IF($D$15="",INDEX(orderHistory[payed],SMALL(IF(ISNUMBER(MATCH(orderHistory[status],$D$11,0)*MATCH(orderHistory[order_type],$D$13,0)),MATCH(ROW(orderHistory[customer]),ROW(orderHistory[customer])),""),ROWS($A$15:A47)+$B$3)),INDEX(orderHistory[payed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payed],SMALL(IF(ISNUMBER(MATCH(orderHistory[customer],$D$9,0)),MATCH(ROW(orderHistory[customer]),ROW(orderHistory[customer])),""),ROWS($A$15:A47)+$B$3)),INDEX(orderHistory[payed],SMALL(IF(ISNUMBER(MATCH(orderHistory[customer],$D$9,0)*MATCH(YEAR(orderHistory[invoice_date]),$D$15,0)),MATCH(ROW(orderHistory[customer]),ROW(orderHistory[customer])),""),ROWS($A$15:A47)+$B$3))),IF($D$15="",INDEX(orderHistory[payed],SMALL(IF(ISNUMBER(MATCH(orderHistory[customer],$D$9,0)*MATCH(orderHistory[order_type],$D$13,0)),MATCH(ROW(orderHistory[customer]),ROW(orderHistory[customer])),""),ROWS($A$15:A47)+$B$3)),INDEX(orderHistory[payed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payed],SMALL(IF(ISNUMBER(MATCH(orderHistory[customer],$D$9,0)*MATCH(orderHistory[status],$D$11,0)),MATCH(ROW(orderHistory[customer]),ROW(orderHistory[customer])),""),ROWS($A$15:A47)+$B$3)),INDEX(orderHistory[payed],SMALL(IF(ISNUMBER(MATCH(orderHistory[customer],$D$9,0)*MATCH(orderHistory[status],$D$11,0)*MATCH(YEAR(orderHistory[payed]),$D$15,0)),MATCH(ROW(orderHistory[customer]),ROW(orderHistory[customer])),""),ROWS($A$15:A47)+$B$3))),IF($D$15="",INDEX(orderHistory[payed],SMALL(IF(ISNUMBER(MATCH(orderHistory[customer],$D$9,0)*MATCH(orderHistory[status],$D$11,0)*MATCH(orderHistory[order_type],$D$13,0)),MATCH(ROW(orderHistory[customer]),ROW(orderHistory[customer])),""),ROWS($A$15:A47)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1</v>
      </c>
      <c r="U42" s="383" t="str">
        <f t="array" ref="U42">IFERROR(IF($D$9="",IF($D$11="",IF($D$13="",IF($D$15="",INDEX(orderHistory[shipping_method],SMALL(MATCH(ROW(orderHistory[customer]),ROW(orderHistory[customer])),ROWS($A$15:A47)+$B$3)),INDEX(orderHistory[shipping_method],SMALL(IF(ISNUMBER(MATCH(YEAR(orderHistory[invoice_date]),$D$15,0)),MATCH(ROW(orderHistory[customer]),ROW(orderHistory[customer])),""),ROWS($A$15:A47)+$B$3))),IF($D$15="",INDEX(orderHistory[shipping_method],SMALL(IF(ISNUMBER(MATCH(orderHistory[order_type],$D$13,0)),MATCH(ROW(orderHistory[customer]),ROW(orderHistory[customer])),""),ROWS($A$15:A47)+$B$3)),INDEX(orderHistory[shipping_method],SMALL(IF(ISNUMBER(MATCH(orderHistory[order_type],$D$13,0)*MATCH(YEAR(orderHistory[invoice_date]),$D$15,0)),MATCH(ROW(orderHistory[customer]),ROW(orderHistory[customer])),""),ROWS($A$15:A47)+$B$3)))),IF($D$13="",IF($D$15="",INDEX(orderHistory[shipping_method],SMALL(IF(ISNUMBER(MATCH(orderHistory[status],$D$11,0)),MATCH(ROW(orderHistory[customer]),ROW(orderHistory[customer])),""),ROWS($A$15:A47)+$B$3)),INDEX(orderHistory[shipping_method],SMALL(IF(ISNUMBER(MATCH(orderHistory[status],$D$11,0)*MATCH(YEAR(orderHistory[invoice_date]),$D$15,0)),MATCH(ROW(orderHistory[customer]),ROW(orderHistory[customer])),""),ROWS($A$15:A47)+$B$3))),IF($D$15="",INDEX(orderHistory[shipping_method],SMALL(IF(ISNUMBER(MATCH(orderHistory[status],$D$11,0)*MATCH(orderHistory[order_type],$D$13,0)),MATCH(ROW(orderHistory[customer]),ROW(orderHistory[customer])),""),ROWS($A$15:A47)+$B$3)),INDEX(orderHistory[shipping_method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shipping_method],SMALL(IF(ISNUMBER(MATCH(orderHistory[customer],$D$9,0)),MATCH(ROW(orderHistory[customer]),ROW(orderHistory[customer])),""),ROWS($A$15:A47)+$B$3)),INDEX(orderHistory[shipping_method],SMALL(IF(ISNUMBER(MATCH(orderHistory[customer],$D$9,0)*MATCH(YEAR(orderHistory[invoice_date]),$D$15,0)),MATCH(ROW(orderHistory[customer]),ROW(orderHistory[customer])),""),ROWS($A$15:A47)+$B$3))),IF($D$15="",INDEX(orderHistory[shipping_method],SMALL(IF(ISNUMBER(MATCH(orderHistory[customer],$D$9,0)*MATCH(orderHistory[order_type],$D$13,0)),MATCH(ROW(orderHistory[customer]),ROW(orderHistory[customer])),""),ROWS($A$15:A47)+$B$3)),INDEX(orderHistory[shipping_method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shipping_method],SMALL(IF(ISNUMBER(MATCH(orderHistory[customer],$D$9,0)*MATCH(orderHistory[status],$D$11,0)),MATCH(ROW(orderHistory[customer]),ROW(orderHistory[customer])),""),ROWS($A$15:A47)+$B$3)),INDEX(orderHistory[shipping_method],SMALL(IF(ISNUMBER(MATCH(orderHistory[customer],$D$9,0)*MATCH(orderHistory[status],$D$11,0)*MATCH(YEAR(orderHistory[shipping_method]),$D$15,0)),MATCH(ROW(orderHistory[customer]),ROW(orderHistory[customer])),""),ROWS($A$15:A47)+$B$3))),IF($D$15="",INDEX(orderHistory[shipping_method],SMALL(IF(ISNUMBER(MATCH(orderHistory[customer],$D$9,0)*MATCH(orderHistory[status],$D$11,0)*MATCH(orderHistory[order_type],$D$13,0)),MATCH(ROW(orderHistory[customer]),ROW(orderHistory[customer])),""),ROWS($A$15:A47)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BY SEA</v>
      </c>
      <c r="V42" s="388" t="str">
        <f t="array" ref="V42">IFERROR(IF($D$9="",IF($D$11="",IF($D$13="",IF($D$15="",INDEX(orderHistory[status],SMALL(MATCH(ROW(orderHistory[customer]),ROW(orderHistory[customer])),ROWS($A$15:A47)+$B$3)),INDEX(orderHistory[status],SMALL(IF(ISNUMBER(MATCH(YEAR(orderHistory[invoice_date]),$D$15,0)),MATCH(ROW(orderHistory[customer]),ROW(orderHistory[customer])),""),ROWS($A$15:A47)+$B$3))),IF($D$15="",INDEX(orderHistory[status],SMALL(IF(ISNUMBER(MATCH(orderHistory[order_type],$D$13,0)),MATCH(ROW(orderHistory[customer]),ROW(orderHistory[customer])),""),ROWS($A$15:A47)+$B$3)),INDEX(orderHistory[status],SMALL(IF(ISNUMBER(MATCH(orderHistory[order_type],$D$13,0)*MATCH(YEAR(orderHistory[invoice_date]),$D$15,0)),MATCH(ROW(orderHistory[customer]),ROW(orderHistory[customer])),""),ROWS($A$15:A47)+$B$3)))),IF($D$13="",IF($D$15="",INDEX(orderHistory[status],SMALL(IF(ISNUMBER(MATCH(orderHistory[status],$D$11,0)),MATCH(ROW(orderHistory[customer]),ROW(orderHistory[customer])),""),ROWS($A$15:A47)+$B$3)),INDEX(orderHistory[status],SMALL(IF(ISNUMBER(MATCH(orderHistory[status],$D$11,0)*MATCH(YEAR(orderHistory[invoice_date]),$D$15,0)),MATCH(ROW(orderHistory[customer]),ROW(orderHistory[customer])),""),ROWS($A$15:A47)+$B$3))),IF($D$15="",INDEX(orderHistory[status],SMALL(IF(ISNUMBER(MATCH(orderHistory[status],$D$11,0)*MATCH(orderHistory[order_type],$D$13,0)),MATCH(ROW(orderHistory[customer]),ROW(orderHistory[customer])),""),ROWS($A$15:A47)+$B$3)),INDEX(orderHistory[status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status],SMALL(IF(ISNUMBER(MATCH(orderHistory[customer],$D$9,0)),MATCH(ROW(orderHistory[customer]),ROW(orderHistory[customer])),""),ROWS($A$15:A47)+$B$3)),INDEX(orderHistory[status],SMALL(IF(ISNUMBER(MATCH(orderHistory[customer],$D$9,0)*MATCH(YEAR(orderHistory[invoice_date]),$D$15,0)),MATCH(ROW(orderHistory[customer]),ROW(orderHistory[customer])),""),ROWS($A$15:A47)+$B$3))),IF($D$15="",INDEX(orderHistory[status],SMALL(IF(ISNUMBER(MATCH(orderHistory[customer],$D$9,0)*MATCH(orderHistory[order_type],$D$13,0)),MATCH(ROW(orderHistory[customer]),ROW(orderHistory[customer])),""),ROWS($A$15:A47)+$B$3)),INDEX(orderHistory[status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status],SMALL(IF(ISNUMBER(MATCH(orderHistory[customer],$D$9,0)*MATCH(orderHistory[status],$D$11,0)),MATCH(ROW(orderHistory[customer]),ROW(orderHistory[customer])),""),ROWS($A$15:A47)+$B$3)),INDEX(orderHistory[status],SMALL(IF(ISNUMBER(MATCH(orderHistory[customer],$D$9,0)*MATCH(orderHistory[status],$D$11,0)*MATCH(YEAR(orderHistory[status]),$D$15,0)),MATCH(ROW(orderHistory[customer]),ROW(orderHistory[customer])),""),ROWS($A$15:A47)+$B$3))),IF($D$15="",INDEX(orderHistory[status],SMALL(IF(ISNUMBER(MATCH(orderHistory[customer],$D$9,0)*MATCH(orderHistory[status],$D$11,0)*MATCH(orderHistory[order_type],$D$13,0)),MATCH(ROW(orderHistory[customer]),ROW(orderHistory[customer])),""),ROWS($A$15:A47)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SHIPPED</v>
      </c>
      <c r="W42" s="547" t="str">
        <f t="array" ref="W42">IFERROR(IF($D$9="",IF($D$11="",IF($D$13="",IF($D$15="",INDEX(orderHistory[custom_docs],SMALL(MATCH(ROW(orderHistory[customer]),ROW(orderHistory[customer])),ROWS($A$15:A47)+$B$3)),INDEX(orderHistory[custom_docs],SMALL(IF(ISNUMBER(MATCH(YEAR(orderHistory[invoice_date]),$D$15,0)),MATCH(ROW(orderHistory[customer]),ROW(orderHistory[customer])),""),ROWS($A$15:A47)+$B$3))),IF($D$15="",INDEX(orderHistory[custom_docs],SMALL(IF(ISNUMBER(MATCH(orderHistory[order_type],$D$13,0)),MATCH(ROW(orderHistory[customer]),ROW(orderHistory[customer])),""),ROWS($A$15:A47)+$B$3)),INDEX(orderHistory[custom_docs],SMALL(IF(ISNUMBER(MATCH(orderHistory[order_type],$D$13,0)*MATCH(YEAR(orderHistory[invoice_date]),$D$15,0)),MATCH(ROW(orderHistory[customer]),ROW(orderHistory[customer])),""),ROWS($A$15:A47)+$B$3)))),IF($D$13="",IF($D$15="",INDEX(orderHistory[custom_docs],SMALL(IF(ISNUMBER(MATCH(orderHistory[status],$D$11,0)),MATCH(ROW(orderHistory[customer]),ROW(orderHistory[customer])),""),ROWS($A$15:A47)+$B$3)),INDEX(orderHistory[custom_docs],SMALL(IF(ISNUMBER(MATCH(orderHistory[status],$D$11,0)*MATCH(YEAR(orderHistory[invoice_date]),$D$15,0)),MATCH(ROW(orderHistory[customer]),ROW(orderHistory[customer])),""),ROWS($A$15:A47)+$B$3))),IF($D$15="",INDEX(orderHistory[custom_docs],SMALL(IF(ISNUMBER(MATCH(orderHistory[status],$D$11,0)*MATCH(orderHistory[order_type],$D$13,0)),MATCH(ROW(orderHistory[customer]),ROW(orderHistory[customer])),""),ROWS($A$15:A47)+$B$3)),INDEX(orderHistory[custom_docs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custom_docs],SMALL(IF(ISNUMBER(MATCH(orderHistory[customer],$D$9,0)),MATCH(ROW(orderHistory[customer]),ROW(orderHistory[customer])),""),ROWS($A$15:A47)+$B$3)),INDEX(orderHistory[custom_docs],SMALL(IF(ISNUMBER(MATCH(orderHistory[customer],$D$9,0)*MATCH(YEAR(orderHistory[invoice_date]),$D$15,0)),MATCH(ROW(orderHistory[customer]),ROW(orderHistory[customer])),""),ROWS($A$15:A47)+$B$3))),IF($D$15="",INDEX(orderHistory[custom_docs],SMALL(IF(ISNUMBER(MATCH(orderHistory[customer],$D$9,0)*MATCH(orderHistory[order_type],$D$13,0)),MATCH(ROW(orderHistory[customer]),ROW(orderHistory[customer])),""),ROWS($A$15:A47)+$B$3)),INDEX(orderHistory[custom_docs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custom_docs],SMALL(IF(ISNUMBER(MATCH(orderHistory[customer],$D$9,0)*MATCH(orderHistory[status],$D$11,0)),MATCH(ROW(orderHistory[customer]),ROW(orderHistory[customer])),""),ROWS($A$15:A47)+$B$3)),INDEX(orderHistory[custom_docs],SMALL(IF(ISNUMBER(MATCH(orderHistory[customer],$D$9,0)*MATCH(orderHistory[status],$D$11,0)*MATCH(YEAR(orderHistory[status]),$D$15,0)),MATCH(ROW(orderHistory[customer]),ROW(orderHistory[customer])),""),ROWS($A$15:A47)+$B$3))),IF($D$15="",INDEX(orderHistory[custom_docs],SMALL(IF(ISNUMBER(MATCH(orderHistory[customer],$D$9,0)*MATCH(orderHistory[status],$D$11,0)*MATCH(orderHistory[order_type],$D$13,0)),MATCH(ROW(orderHistory[customer]),ROW(orderHistory[customer])),""),ROWS($A$15:A47)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OK</v>
      </c>
      <c r="BG42" s="285"/>
      <c r="BK42" s="296"/>
      <c r="BL42" s="297"/>
      <c r="BM42" s="298"/>
      <c r="BN42" s="297"/>
      <c r="BO42" s="298"/>
      <c r="BZ42" s="400"/>
      <c r="CA42" s="401" t="str">
        <f>IFERROR(IF(BZ42="","",INDEX(bhpc_data[description],MATCH(BZ42,bhpc_data[sku],0))),"")</f>
        <v/>
      </c>
      <c r="CB42" s="402"/>
      <c r="CC42" s="885"/>
      <c r="CD42" s="411"/>
      <c r="CE42" s="890"/>
      <c r="CF42" s="404"/>
      <c r="CG42" s="405" t="str">
        <f>IFERROR(ROUNDUP(CB42/INDEX(bhpc_data[units_per_carton],MATCH(BZ42,bhpc_data[sku],0)),0),"")</f>
        <v/>
      </c>
      <c r="CH42" s="406" t="str">
        <f>IFERROR(ROUNDUP(CD42/INDEX(bhpc_data[units_per_carton],MATCH(BZ42,bhpc_data[sku],0)),0),"")</f>
        <v/>
      </c>
      <c r="CI42" s="406" t="str">
        <f>IFERROR(ROUNDUP(CF42/INDEX(bhpc_data[units_per_carton],MATCH(BZ42,bhpc_data[sku])),0),"")</f>
        <v/>
      </c>
      <c r="CJ42" s="406" t="str">
        <f>IFERROR(((CB42+CD42+CF42)/INDEX(bhpc_data[units_per_carton],MATCH(BZ42,bhpc_data[sku],0)))*INDEX(bhpc_data[net_weight],MATCH(BZ42,bhpc_data[sku],0)),"")</f>
        <v/>
      </c>
      <c r="CK42" s="406" t="str">
        <f>IFERROR(((CB42+CD42+CF42)/INDEX(bhpc_data[units_per_carton],MATCH(BZ42,bhpc_data[sku],0)))*INDEX(bhpc_data[gross_weight],MATCH(BZ42,bhpc_data[sku],0)),"")</f>
        <v/>
      </c>
      <c r="CL42" s="602" t="str">
        <f>IFERROR((CB42+CD42+CF42)/INDEX(bhpc_data[units_per_carton],MATCH(BZ42,bhpc_data[sku],0))*INDEX(bhpc_data[length],MATCH(BZ42,bhpc_data[sku],0))*INDEX(bhpc_data[width],MATCH(BZ42,bhpc_data[sku],0))*INDEX(bhpc_data[height],MATCH(BZ42,bhpc_data[sku],0))/1000000000,"")</f>
        <v/>
      </c>
      <c r="CM42" s="407" t="str">
        <f>IFERROR(INDEX(bhpc_data[category],MATCH(BZ42,bhpc_data[sku],0)),"")</f>
        <v/>
      </c>
      <c r="CN42" s="407" t="str">
        <f>IFERROR(INDEX(bhpc_data[size],MATCH(BZ42,bhpc_data[sku],0)),"")</f>
        <v/>
      </c>
      <c r="CO42" s="408" t="str">
        <f>IFERROR(INDEX(bhpc_data[hs_code],MATCH(BZ42,bhpc_data[sku],0)),"")</f>
        <v/>
      </c>
      <c r="CP42" s="489" t="str">
        <f>IFERROR(INDEX(bhpc_data[sku_geko],MATCH(BZ42,bhpc_data[sku],0)),"")</f>
        <v/>
      </c>
      <c r="CQ42" s="404"/>
      <c r="CR42" s="517" t="str">
        <f>IFERROR(IF(BZ42="","",IF($BX$15="SALE",INDEX(inventory[COSTO UNITARIO],MATCH(BZ42,inventory[SKU],0)),IF($BX$15="SAMPLING",INDEX(inventory[COSTO UNITARIO],MATCH(BZ42,inventory[SKU],0)),""))),"")</f>
        <v/>
      </c>
      <c r="CS42" s="517" t="str">
        <f t="shared" ref="CS42:CS63" si="7">IFERROR(IF(BZ42="","",(CB42+CD42)*CR42),"")</f>
        <v/>
      </c>
      <c r="CT42" s="896" t="str">
        <f t="shared" ref="CT42:CT63" si="8">IF(BZ42="","",CB42*CC42+CD42*CE42)</f>
        <v/>
      </c>
      <c r="CU42" s="469" t="str">
        <f t="shared" si="0"/>
        <v/>
      </c>
      <c r="CV42" s="280"/>
      <c r="CW42" s="280"/>
      <c r="CX42" s="280"/>
      <c r="CY42" s="467"/>
      <c r="CZ42" s="280"/>
      <c r="DA42" s="280"/>
      <c r="DB42" s="280" t="str">
        <f>IFERROR(VLOOKUP(BZ42,bhpc_data[],22,FALSE),"")</f>
        <v/>
      </c>
      <c r="DH42" s="215"/>
      <c r="EE42" s="445" t="str" cm="1">
        <f t="array" ref="EE42">IFERROR(IF($EC$9="",IF($EC$11="",IF($EC$13="",INDEX(bhpc_data[sku],SMALL(MATCH(ROW(bhpc_data[sku]),ROW(bhpc_data[sku])),ROWS($A$15:A47)+$B$3)),INDEX(bhpc_data[sku],SMALL(IF(ISNUMBER(MATCH(bhpc_data[size],$EC$13,0)),MATCH(ROW(bhpc_data[sku]),ROW(bhpc_data[sku])),""),ROWS($A$15:A47)+$B$3))),IF($EC$13="",INDEX(bhpc_data[sku],SMALL(IF(ISNUMBER(MATCH(bhpc_data[sex],$EC$11,0)),MATCH(ROW(bhpc_data[sku]),ROW(bhpc_data[sku])),""),ROWS($A$15:A47)+$B$3)),INDEX(bhpc_data[sku],SMALL(IF(ISNUMBER(MATCH(bhpc_data[sex],$EC$11,0)*MATCH(bhpc_data[size],$EC$13,0)),MATCH(ROW(bhpc_data[sku]),ROW(bhpc_data[sku])),""),ROWS($A$15:A47)+$B$3)))),IF($EC$11="",IF($EC$13="",INDEX(bhpc_data[sku],SMALL(IF(ISNUMBER(MATCH(bhpc_data[category],$EC$9,0)),MATCH(ROW(bhpc_data[sku]),ROW(bhpc_data[sku])),""),ROWS($A$15:A47)+$B$3)),INDEX(bhpc_data[sku],SMALL(IF(ISNUMBER(MATCH(bhpc_data[category],$EC$9,0)*MATCH(bhpc_data[size],$EC$13,0)),MATCH(ROW(bhpc_data[sku]),ROW(bhpc_data[sku])),""),ROWS($A$15:A47)+$B$3))),IF($EC$13="",INDEX(bhpc_data[sku],SMALL(IF(ISNUMBER(MATCH(bhpc_data[category],$EC$9,0)*MATCH(bhpc_data[sex],$EC$11,0)),MATCH(ROW(bhpc_data[sku]),ROW(bhpc_data[sku])),""),ROWS($A$15:A47)+$B$3)),INDEX(bhpc_data[sku],SMALL(IF(ISNUMBER(MATCH(bhpc_data[category],$EC$9,0)*MATCH(bhpc_data[sex],$EC$11,0)*MATCH(bhpc_data[size],$EC$13,0)),MATCH(ROW(bhpc_data[sku]),ROW(bhpc_data[sku])),""),ROWS($A$15:A47)+$B$3))))),"")</f>
        <v>P06005</v>
      </c>
      <c r="EF42" s="446" t="str" cm="1">
        <f t="array" ref="EF42">IFERROR(IF($EC$9="",IF($EC$11="",IF($EC$13="",INDEX(bhpc_data[description],SMALL(MATCH(ROW(bhpc_data[sku]),ROW(bhpc_data[sku])),ROWS($A$15:A47)+$B$3)),INDEX(bhpc_data[description],SMALL(IF(ISNUMBER(MATCH(bhpc_data[size],$EC$13,0)),MATCH(ROW(bhpc_data[sku]),ROW(bhpc_data[sku])),""),ROWS($A$15:A47)+$B$3))),IF($EC$13="",INDEX(bhpc_data[description],SMALL(IF(ISNUMBER(MATCH(bhpc_data[sex],$EC$11,0)),MATCH(ROW(bhpc_data[sku]),ROW(bhpc_data[sku])),""),ROWS($A$15:A47)+$B$3)),INDEX(bhpc_data[description],SMALL(IF(ISNUMBER(MATCH(bhpc_data[sex],$EC$11,0)*MATCH(bhpc_data[size],$EC$13,0)),MATCH(ROW(bhpc_data[sku]),ROW(bhpc_data[sku])),""),ROWS($A$15:A47)+$B$3)))),IF($EC$11="",IF($EC$13="",INDEX(bhpc_data[description],SMALL(IF(ISNUMBER(MATCH(bhpc_data[category],$EC$9,0)),MATCH(ROW(bhpc_data[sku]),ROW(bhpc_data[sku])),""),ROWS($A$15:A47)+$B$3)),INDEX(bhpc_data[description],SMALL(IF(ISNUMBER(MATCH(bhpc_data[category],$EC$9,0)*MATCH(bhpc_data[size],$EC$13,0)),MATCH(ROW(bhpc_data[sku]),ROW(bhpc_data[sku])),""),ROWS($A$15:A47)+$B$3))),IF($EC$13="",INDEX(bhpc_data[description],SMALL(IF(ISNUMBER(MATCH(bhpc_data[category],$EC$9,0)*MATCH(bhpc_data[sex],$EC$11,0)),MATCH(ROW(bhpc_data[sku]),ROW(bhpc_data[sku])),""),ROWS($A$15:A47)+$B$3)),INDEX(bhpc_data[description],SMALL(IF(ISNUMBER(MATCH(bhpc_data[category],$EC$9,0)*MATCH(bhpc_data[sex],$EC$11,0)*MATCH(bhpc_data[size],$EC$13,0)),MATCH(ROW(bhpc_data[sku]),ROW(bhpc_data[sku])),""),ROWS($A$15:A47)+$B$3))))),"")</f>
        <v>BHPC PRESTIGE CHALLENGE 100ML EDP WOMEN</v>
      </c>
      <c r="EG42" s="447">
        <f>IFERROR(IF('BHPC MANAGER'!$EE42="","",INDEX(inventory[ESISTENZA],MATCH('BHPC MANAGER'!$EE42,inventory[SKU],0))),0)</f>
        <v>4469</v>
      </c>
      <c r="EH42" s="448">
        <v>-536</v>
      </c>
      <c r="EI42" s="448">
        <f t="shared" si="1"/>
        <v>3933</v>
      </c>
      <c r="EJ42" s="449">
        <v>0</v>
      </c>
      <c r="EK42" s="450">
        <f t="shared" si="2"/>
        <v>3933</v>
      </c>
      <c r="EO42" s="215" t="str">
        <f t="array" ref="EO42">IFERROR(INDEX(orderHistory[order_no],SMALL(IF(ISNUMBER(MATCH(orderHistory[status],$EO$7,0)),MATCH(ROW(orderHistory[order_no]),ROW(orderHistory[order_no])),""),ROWS($A$15:A47))),"")</f>
        <v/>
      </c>
    </row>
    <row r="43" spans="6:228" ht="15" customHeight="1" thickBot="1" x14ac:dyDescent="0.4">
      <c r="F43" s="92"/>
      <c r="G43" s="78"/>
      <c r="H43" s="78"/>
      <c r="I43" s="78"/>
      <c r="J43" s="79"/>
      <c r="L43" s="381" t="str">
        <f t="array" ref="L43">IFERROR(IF($D$9="",IF($D$11="",IF($D$13="",IF($D$15="",INDEX(orderHistory[customer],SMALL(MATCH(ROW(orderHistory[customer]),ROW(orderHistory[customer])),ROWS($A$15:A48)+$B$3)),INDEX(orderHistory[customer],SMALL(IF(ISNUMBER(MATCH(YEAR(orderHistory[invoice_date]),$D$15,0)),MATCH(ROW(orderHistory[customer]),ROW(orderHistory[customer])),""),ROWS($A$15:A48)+$B$3))),IF($D$15="",INDEX(orderHistory[customer],SMALL(IF(ISNUMBER(MATCH(orderHistory[order_type],$D$13,0)),MATCH(ROW(orderHistory[customer]),ROW(orderHistory[customer])),""),ROWS($A$15:A48)+$B$3)),INDEX(orderHistory[customer],SMALL(IF(ISNUMBER(MATCH(orderHistory[order_type],$D$13,0)*MATCH(YEAR(orderHistory[invoice_date]),$D$15,0)),MATCH(ROW(orderHistory[customer]),ROW(orderHistory[customer])),""),ROWS($A$15:A48)+$B$3)))),IF($D$13="",IF($D$15="",INDEX(orderHistory[customer],SMALL(IF(ISNUMBER(MATCH(orderHistory[status],$D$11,0)),MATCH(ROW(orderHistory[customer]),ROW(orderHistory[customer])),""),ROWS($A$15:A48)+$B$3)),INDEX(orderHistory[customer],SMALL(IF(ISNUMBER(MATCH(orderHistory[status],$D$11,0)*MATCH(YEAR(orderHistory[invoice_date]),$D$15,0)),MATCH(ROW(orderHistory[customer]),ROW(orderHistory[customer])),""),ROWS($A$15:A48)+$B$3))),IF($D$15="",INDEX(orderHistory[customer],SMALL(IF(ISNUMBER(MATCH(orderHistory[status],$D$11,0)*MATCH(orderHistory[order_type],$D$13,0)),MATCH(ROW(orderHistory[customer]),ROW(orderHistory[customer])),""),ROWS($A$15:A48)+$B$3)),INDEX(orderHistory[customer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customer],SMALL(IF(ISNUMBER(MATCH(orderHistory[customer],$D$9,0)),MATCH(ROW(orderHistory[customer]),ROW(orderHistory[customer])),""),ROWS($A$15:A48)+$B$3)),INDEX(orderHistory[customer],SMALL(IF(ISNUMBER(MATCH(orderHistory[customer],$D$9,0)*MATCH(YEAR(orderHistory[invoice_date]),$D$15,0)),MATCH(ROW(orderHistory[customer]),ROW(orderHistory[customer])),""),ROWS($A$15:A48)+$B$3))),IF($D$15="",INDEX(orderHistory[customer],SMALL(IF(ISNUMBER(MATCH(orderHistory[customer],$D$9,0)*MATCH(orderHistory[order_type],$D$13,0)),MATCH(ROW(orderHistory[customer]),ROW(orderHistory[customer])),""),ROWS($A$15:A48)+$B$3)),INDEX(orderHistory[customer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customer],SMALL(IF(ISNUMBER(MATCH(orderHistory[customer],$D$9,0)*MATCH(orderHistory[status],$D$11,0)),MATCH(ROW(orderHistory[customer]),ROW(orderHistory[customer])),""),ROWS($A$15:A48)+$B$3)),INDEX(orderHistory[customer],SMALL(IF(ISNUMBER(MATCH(orderHistory[customer],$D$9,0)*MATCH(orderHistory[status],$D$11,0)*MATCH(YEAR(orderHistory[invoice_date]),$D$15,0)),MATCH(ROW(orderHistory[customer]),ROW(orderHistory[customer])),""),ROWS($A$15:A48)+$B$3))),IF($D$15="",INDEX(orderHistory[customer],SMALL(IF(ISNUMBER(MATCH(orderHistory[customer],$D$9,0)*MATCH(orderHistory[status],$D$11,0)*MATCH(orderHistory[order_type],$D$13,0)),MATCH(ROW(orderHistory[customer]),ROW(orderHistory[customer])),""),ROWS($A$15:A48)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4BEAUTY4YOU</v>
      </c>
      <c r="M43" s="382">
        <f t="array" ref="M43">IFERROR(IF($D$9="",IF($D$11="",IF($D$13="",IF($D$15="",INDEX(orderHistory[order_no],SMALL(MATCH(ROW(orderHistory[customer]),ROW(orderHistory[customer])),ROWS($A$15:A48)+$B$3)),INDEX(orderHistory[order_no],SMALL(IF(ISNUMBER(MATCH(YEAR(orderHistory[invoice_date]),$D$15,0)),MATCH(ROW(orderHistory[customer]),ROW(orderHistory[customer])),""),ROWS($A$15:A48)+$B$3))),IF($D$15="",INDEX(orderHistory[order_no],SMALL(IF(ISNUMBER(MATCH(orderHistory[order_type],$D$13,0)),MATCH(ROW(orderHistory[customer]),ROW(orderHistory[customer])),""),ROWS($A$15:A48)+$B$3)),INDEX(orderHistory[order_no],SMALL(IF(ISNUMBER(MATCH(orderHistory[order_type],$D$13,0)*MATCH(YEAR(orderHistory[invoice_date]),$D$15,0)),MATCH(ROW(orderHistory[customer]),ROW(orderHistory[customer])),""),ROWS($A$15:A48)+$B$3)))),IF($D$13="",IF($D$15="",INDEX(orderHistory[order_no],SMALL(IF(ISNUMBER(MATCH(orderHistory[status],$D$11,0)),MATCH(ROW(orderHistory[customer]),ROW(orderHistory[customer])),""),ROWS($A$15:A48)+$B$3)),INDEX(orderHistory[order_no],SMALL(IF(ISNUMBER(MATCH(orderHistory[status],$D$11,0)*MATCH(YEAR(orderHistory[invoice_date]),$D$15,0)),MATCH(ROW(orderHistory[customer]),ROW(orderHistory[customer])),""),ROWS($A$15:A48)+$B$3))),IF($D$15="",INDEX(orderHistory[order_no],SMALL(IF(ISNUMBER(MATCH(orderHistory[status],$D$11,0)*MATCH(orderHistory[order_type],$D$13,0)),MATCH(ROW(orderHistory[customer]),ROW(orderHistory[customer])),""),ROWS($A$15:A48)+$B$3)),INDEX(orderHistory[order_no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order_no],SMALL(IF(ISNUMBER(MATCH(orderHistory[customer],$D$9,0)),MATCH(ROW(orderHistory[customer]),ROW(orderHistory[customer])),""),ROWS($A$15:A48)+$B$3)),INDEX(orderHistory[order_no],SMALL(IF(ISNUMBER(MATCH(orderHistory[customer],$D$9,0)*MATCH(YEAR(orderHistory[invoice_date]),$D$15,0)),MATCH(ROW(orderHistory[customer]),ROW(orderHistory[customer])),""),ROWS($A$15:A48)+$B$3))),IF($D$15="",INDEX(orderHistory[order_no],SMALL(IF(ISNUMBER(MATCH(orderHistory[customer],$D$9,0)*MATCH(orderHistory[order_type],$D$13,0)),MATCH(ROW(orderHistory[customer]),ROW(orderHistory[customer])),""),ROWS($A$15:A48)+$B$3)),INDEX(orderHistory[order_no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order_no],SMALL(IF(ISNUMBER(MATCH(orderHistory[customer],$D$9,0)*MATCH(orderHistory[status],$D$11,0)),MATCH(ROW(orderHistory[customer]),ROW(orderHistory[customer])),""),ROWS($A$15:A48)+$B$3)),INDEX(orderHistory[order_no],SMALL(IF(ISNUMBER(MATCH(orderHistory[customer],$D$9,0)*MATCH(orderHistory[status],$D$11,0)*MATCH(YEAR(orderHistory[invoice_date]),$D$15,0)),MATCH(ROW(orderHistory[customer]),ROW(orderHistory[customer])),""),ROWS($A$15:A48)+$B$3))),IF($D$15="",INDEX(orderHistory[order_no],SMALL(IF(ISNUMBER(MATCH(orderHistory[customer],$D$9,0)*MATCH(orderHistory[status],$D$11,0)*MATCH(orderHistory[order_type],$D$13,0)),MATCH(ROW(orderHistory[customer]),ROW(orderHistory[customer])),""),ROWS($A$15:A48)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27</v>
      </c>
      <c r="N43" s="383" t="str">
        <f t="array" ref="N43">IFERROR(IF($D$9="",IF($D$11="",IF($D$13="",IF($D$15="",INDEX(orderHistory[order_type],SMALL(MATCH(ROW(orderHistory[customer]),ROW(orderHistory[customer])),ROWS($A$15:A48)+$B$3)),INDEX(orderHistory[order_type],SMALL(IF(ISNUMBER(MATCH(YEAR(orderHistory[invoice_date]),$D$15,0)),MATCH(ROW(orderHistory[customer]),ROW(orderHistory[customer])),""),ROWS($A$15:A48)+$B$3))),IF($D$15="",INDEX(orderHistory[order_type],SMALL(IF(ISNUMBER(MATCH(orderHistory[order_type],$D$13,0)),MATCH(ROW(orderHistory[customer]),ROW(orderHistory[customer])),""),ROWS($A$15:A48)+$B$3)),INDEX(orderHistory[order_type],SMALL(IF(ISNUMBER(MATCH(orderHistory[order_type],$D$13,0)*MATCH(YEAR(orderHistory[invoice_date]),$D$15,0)),MATCH(ROW(orderHistory[customer]),ROW(orderHistory[customer])),""),ROWS($A$15:A48)+$B$3)))),IF($D$13="",IF($D$15="",INDEX(orderHistory[order_type],SMALL(IF(ISNUMBER(MATCH(orderHistory[status],$D$11,0)),MATCH(ROW(orderHistory[customer]),ROW(orderHistory[customer])),""),ROWS($A$15:A48)+$B$3)),INDEX(orderHistory[order_type],SMALL(IF(ISNUMBER(MATCH(orderHistory[status],$D$11,0)*MATCH(YEAR(orderHistory[invoice_date]),$D$15,0)),MATCH(ROW(orderHistory[customer]),ROW(orderHistory[customer])),""),ROWS($A$15:A48)+$B$3))),IF($D$15="",INDEX(orderHistory[order_type],SMALL(IF(ISNUMBER(MATCH(orderHistory[status],$D$11,0)*MATCH(orderHistory[order_type],$D$13,0)),MATCH(ROW(orderHistory[customer]),ROW(orderHistory[customer])),""),ROWS($A$15:A48)+$B$3)),INDEX(orderHistory[order_type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order_type],SMALL(IF(ISNUMBER(MATCH(orderHistory[customer],$D$9,0)),MATCH(ROW(orderHistory[customer]),ROW(orderHistory[customer])),""),ROWS($A$15:A48)+$B$3)),INDEX(orderHistory[order_type],SMALL(IF(ISNUMBER(MATCH(orderHistory[customer],$D$9,0)*MATCH(YEAR(orderHistory[invoice_date]),$D$15,0)),MATCH(ROW(orderHistory[customer]),ROW(orderHistory[customer])),""),ROWS($A$15:A48)+$B$3))),IF($D$15="",INDEX(orderHistory[order_type],SMALL(IF(ISNUMBER(MATCH(orderHistory[customer],$D$9,0)*MATCH(orderHistory[order_type],$D$13,0)),MATCH(ROW(orderHistory[customer]),ROW(orderHistory[customer])),""),ROWS($A$15:A48)+$B$3)),INDEX(orderHistory[order_type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order_type],SMALL(IF(ISNUMBER(MATCH(orderHistory[customer],$D$9,0)*MATCH(orderHistory[status],$D$11,0)),MATCH(ROW(orderHistory[customer]),ROW(orderHistory[customer])),""),ROWS($A$15:A48)+$B$3)),INDEX(orderHistory[order_type],SMALL(IF(ISNUMBER(MATCH(orderHistory[customer],$D$9,0)*MATCH(orderHistory[status],$D$11,0)*MATCH(YEAR(orderHistory[invoice_date]),$D$15,0)),MATCH(ROW(orderHistory[customer]),ROW(orderHistory[customer])),""),ROWS($A$15:A48)+$B$3))),IF($D$15="",INDEX(orderHistory[order_type],SMALL(IF(ISNUMBER(MATCH(orderHistory[customer],$D$9,0)*MATCH(orderHistory[status],$D$11,0)*MATCH(orderHistory[order_type],$D$13,0)),MATCH(ROW(orderHistory[customer]),ROW(orderHistory[customer])),""),ROWS($A$15:A48)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SALE</v>
      </c>
      <c r="O43" s="384">
        <f t="array" ref="O43">IFERROR(IF($D$9="",IF($D$11="",IF($D$13="",IF($D$15="",INDEX(orderHistory[order_date],SMALL(MATCH(ROW(orderHistory[customer]),ROW(orderHistory[customer])),ROWS($A$15:A48)+$B$3)),INDEX(orderHistory[order_date],SMALL(IF(ISNUMBER(MATCH(YEAR(orderHistory[invoice_date]),$D$15,0)),MATCH(ROW(orderHistory[customer]),ROW(orderHistory[customer])),""),ROWS($A$15:A48)+$B$3))),IF($D$15="",INDEX(orderHistory[order_date],SMALL(IF(ISNUMBER(MATCH(orderHistory[order_type],$D$13,0)),MATCH(ROW(orderHistory[customer]),ROW(orderHistory[customer])),""),ROWS($A$15:A48)+$B$3)),INDEX(orderHistory[order_date],SMALL(IF(ISNUMBER(MATCH(orderHistory[order_type],$D$13,0)*MATCH(YEAR(orderHistory[invoice_date]),$D$15,0)),MATCH(ROW(orderHistory[customer]),ROW(orderHistory[customer])),""),ROWS($A$15:A48)+$B$3)))),IF($D$13="",IF($D$15="",INDEX(orderHistory[order_date],SMALL(IF(ISNUMBER(MATCH(orderHistory[status],$D$11,0)),MATCH(ROW(orderHistory[customer]),ROW(orderHistory[customer])),""),ROWS($A$15:A48)+$B$3)),INDEX(orderHistory[order_date],SMALL(IF(ISNUMBER(MATCH(orderHistory[status],$D$11,0)*MATCH(YEAR(orderHistory[invoice_date]),$D$15,0)),MATCH(ROW(orderHistory[customer]),ROW(orderHistory[customer])),""),ROWS($A$15:A48)+$B$3))),IF($D$15="",INDEX(orderHistory[order_date],SMALL(IF(ISNUMBER(MATCH(orderHistory[status],$D$11,0)*MATCH(orderHistory[order_type],$D$13,0)),MATCH(ROW(orderHistory[customer]),ROW(orderHistory[customer])),""),ROWS($A$15:A48)+$B$3)),INDEX(orderHistory[order_date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order_date],SMALL(IF(ISNUMBER(MATCH(orderHistory[customer],$D$9,0)),MATCH(ROW(orderHistory[customer]),ROW(orderHistory[customer])),""),ROWS($A$15:A48)+$B$3)),INDEX(orderHistory[order_date],SMALL(IF(ISNUMBER(MATCH(orderHistory[customer],$D$9,0)*MATCH(YEAR(orderHistory[invoice_date]),$D$15,0)),MATCH(ROW(orderHistory[customer]),ROW(orderHistory[customer])),""),ROWS($A$15:A48)+$B$3))),IF($D$15="",INDEX(orderHistory[order_date],SMALL(IF(ISNUMBER(MATCH(orderHistory[customer],$D$9,0)*MATCH(orderHistory[order_type],$D$13,0)),MATCH(ROW(orderHistory[customer]),ROW(orderHistory[customer])),""),ROWS($A$15:A48)+$B$3)),INDEX(orderHistory[order_date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order_date],SMALL(IF(ISNUMBER(MATCH(orderHistory[customer],$D$9,0)*MATCH(orderHistory[status],$D$11,0)),MATCH(ROW(orderHistory[customer]),ROW(orderHistory[customer])),""),ROWS($A$15:A48)+$B$3)),INDEX(orderHistory[order_date],SMALL(IF(ISNUMBER(MATCH(orderHistory[customer],$D$9,0)*MATCH(orderHistory[status],$D$11,0)*MATCH(YEAR(orderHistory[invoice_date]),$D$15,0)),MATCH(ROW(orderHistory[customer]),ROW(orderHistory[customer])),""),ROWS($A$15:A48)+$B$3))),IF($D$15="",INDEX(orderHistory[order_date],SMALL(IF(ISNUMBER(MATCH(orderHistory[customer],$D$9,0)*MATCH(orderHistory[status],$D$11,0)*MATCH(orderHistory[order_type],$D$13,0)),MATCH(ROW(orderHistory[customer]),ROW(orderHistory[customer])),""),ROWS($A$15:A48)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45379</v>
      </c>
      <c r="P43" s="385" t="str">
        <f t="array" ref="P43">IFERROR(IF($D$9="",IF($D$11="",IF($D$13="",IF($D$15="",INDEX(orderHistory[invoice_no],SMALL(MATCH(ROW(orderHistory[customer]),ROW(orderHistory[customer])),ROWS($A$15:A48)+$B$3)),INDEX(orderHistory[invoice_no],SMALL(IF(ISNUMBER(MATCH(YEAR(orderHistory[invoice_date]),$D$15,0)),MATCH(ROW(orderHistory[customer]),ROW(orderHistory[customer])),""),ROWS($A$15:A48)+$B$3))),IF($D$15="",INDEX(orderHistory[invoice_no],SMALL(IF(ISNUMBER(MATCH(orderHistory[order_type],$D$13,0)),MATCH(ROW(orderHistory[customer]),ROW(orderHistory[customer])),""),ROWS($A$15:A48)+$B$3)),INDEX(orderHistory[invoice_no],SMALL(IF(ISNUMBER(MATCH(orderHistory[order_type],$D$13,0)*MATCH(YEAR(orderHistory[invoice_date]),$D$15,0)),MATCH(ROW(orderHistory[customer]),ROW(orderHistory[customer])),""),ROWS($A$15:A48)+$B$3)))),IF($D$13="",IF($D$15="",INDEX(orderHistory[invoice_no],SMALL(IF(ISNUMBER(MATCH(orderHistory[status],$D$11,0)),MATCH(ROW(orderHistory[customer]),ROW(orderHistory[customer])),""),ROWS($A$15:A48)+$B$3)),INDEX(orderHistory[invoice_no],SMALL(IF(ISNUMBER(MATCH(orderHistory[status],$D$11,0)*MATCH(YEAR(orderHistory[invoice_date]),$D$15,0)),MATCH(ROW(orderHistory[customer]),ROW(orderHistory[customer])),""),ROWS($A$15:A48)+$B$3))),IF($D$15="",INDEX(orderHistory[invoice_no],SMALL(IF(ISNUMBER(MATCH(orderHistory[status],$D$11,0)*MATCH(orderHistory[order_type],$D$13,0)),MATCH(ROW(orderHistory[customer]),ROW(orderHistory[customer])),""),ROWS($A$15:A48)+$B$3)),INDEX(orderHistory[invoice_no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invoice_no],SMALL(IF(ISNUMBER(MATCH(orderHistory[customer],$D$9,0)),MATCH(ROW(orderHistory[customer]),ROW(orderHistory[customer])),""),ROWS($A$15:A48)+$B$3)),INDEX(orderHistory[invoice_no],SMALL(IF(ISNUMBER(MATCH(orderHistory[customer],$D$9,0)*MATCH(YEAR(orderHistory[invoice_date]),$D$15,0)),MATCH(ROW(orderHistory[customer]),ROW(orderHistory[customer])),""),ROWS($A$15:A48)+$B$3))),IF($D$15="",INDEX(orderHistory[invoice_no],SMALL(IF(ISNUMBER(MATCH(orderHistory[customer],$D$9,0)*MATCH(orderHistory[order_type],$D$13,0)),MATCH(ROW(orderHistory[customer]),ROW(orderHistory[customer])),""),ROWS($A$15:A48)+$B$3)),INDEX(orderHistory[invoice_no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invoice_no],SMALL(IF(ISNUMBER(MATCH(orderHistory[customer],$D$9,0)*MATCH(orderHistory[status],$D$11,0)),MATCH(ROW(orderHistory[customer]),ROW(orderHistory[customer])),""),ROWS($A$15:A48)+$B$3)),INDEX(orderHistory[invoice_no],SMALL(IF(ISNUMBER(MATCH(orderHistory[customer],$D$9,0)*MATCH(orderHistory[status],$D$11,0)*MATCH(YEAR(orderHistory[invoice_date]),$D$15,0)),MATCH(ROW(orderHistory[customer]),ROW(orderHistory[customer])),""),ROWS($A$15:A48)+$B$3))),IF($D$15="",INDEX(orderHistory[invoice_no],SMALL(IF(ISNUMBER(MATCH(orderHistory[customer],$D$9,0)*MATCH(orderHistory[status],$D$11,0)*MATCH(orderHistory[order_type],$D$13,0)),MATCH(ROW(orderHistory[customer]),ROW(orderHistory[customer])),""),ROWS($A$15:A48)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100</v>
      </c>
      <c r="Q43" s="386">
        <f t="array" ref="Q43">IFERROR(IF($D$9="",IF($D$11="",IF($D$13="",IF($D$15="",INDEX(orderHistory[invoice_date],SMALL(MATCH(ROW(orderHistory[customer]),ROW(orderHistory[customer])),ROWS($A$15:A48)+$B$3)),INDEX(orderHistory[invoice_date],SMALL(IF(ISNUMBER(MATCH(YEAR(orderHistory[invoice_date]),$D$15,0)),MATCH(ROW(orderHistory[customer]),ROW(orderHistory[customer])),""),ROWS($A$15:A48)+$B$3))),IF($D$15="",INDEX(orderHistory[invoice_date],SMALL(IF(ISNUMBER(MATCH(orderHistory[order_type],$D$13,0)),MATCH(ROW(orderHistory[customer]),ROW(orderHistory[customer])),""),ROWS($A$15:A48)+$B$3)),INDEX(orderHistory[invoice_date],SMALL(IF(ISNUMBER(MATCH(orderHistory[order_type],$D$13,0)*MATCH(YEAR(orderHistory[invoice_date]),$D$15,0)),MATCH(ROW(orderHistory[customer]),ROW(orderHistory[customer])),""),ROWS($A$15:A48)+$B$3)))),IF($D$13="",IF($D$15="",INDEX(orderHistory[invoice_date],SMALL(IF(ISNUMBER(MATCH(orderHistory[status],$D$11,0)),MATCH(ROW(orderHistory[customer]),ROW(orderHistory[customer])),""),ROWS($A$15:A48)+$B$3)),INDEX(orderHistory[invoice_date],SMALL(IF(ISNUMBER(MATCH(orderHistory[status],$D$11,0)*MATCH(YEAR(orderHistory[invoice_date]),$D$15,0)),MATCH(ROW(orderHistory[customer]),ROW(orderHistory[customer])),""),ROWS($A$15:A48)+$B$3))),IF($D$15="",INDEX(orderHistory[invoice_date],SMALL(IF(ISNUMBER(MATCH(orderHistory[status],$D$11,0)*MATCH(orderHistory[order_type],$D$13,0)),MATCH(ROW(orderHistory[customer]),ROW(orderHistory[customer])),""),ROWS($A$15:A48)+$B$3)),INDEX(orderHistory[invoice_date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invoice_date],SMALL(IF(ISNUMBER(MATCH(orderHistory[customer],$D$9,0)),MATCH(ROW(orderHistory[customer]),ROW(orderHistory[customer])),""),ROWS($A$15:A48)+$B$3)),INDEX(orderHistory[invoice_date],SMALL(IF(ISNUMBER(MATCH(orderHistory[customer],$D$9,0)*MATCH(YEAR(orderHistory[invoice_date]),$D$15,0)),MATCH(ROW(orderHistory[customer]),ROW(orderHistory[customer])),""),ROWS($A$15:A48)+$B$3))),IF($D$15="",INDEX(orderHistory[invoice_date],SMALL(IF(ISNUMBER(MATCH(orderHistory[customer],$D$9,0)*MATCH(orderHistory[order_type],$D$13,0)),MATCH(ROW(orderHistory[customer]),ROW(orderHistory[customer])),""),ROWS($A$15:A48)+$B$3)),INDEX(orderHistory[invoice_date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invoice_date],SMALL(IF(ISNUMBER(MATCH(orderHistory[customer],$D$9,0)*MATCH(orderHistory[status],$D$11,0)),MATCH(ROW(orderHistory[customer]),ROW(orderHistory[customer])),""),ROWS($A$15:A48)+$B$3)),INDEX(orderHistory[invoice_date],SMALL(IF(ISNUMBER(MATCH(orderHistory[customer],$D$9,0)*MATCH(orderHistory[status],$D$11,0)*MATCH(YEAR(orderHistory[invoice_date]),$D$15,0)),MATCH(ROW(orderHistory[customer]),ROW(orderHistory[customer])),""),ROWS($A$15:A48)+$B$3))),IF($D$15="",INDEX(orderHistory[invoice_date],SMALL(IF(ISNUMBER(MATCH(orderHistory[customer],$D$9,0)*MATCH(orderHistory[status],$D$11,0)*MATCH(orderHistory[order_type],$D$13,0)),MATCH(ROW(orderHistory[customer]),ROW(orderHistory[customer])),""),ROWS($A$15:A48)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45379</v>
      </c>
      <c r="R43" s="387">
        <f t="array" ref="R43">IFERROR(IF($D$9="",IF($D$11="",IF($D$13="",IF($D$15="",INDEX(orderHistory[inv_amount],SMALL(MATCH(ROW(orderHistory[customer]),ROW(orderHistory[customer])),ROWS($A$15:A48)+$B$3)),INDEX(orderHistory[inv_amount],SMALL(IF(ISNUMBER(MATCH(YEAR(orderHistory[invoice_date]),$D$15,0)),MATCH(ROW(orderHistory[customer]),ROW(orderHistory[customer])),""),ROWS($A$15:A48)+$B$3))),IF($D$15="",INDEX(orderHistory[inv_amount],SMALL(IF(ISNUMBER(MATCH(orderHistory[order_type],$D$13,0)),MATCH(ROW(orderHistory[customer]),ROW(orderHistory[customer])),""),ROWS($A$15:A48)+$B$3)),INDEX(orderHistory[inv_amount],SMALL(IF(ISNUMBER(MATCH(orderHistory[order_type],$D$13,0)*MATCH(YEAR(orderHistory[invoice_date]),$D$15,0)),MATCH(ROW(orderHistory[customer]),ROW(orderHistory[customer])),""),ROWS($A$15:A48)+$B$3)))),IF($D$13="",IF($D$15="",INDEX(orderHistory[inv_amount],SMALL(IF(ISNUMBER(MATCH(orderHistory[status],$D$11,0)),MATCH(ROW(orderHistory[customer]),ROW(orderHistory[customer])),""),ROWS($A$15:A48)+$B$3)),INDEX(orderHistory[inv_amount],SMALL(IF(ISNUMBER(MATCH(orderHistory[status],$D$11,0)*MATCH(YEAR(orderHistory[invoice_date]),$D$15,0)),MATCH(ROW(orderHistory[customer]),ROW(orderHistory[customer])),""),ROWS($A$15:A48)+$B$3))),IF($D$15="",INDEX(orderHistory[inv_amount],SMALL(IF(ISNUMBER(MATCH(orderHistory[status],$D$11,0)*MATCH(orderHistory[order_type],$D$13,0)),MATCH(ROW(orderHistory[customer]),ROW(orderHistory[customer])),""),ROWS($A$15:A48)+$B$3)),INDEX(orderHistory[inv_amount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inv_amount],SMALL(IF(ISNUMBER(MATCH(orderHistory[customer],$D$9,0)),MATCH(ROW(orderHistory[customer]),ROW(orderHistory[customer])),""),ROWS($A$15:A48)+$B$3)),INDEX(orderHistory[inv_amount],SMALL(IF(ISNUMBER(MATCH(orderHistory[customer],$D$9,0)*MATCH(YEAR(orderHistory[invoice_date]),$D$15,0)),MATCH(ROW(orderHistory[customer]),ROW(orderHistory[customer])),""),ROWS($A$15:A48)+$B$3))),IF($D$15="",INDEX(orderHistory[inv_amount],SMALL(IF(ISNUMBER(MATCH(orderHistory[customer],$D$9,0)*MATCH(orderHistory[order_type],$D$13,0)),MATCH(ROW(orderHistory[customer]),ROW(orderHistory[customer])),""),ROWS($A$15:A48)+$B$3)),INDEX(orderHistory[inv_amount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inv_amount],SMALL(IF(ISNUMBER(MATCH(orderHistory[customer],$D$9,0)*MATCH(orderHistory[status],$D$11,0)),MATCH(ROW(orderHistory[customer]),ROW(orderHistory[customer])),""),ROWS($A$15:A48)+$B$3)),INDEX(orderHistory[inv_amount],SMALL(IF(ISNUMBER(MATCH(orderHistory[customer],$D$9,0)*MATCH(orderHistory[status],$D$11,0)*MATCH(YEAR(orderHistory[inv_amount]),$D$15,0)),MATCH(ROW(orderHistory[customer]),ROW(orderHistory[customer])),""),ROWS($A$15:A48)+$B$3))),IF($D$15="",INDEX(orderHistory[inv_amount],SMALL(IF(ISNUMBER(MATCH(orderHistory[customer],$D$9,0)*MATCH(orderHistory[status],$D$11,0)*MATCH(orderHistory[order_type],$D$13,0)),MATCH(ROW(orderHistory[customer]),ROW(orderHistory[customer])),""),ROWS($A$15:A48)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91392</v>
      </c>
      <c r="S43" s="465" t="str">
        <f t="array" ref="S43">IFERROR(IF($D$9="",IF($D$11="",IF($D$13="",IF($D$15="",INDEX(orderHistory[lock_goods],SMALL(MATCH(ROW(orderHistory[customer]),ROW(orderHistory[customer])),ROWS($A$15:A48)+$B$3)),INDEX(orderHistory[lock_goods],SMALL(IF(ISNUMBER(MATCH(YEAR(orderHistory[invoice_date]),$D$15,0)),MATCH(ROW(orderHistory[customer]),ROW(orderHistory[customer])),""),ROWS($A$15:A48)+$B$3))),IF($D$15="",INDEX(orderHistory[lock_goods],SMALL(IF(ISNUMBER(MATCH(orderHistory[order_type],$D$13,0)),MATCH(ROW(orderHistory[customer]),ROW(orderHistory[customer])),""),ROWS($A$15:A48)+$B$3)),INDEX(orderHistory[lock_goods],SMALL(IF(ISNUMBER(MATCH(orderHistory[order_type],$D$13,0)*MATCH(YEAR(orderHistory[invoice_date]),$D$15,0)),MATCH(ROW(orderHistory[customer]),ROW(orderHistory[customer])),""),ROWS($A$15:A48)+$B$3)))),IF($D$13="",IF($D$15="",INDEX(orderHistory[lock_goods],SMALL(IF(ISNUMBER(MATCH(orderHistory[status],$D$11,0)),MATCH(ROW(orderHistory[customer]),ROW(orderHistory[customer])),""),ROWS($A$15:A48)+$B$3)),INDEX(orderHistory[lock_goods],SMALL(IF(ISNUMBER(MATCH(orderHistory[status],$D$11,0)*MATCH(YEAR(orderHistory[invoice_date]),$D$15,0)),MATCH(ROW(orderHistory[customer]),ROW(orderHistory[customer])),""),ROWS($A$15:A48)+$B$3))),IF($D$15="",INDEX(orderHistory[lock_goods],SMALL(IF(ISNUMBER(MATCH(orderHistory[status],$D$11,0)*MATCH(orderHistory[order_type],$D$13,0)),MATCH(ROW(orderHistory[customer]),ROW(orderHistory[customer])),""),ROWS($A$15:A48)+$B$3)),INDEX(orderHistory[lock_goods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lock_goods],SMALL(IF(ISNUMBER(MATCH(orderHistory[customer],$D$9,0)),MATCH(ROW(orderHistory[customer]),ROW(orderHistory[customer])),""),ROWS($A$15:A48)+$B$3)),INDEX(orderHistory[lock_goods],SMALL(IF(ISNUMBER(MATCH(orderHistory[customer],$D$9,0)*MATCH(YEAR(orderHistory[invoice_date]),$D$15,0)),MATCH(ROW(orderHistory[customer]),ROW(orderHistory[customer])),""),ROWS($A$15:A48)+$B$3))),IF($D$15="",INDEX(orderHistory[lock_goods],SMALL(IF(ISNUMBER(MATCH(orderHistory[customer],$D$9,0)*MATCH(orderHistory[order_type],$D$13,0)),MATCH(ROW(orderHistory[customer]),ROW(orderHistory[customer])),""),ROWS($A$15:A48)+$B$3)),INDEX(orderHistory[lock_goods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lock_goods],SMALL(IF(ISNUMBER(MATCH(orderHistory[customer],$D$9,0)*MATCH(orderHistory[status],$D$11,0)),MATCH(ROW(orderHistory[customer]),ROW(orderHistory[customer])),""),ROWS($A$15:A48)+$B$3)),INDEX(orderHistory[lock_goods],SMALL(IF(ISNUMBER(MATCH(orderHistory[customer],$D$9,0)*MATCH(orderHistory[status],$D$11,0)*MATCH(YEAR(orderHistory[payed]),$D$15,0)),MATCH(ROW(orderHistory[customer]),ROW(orderHistory[customer])),""),ROWS($A$15:A48)+$B$3))),IF($D$15="",INDEX(orderHistory[lock_goods],SMALL(IF(ISNUMBER(MATCH(orderHistory[customer],$D$9,0)*MATCH(orderHistory[status],$D$11,0)*MATCH(orderHistory[order_type],$D$13,0)),MATCH(ROW(orderHistory[customer]),ROW(orderHistory[customer])),""),ROWS($A$15:A48)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GOODS SENT</v>
      </c>
      <c r="T43" s="388" t="b">
        <f t="array" ref="T43">IFERROR(IF($D$9="",IF($D$11="",IF($D$13="",IF($D$15="",INDEX(orderHistory[payed],SMALL(MATCH(ROW(orderHistory[customer]),ROW(orderHistory[customer])),ROWS($A$15:A48)+$B$3)),INDEX(orderHistory[payed],SMALL(IF(ISNUMBER(MATCH(YEAR(orderHistory[invoice_date]),$D$15,0)),MATCH(ROW(orderHistory[customer]),ROW(orderHistory[customer])),""),ROWS($A$15:A48)+$B$3))),IF($D$15="",INDEX(orderHistory[payed],SMALL(IF(ISNUMBER(MATCH(orderHistory[order_type],$D$13,0)),MATCH(ROW(orderHistory[customer]),ROW(orderHistory[customer])),""),ROWS($A$15:A48)+$B$3)),INDEX(orderHistory[payed],SMALL(IF(ISNUMBER(MATCH(orderHistory[order_type],$D$13,0)*MATCH(YEAR(orderHistory[invoice_date]),$D$15,0)),MATCH(ROW(orderHistory[customer]),ROW(orderHistory[customer])),""),ROWS($A$15:A48)+$B$3)))),IF($D$13="",IF($D$15="",INDEX(orderHistory[payed],SMALL(IF(ISNUMBER(MATCH(orderHistory[status],$D$11,0)),MATCH(ROW(orderHistory[customer]),ROW(orderHistory[customer])),""),ROWS($A$15:A48)+$B$3)),INDEX(orderHistory[payed],SMALL(IF(ISNUMBER(MATCH(orderHistory[status],$D$11,0)*MATCH(YEAR(orderHistory[invoice_date]),$D$15,0)),MATCH(ROW(orderHistory[customer]),ROW(orderHistory[customer])),""),ROWS($A$15:A48)+$B$3))),IF($D$15="",INDEX(orderHistory[payed],SMALL(IF(ISNUMBER(MATCH(orderHistory[status],$D$11,0)*MATCH(orderHistory[order_type],$D$13,0)),MATCH(ROW(orderHistory[customer]),ROW(orderHistory[customer])),""),ROWS($A$15:A48)+$B$3)),INDEX(orderHistory[payed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payed],SMALL(IF(ISNUMBER(MATCH(orderHistory[customer],$D$9,0)),MATCH(ROW(orderHistory[customer]),ROW(orderHistory[customer])),""),ROWS($A$15:A48)+$B$3)),INDEX(orderHistory[payed],SMALL(IF(ISNUMBER(MATCH(orderHistory[customer],$D$9,0)*MATCH(YEAR(orderHistory[invoice_date]),$D$15,0)),MATCH(ROW(orderHistory[customer]),ROW(orderHistory[customer])),""),ROWS($A$15:A48)+$B$3))),IF($D$15="",INDEX(orderHistory[payed],SMALL(IF(ISNUMBER(MATCH(orderHistory[customer],$D$9,0)*MATCH(orderHistory[order_type],$D$13,0)),MATCH(ROW(orderHistory[customer]),ROW(orderHistory[customer])),""),ROWS($A$15:A48)+$B$3)),INDEX(orderHistory[payed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payed],SMALL(IF(ISNUMBER(MATCH(orderHistory[customer],$D$9,0)*MATCH(orderHistory[status],$D$11,0)),MATCH(ROW(orderHistory[customer]),ROW(orderHistory[customer])),""),ROWS($A$15:A48)+$B$3)),INDEX(orderHistory[payed],SMALL(IF(ISNUMBER(MATCH(orderHistory[customer],$D$9,0)*MATCH(orderHistory[status],$D$11,0)*MATCH(YEAR(orderHistory[payed]),$D$15,0)),MATCH(ROW(orderHistory[customer]),ROW(orderHistory[customer])),""),ROWS($A$15:A48)+$B$3))),IF($D$15="",INDEX(orderHistory[payed],SMALL(IF(ISNUMBER(MATCH(orderHistory[customer],$D$9,0)*MATCH(orderHistory[status],$D$11,0)*MATCH(orderHistory[order_type],$D$13,0)),MATCH(ROW(orderHistory[customer]),ROW(orderHistory[customer])),""),ROWS($A$15:A48)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1</v>
      </c>
      <c r="U43" s="383" t="str">
        <f t="array" ref="U43">IFERROR(IF($D$9="",IF($D$11="",IF($D$13="",IF($D$15="",INDEX(orderHistory[shipping_method],SMALL(MATCH(ROW(orderHistory[customer]),ROW(orderHistory[customer])),ROWS($A$15:A48)+$B$3)),INDEX(orderHistory[shipping_method],SMALL(IF(ISNUMBER(MATCH(YEAR(orderHistory[invoice_date]),$D$15,0)),MATCH(ROW(orderHistory[customer]),ROW(orderHistory[customer])),""),ROWS($A$15:A48)+$B$3))),IF($D$15="",INDEX(orderHistory[shipping_method],SMALL(IF(ISNUMBER(MATCH(orderHistory[order_type],$D$13,0)),MATCH(ROW(orderHistory[customer]),ROW(orderHistory[customer])),""),ROWS($A$15:A48)+$B$3)),INDEX(orderHistory[shipping_method],SMALL(IF(ISNUMBER(MATCH(orderHistory[order_type],$D$13,0)*MATCH(YEAR(orderHistory[invoice_date]),$D$15,0)),MATCH(ROW(orderHistory[customer]),ROW(orderHistory[customer])),""),ROWS($A$15:A48)+$B$3)))),IF($D$13="",IF($D$15="",INDEX(orderHistory[shipping_method],SMALL(IF(ISNUMBER(MATCH(orderHistory[status],$D$11,0)),MATCH(ROW(orderHistory[customer]),ROW(orderHistory[customer])),""),ROWS($A$15:A48)+$B$3)),INDEX(orderHistory[shipping_method],SMALL(IF(ISNUMBER(MATCH(orderHistory[status],$D$11,0)*MATCH(YEAR(orderHistory[invoice_date]),$D$15,0)),MATCH(ROW(orderHistory[customer]),ROW(orderHistory[customer])),""),ROWS($A$15:A48)+$B$3))),IF($D$15="",INDEX(orderHistory[shipping_method],SMALL(IF(ISNUMBER(MATCH(orderHistory[status],$D$11,0)*MATCH(orderHistory[order_type],$D$13,0)),MATCH(ROW(orderHistory[customer]),ROW(orderHistory[customer])),""),ROWS($A$15:A48)+$B$3)),INDEX(orderHistory[shipping_method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shipping_method],SMALL(IF(ISNUMBER(MATCH(orderHistory[customer],$D$9,0)),MATCH(ROW(orderHistory[customer]),ROW(orderHistory[customer])),""),ROWS($A$15:A48)+$B$3)),INDEX(orderHistory[shipping_method],SMALL(IF(ISNUMBER(MATCH(orderHistory[customer],$D$9,0)*MATCH(YEAR(orderHistory[invoice_date]),$D$15,0)),MATCH(ROW(orderHistory[customer]),ROW(orderHistory[customer])),""),ROWS($A$15:A48)+$B$3))),IF($D$15="",INDEX(orderHistory[shipping_method],SMALL(IF(ISNUMBER(MATCH(orderHistory[customer],$D$9,0)*MATCH(orderHistory[order_type],$D$13,0)),MATCH(ROW(orderHistory[customer]),ROW(orderHistory[customer])),""),ROWS($A$15:A48)+$B$3)),INDEX(orderHistory[shipping_method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shipping_method],SMALL(IF(ISNUMBER(MATCH(orderHistory[customer],$D$9,0)*MATCH(orderHistory[status],$D$11,0)),MATCH(ROW(orderHistory[customer]),ROW(orderHistory[customer])),""),ROWS($A$15:A48)+$B$3)),INDEX(orderHistory[shipping_method],SMALL(IF(ISNUMBER(MATCH(orderHistory[customer],$D$9,0)*MATCH(orderHistory[status],$D$11,0)*MATCH(YEAR(orderHistory[shipping_method]),$D$15,0)),MATCH(ROW(orderHistory[customer]),ROW(orderHistory[customer])),""),ROWS($A$15:A48)+$B$3))),IF($D$15="",INDEX(orderHistory[shipping_method],SMALL(IF(ISNUMBER(MATCH(orderHistory[customer],$D$9,0)*MATCH(orderHistory[status],$D$11,0)*MATCH(orderHistory[order_type],$D$13,0)),MATCH(ROW(orderHistory[customer]),ROW(orderHistory[customer])),""),ROWS($A$15:A48)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BY ROAD</v>
      </c>
      <c r="V43" s="388" t="str">
        <f t="array" ref="V43">IFERROR(IF($D$9="",IF($D$11="",IF($D$13="",IF($D$15="",INDEX(orderHistory[status],SMALL(MATCH(ROW(orderHistory[customer]),ROW(orderHistory[customer])),ROWS($A$15:A48)+$B$3)),INDEX(orderHistory[status],SMALL(IF(ISNUMBER(MATCH(YEAR(orderHistory[invoice_date]),$D$15,0)),MATCH(ROW(orderHistory[customer]),ROW(orderHistory[customer])),""),ROWS($A$15:A48)+$B$3))),IF($D$15="",INDEX(orderHistory[status],SMALL(IF(ISNUMBER(MATCH(orderHistory[order_type],$D$13,0)),MATCH(ROW(orderHistory[customer]),ROW(orderHistory[customer])),""),ROWS($A$15:A48)+$B$3)),INDEX(orderHistory[status],SMALL(IF(ISNUMBER(MATCH(orderHistory[order_type],$D$13,0)*MATCH(YEAR(orderHistory[invoice_date]),$D$15,0)),MATCH(ROW(orderHistory[customer]),ROW(orderHistory[customer])),""),ROWS($A$15:A48)+$B$3)))),IF($D$13="",IF($D$15="",INDEX(orderHistory[status],SMALL(IF(ISNUMBER(MATCH(orderHistory[status],$D$11,0)),MATCH(ROW(orderHistory[customer]),ROW(orderHistory[customer])),""),ROWS($A$15:A48)+$B$3)),INDEX(orderHistory[status],SMALL(IF(ISNUMBER(MATCH(orderHistory[status],$D$11,0)*MATCH(YEAR(orderHistory[invoice_date]),$D$15,0)),MATCH(ROW(orderHistory[customer]),ROW(orderHistory[customer])),""),ROWS($A$15:A48)+$B$3))),IF($D$15="",INDEX(orderHistory[status],SMALL(IF(ISNUMBER(MATCH(orderHistory[status],$D$11,0)*MATCH(orderHistory[order_type],$D$13,0)),MATCH(ROW(orderHistory[customer]),ROW(orderHistory[customer])),""),ROWS($A$15:A48)+$B$3)),INDEX(orderHistory[status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status],SMALL(IF(ISNUMBER(MATCH(orderHistory[customer],$D$9,0)),MATCH(ROW(orderHistory[customer]),ROW(orderHistory[customer])),""),ROWS($A$15:A48)+$B$3)),INDEX(orderHistory[status],SMALL(IF(ISNUMBER(MATCH(orderHistory[customer],$D$9,0)*MATCH(YEAR(orderHistory[invoice_date]),$D$15,0)),MATCH(ROW(orderHistory[customer]),ROW(orderHistory[customer])),""),ROWS($A$15:A48)+$B$3))),IF($D$15="",INDEX(orderHistory[status],SMALL(IF(ISNUMBER(MATCH(orderHistory[customer],$D$9,0)*MATCH(orderHistory[order_type],$D$13,0)),MATCH(ROW(orderHistory[customer]),ROW(orderHistory[customer])),""),ROWS($A$15:A48)+$B$3)),INDEX(orderHistory[status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status],SMALL(IF(ISNUMBER(MATCH(orderHistory[customer],$D$9,0)*MATCH(orderHistory[status],$D$11,0)),MATCH(ROW(orderHistory[customer]),ROW(orderHistory[customer])),""),ROWS($A$15:A48)+$B$3)),INDEX(orderHistory[status],SMALL(IF(ISNUMBER(MATCH(orderHistory[customer],$D$9,0)*MATCH(orderHistory[status],$D$11,0)*MATCH(YEAR(orderHistory[status]),$D$15,0)),MATCH(ROW(orderHistory[customer]),ROW(orderHistory[customer])),""),ROWS($A$15:A48)+$B$3))),IF($D$15="",INDEX(orderHistory[status],SMALL(IF(ISNUMBER(MATCH(orderHistory[customer],$D$9,0)*MATCH(orderHistory[status],$D$11,0)*MATCH(orderHistory[order_type],$D$13,0)),MATCH(ROW(orderHistory[customer]),ROW(orderHistory[customer])),""),ROWS($A$15:A48)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SHIPPED</v>
      </c>
      <c r="W43" s="547" t="str">
        <f t="array" ref="W43">IFERROR(IF($D$9="",IF($D$11="",IF($D$13="",IF($D$15="",INDEX(orderHistory[custom_docs],SMALL(MATCH(ROW(orderHistory[customer]),ROW(orderHistory[customer])),ROWS($A$15:A48)+$B$3)),INDEX(orderHistory[custom_docs],SMALL(IF(ISNUMBER(MATCH(YEAR(orderHistory[invoice_date]),$D$15,0)),MATCH(ROW(orderHistory[customer]),ROW(orderHistory[customer])),""),ROWS($A$15:A48)+$B$3))),IF($D$15="",INDEX(orderHistory[custom_docs],SMALL(IF(ISNUMBER(MATCH(orderHistory[order_type],$D$13,0)),MATCH(ROW(orderHistory[customer]),ROW(orderHistory[customer])),""),ROWS($A$15:A48)+$B$3)),INDEX(orderHistory[custom_docs],SMALL(IF(ISNUMBER(MATCH(orderHistory[order_type],$D$13,0)*MATCH(YEAR(orderHistory[invoice_date]),$D$15,0)),MATCH(ROW(orderHistory[customer]),ROW(orderHistory[customer])),""),ROWS($A$15:A48)+$B$3)))),IF($D$13="",IF($D$15="",INDEX(orderHistory[custom_docs],SMALL(IF(ISNUMBER(MATCH(orderHistory[status],$D$11,0)),MATCH(ROW(orderHistory[customer]),ROW(orderHistory[customer])),""),ROWS($A$15:A48)+$B$3)),INDEX(orderHistory[custom_docs],SMALL(IF(ISNUMBER(MATCH(orderHistory[status],$D$11,0)*MATCH(YEAR(orderHistory[invoice_date]),$D$15,0)),MATCH(ROW(orderHistory[customer]),ROW(orderHistory[customer])),""),ROWS($A$15:A48)+$B$3))),IF($D$15="",INDEX(orderHistory[custom_docs],SMALL(IF(ISNUMBER(MATCH(orderHistory[status],$D$11,0)*MATCH(orderHistory[order_type],$D$13,0)),MATCH(ROW(orderHistory[customer]),ROW(orderHistory[customer])),""),ROWS($A$15:A48)+$B$3)),INDEX(orderHistory[custom_docs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custom_docs],SMALL(IF(ISNUMBER(MATCH(orderHistory[customer],$D$9,0)),MATCH(ROW(orderHistory[customer]),ROW(orderHistory[customer])),""),ROWS($A$15:A48)+$B$3)),INDEX(orderHistory[custom_docs],SMALL(IF(ISNUMBER(MATCH(orderHistory[customer],$D$9,0)*MATCH(YEAR(orderHistory[invoice_date]),$D$15,0)),MATCH(ROW(orderHistory[customer]),ROW(orderHistory[customer])),""),ROWS($A$15:A48)+$B$3))),IF($D$15="",INDEX(orderHistory[custom_docs],SMALL(IF(ISNUMBER(MATCH(orderHistory[customer],$D$9,0)*MATCH(orderHistory[order_type],$D$13,0)),MATCH(ROW(orderHistory[customer]),ROW(orderHistory[customer])),""),ROWS($A$15:A48)+$B$3)),INDEX(orderHistory[custom_docs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custom_docs],SMALL(IF(ISNUMBER(MATCH(orderHistory[customer],$D$9,0)*MATCH(orderHistory[status],$D$11,0)),MATCH(ROW(orderHistory[customer]),ROW(orderHistory[customer])),""),ROWS($A$15:A48)+$B$3)),INDEX(orderHistory[custom_docs],SMALL(IF(ISNUMBER(MATCH(orderHistory[customer],$D$9,0)*MATCH(orderHistory[status],$D$11,0)*MATCH(YEAR(orderHistory[status]),$D$15,0)),MATCH(ROW(orderHistory[customer]),ROW(orderHistory[customer])),""),ROWS($A$15:A48)+$B$3))),IF($D$15="",INDEX(orderHistory[custom_docs],SMALL(IF(ISNUMBER(MATCH(orderHistory[customer],$D$9,0)*MATCH(orderHistory[status],$D$11,0)*MATCH(orderHistory[order_type],$D$13,0)),MATCH(ROW(orderHistory[customer]),ROW(orderHistory[customer])),""),ROWS($A$15:A48)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OK</v>
      </c>
      <c r="BG43" s="215"/>
      <c r="BK43" s="296"/>
      <c r="BL43" s="297"/>
      <c r="BM43" s="298"/>
      <c r="BN43" s="297"/>
      <c r="BO43" s="298"/>
      <c r="BZ43" s="400"/>
      <c r="CA43" s="401" t="str">
        <f>IFERROR(IF(BZ43="","",INDEX(bhpc_data[description],MATCH(BZ43,bhpc_data[sku],0))),"")</f>
        <v/>
      </c>
      <c r="CB43" s="402"/>
      <c r="CC43" s="886"/>
      <c r="CD43" s="411"/>
      <c r="CE43" s="890"/>
      <c r="CF43" s="404"/>
      <c r="CG43" s="405" t="str">
        <f>IFERROR(ROUNDUP(CB43/INDEX(bhpc_data[units_per_carton],MATCH(BZ43,bhpc_data[sku],0)),0),"")</f>
        <v/>
      </c>
      <c r="CH43" s="406" t="str">
        <f>IFERROR(ROUNDUP(CD43/INDEX(bhpc_data[units_per_carton],MATCH(BZ43,bhpc_data[sku],0)),0),"")</f>
        <v/>
      </c>
      <c r="CI43" s="406" t="str">
        <f>IFERROR(ROUNDUP(CF43/INDEX(bhpc_data[units_per_carton],MATCH(BZ43,bhpc_data[sku])),0),"")</f>
        <v/>
      </c>
      <c r="CJ43" s="406" t="str">
        <f>IFERROR(((CB43+CD43+CF43)/INDEX(bhpc_data[units_per_carton],MATCH(BZ43,bhpc_data[sku],0)))*INDEX(bhpc_data[net_weight],MATCH(BZ43,bhpc_data[sku],0)),"")</f>
        <v/>
      </c>
      <c r="CK43" s="406" t="str">
        <f>IFERROR(((CB43+CD43+CF43)/INDEX(bhpc_data[units_per_carton],MATCH(BZ43,bhpc_data[sku],0)))*INDEX(bhpc_data[gross_weight],MATCH(BZ43,bhpc_data[sku],0)),"")</f>
        <v/>
      </c>
      <c r="CL43" s="602" t="str">
        <f>IFERROR((CB43+CD43+CF43)/INDEX(bhpc_data[units_per_carton],MATCH(BZ43,bhpc_data[sku],0))*INDEX(bhpc_data[length],MATCH(BZ43,bhpc_data[sku],0))*INDEX(bhpc_data[width],MATCH(BZ43,bhpc_data[sku],0))*INDEX(bhpc_data[height],MATCH(BZ43,bhpc_data[sku],0))/1000000000,"")</f>
        <v/>
      </c>
      <c r="CM43" s="407" t="str">
        <f>IFERROR(INDEX(bhpc_data[category],MATCH(BZ43,bhpc_data[sku],0)),"")</f>
        <v/>
      </c>
      <c r="CN43" s="407" t="str">
        <f>IFERROR(INDEX(bhpc_data[size],MATCH(BZ43,bhpc_data[sku],0)),"")</f>
        <v/>
      </c>
      <c r="CO43" s="408" t="str">
        <f>IFERROR(INDEX(bhpc_data[hs_code],MATCH(BZ43,bhpc_data[sku],0)),"")</f>
        <v/>
      </c>
      <c r="CP43" s="489" t="str">
        <f>IFERROR(INDEX(bhpc_data[sku_geko],MATCH(BZ43,bhpc_data[sku],0)),"")</f>
        <v/>
      </c>
      <c r="CQ43" s="404"/>
      <c r="CR43" s="517" t="str">
        <f>IFERROR(IF(BZ43="","",IF($BX$15="SALE",INDEX(inventory[COSTO UNITARIO],MATCH(BZ43,inventory[SKU],0)),IF($BX$15="SAMPLING",INDEX(inventory[COSTO UNITARIO],MATCH(BZ43,inventory[SKU],0)),""))),"")</f>
        <v/>
      </c>
      <c r="CS43" s="517" t="str">
        <f t="shared" si="7"/>
        <v/>
      </c>
      <c r="CT43" s="896" t="str">
        <f t="shared" si="8"/>
        <v/>
      </c>
      <c r="CU43" s="469" t="str">
        <f t="shared" si="0"/>
        <v/>
      </c>
      <c r="CV43" s="280"/>
      <c r="CW43" s="280"/>
      <c r="CX43" s="280"/>
      <c r="CY43" s="280"/>
      <c r="CZ43" s="280"/>
      <c r="DA43" s="280"/>
      <c r="DB43" s="280" t="str">
        <f>IFERROR(VLOOKUP(BZ43,bhpc_data[],22,FALSE),"")</f>
        <v/>
      </c>
      <c r="DH43" s="215"/>
      <c r="EE43" s="439" t="str" cm="1">
        <f t="array" ref="EE43">IFERROR(IF($EC$9="",IF($EC$11="",IF($EC$13="",INDEX(bhpc_data[sku],SMALL(MATCH(ROW(bhpc_data[sku]),ROW(bhpc_data[sku])),ROWS($A$15:A48)+$B$3)),INDEX(bhpc_data[sku],SMALL(IF(ISNUMBER(MATCH(bhpc_data[size],$EC$13,0)),MATCH(ROW(bhpc_data[sku]),ROW(bhpc_data[sku])),""),ROWS($A$15:A48)+$B$3))),IF($EC$13="",INDEX(bhpc_data[sku],SMALL(IF(ISNUMBER(MATCH(bhpc_data[sex],$EC$11,0)),MATCH(ROW(bhpc_data[sku]),ROW(bhpc_data[sku])),""),ROWS($A$15:A48)+$B$3)),INDEX(bhpc_data[sku],SMALL(IF(ISNUMBER(MATCH(bhpc_data[sex],$EC$11,0)*MATCH(bhpc_data[size],$EC$13,0)),MATCH(ROW(bhpc_data[sku]),ROW(bhpc_data[sku])),""),ROWS($A$15:A48)+$B$3)))),IF($EC$11="",IF($EC$13="",INDEX(bhpc_data[sku],SMALL(IF(ISNUMBER(MATCH(bhpc_data[category],$EC$9,0)),MATCH(ROW(bhpc_data[sku]),ROW(bhpc_data[sku])),""),ROWS($A$15:A48)+$B$3)),INDEX(bhpc_data[sku],SMALL(IF(ISNUMBER(MATCH(bhpc_data[category],$EC$9,0)*MATCH(bhpc_data[size],$EC$13,0)),MATCH(ROW(bhpc_data[sku]),ROW(bhpc_data[sku])),""),ROWS($A$15:A48)+$B$3))),IF($EC$13="",INDEX(bhpc_data[sku],SMALL(IF(ISNUMBER(MATCH(bhpc_data[category],$EC$9,0)*MATCH(bhpc_data[sex],$EC$11,0)),MATCH(ROW(bhpc_data[sku]),ROW(bhpc_data[sku])),""),ROWS($A$15:A48)+$B$3)),INDEX(bhpc_data[sku],SMALL(IF(ISNUMBER(MATCH(bhpc_data[category],$EC$9,0)*MATCH(bhpc_data[sex],$EC$11,0)*MATCH(bhpc_data[size],$EC$13,0)),MATCH(ROW(bhpc_data[sku]),ROW(bhpc_data[sku])),""),ROWS($A$15:A48)+$B$3))))),"")</f>
        <v>P06006</v>
      </c>
      <c r="EF43" s="440" t="str" cm="1">
        <f t="array" ref="EF43">IFERROR(IF($EC$9="",IF($EC$11="",IF($EC$13="",INDEX(bhpc_data[description],SMALL(MATCH(ROW(bhpc_data[sku]),ROW(bhpc_data[sku])),ROWS($A$15:A48)+$B$3)),INDEX(bhpc_data[description],SMALL(IF(ISNUMBER(MATCH(bhpc_data[size],$EC$13,0)),MATCH(ROW(bhpc_data[sku]),ROW(bhpc_data[sku])),""),ROWS($A$15:A48)+$B$3))),IF($EC$13="",INDEX(bhpc_data[description],SMALL(IF(ISNUMBER(MATCH(bhpc_data[sex],$EC$11,0)),MATCH(ROW(bhpc_data[sku]),ROW(bhpc_data[sku])),""),ROWS($A$15:A48)+$B$3)),INDEX(bhpc_data[description],SMALL(IF(ISNUMBER(MATCH(bhpc_data[sex],$EC$11,0)*MATCH(bhpc_data[size],$EC$13,0)),MATCH(ROW(bhpc_data[sku]),ROW(bhpc_data[sku])),""),ROWS($A$15:A48)+$B$3)))),IF($EC$11="",IF($EC$13="",INDEX(bhpc_data[description],SMALL(IF(ISNUMBER(MATCH(bhpc_data[category],$EC$9,0)),MATCH(ROW(bhpc_data[sku]),ROW(bhpc_data[sku])),""),ROWS($A$15:A48)+$B$3)),INDEX(bhpc_data[description],SMALL(IF(ISNUMBER(MATCH(bhpc_data[category],$EC$9,0)*MATCH(bhpc_data[size],$EC$13,0)),MATCH(ROW(bhpc_data[sku]),ROW(bhpc_data[sku])),""),ROWS($A$15:A48)+$B$3))),IF($EC$13="",INDEX(bhpc_data[description],SMALL(IF(ISNUMBER(MATCH(bhpc_data[category],$EC$9,0)*MATCH(bhpc_data[sex],$EC$11,0)),MATCH(ROW(bhpc_data[sku]),ROW(bhpc_data[sku])),""),ROWS($A$15:A48)+$B$3)),INDEX(bhpc_data[description],SMALL(IF(ISNUMBER(MATCH(bhpc_data[category],$EC$9,0)*MATCH(bhpc_data[sex],$EC$11,0)*MATCH(bhpc_data[size],$EC$13,0)),MATCH(ROW(bhpc_data[sku]),ROW(bhpc_data[sku])),""),ROWS($A$15:A48)+$B$3))))),"")</f>
        <v>BHPC PRESTIGE MYSTIQUE 100ML EDP WOMEN</v>
      </c>
      <c r="EG43" s="441">
        <f>IFERROR(IF('BHPC MANAGER'!$EE43="","",INDEX(inventory[ESISTENZA],MATCH('BHPC MANAGER'!$EE43,inventory[SKU],0))),0)</f>
        <v>1253</v>
      </c>
      <c r="EH43" s="442">
        <v>-52</v>
      </c>
      <c r="EI43" s="442">
        <f t="shared" si="1"/>
        <v>1201</v>
      </c>
      <c r="EJ43" s="443">
        <v>0</v>
      </c>
      <c r="EK43" s="444">
        <f t="shared" si="2"/>
        <v>1201</v>
      </c>
      <c r="EO43" s="215" t="str">
        <f t="array" ref="EO43">IFERROR(INDEX(orderHistory[order_no],SMALL(IF(ISNUMBER(MATCH(orderHistory[status],$EO$7,0)),MATCH(ROW(orderHistory[order_no]),ROW(orderHistory[order_no])),""),ROWS($A$15:A48))),"")</f>
        <v/>
      </c>
    </row>
    <row r="44" spans="6:228" ht="15" customHeight="1" x14ac:dyDescent="0.35">
      <c r="L44" s="381" t="str">
        <f t="array" ref="L44">IFERROR(IF($D$9="",IF($D$11="",IF($D$13="",IF($D$15="",INDEX(orderHistory[customer],SMALL(MATCH(ROW(orderHistory[customer]),ROW(orderHistory[customer])),ROWS($A$15:A49)+$B$3)),INDEX(orderHistory[customer],SMALL(IF(ISNUMBER(MATCH(YEAR(orderHistory[invoice_date]),$D$15,0)),MATCH(ROW(orderHistory[customer]),ROW(orderHistory[customer])),""),ROWS($A$15:A49)+$B$3))),IF($D$15="",INDEX(orderHistory[customer],SMALL(IF(ISNUMBER(MATCH(orderHistory[order_type],$D$13,0)),MATCH(ROW(orderHistory[customer]),ROW(orderHistory[customer])),""),ROWS($A$15:A49)+$B$3)),INDEX(orderHistory[customer],SMALL(IF(ISNUMBER(MATCH(orderHistory[order_type],$D$13,0)*MATCH(YEAR(orderHistory[invoice_date]),$D$15,0)),MATCH(ROW(orderHistory[customer]),ROW(orderHistory[customer])),""),ROWS($A$15:A49)+$B$3)))),IF($D$13="",IF($D$15="",INDEX(orderHistory[customer],SMALL(IF(ISNUMBER(MATCH(orderHistory[status],$D$11,0)),MATCH(ROW(orderHistory[customer]),ROW(orderHistory[customer])),""),ROWS($A$15:A49)+$B$3)),INDEX(orderHistory[customer],SMALL(IF(ISNUMBER(MATCH(orderHistory[status],$D$11,0)*MATCH(YEAR(orderHistory[invoice_date]),$D$15,0)),MATCH(ROW(orderHistory[customer]),ROW(orderHistory[customer])),""),ROWS($A$15:A49)+$B$3))),IF($D$15="",INDEX(orderHistory[customer],SMALL(IF(ISNUMBER(MATCH(orderHistory[status],$D$11,0)*MATCH(orderHistory[order_type],$D$13,0)),MATCH(ROW(orderHistory[customer]),ROW(orderHistory[customer])),""),ROWS($A$15:A49)+$B$3)),INDEX(orderHistory[customer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customer],SMALL(IF(ISNUMBER(MATCH(orderHistory[customer],$D$9,0)),MATCH(ROW(orderHistory[customer]),ROW(orderHistory[customer])),""),ROWS($A$15:A49)+$B$3)),INDEX(orderHistory[customer],SMALL(IF(ISNUMBER(MATCH(orderHistory[customer],$D$9,0)*MATCH(YEAR(orderHistory[invoice_date]),$D$15,0)),MATCH(ROW(orderHistory[customer]),ROW(orderHistory[customer])),""),ROWS($A$15:A49)+$B$3))),IF($D$15="",INDEX(orderHistory[customer],SMALL(IF(ISNUMBER(MATCH(orderHistory[customer],$D$9,0)*MATCH(orderHistory[order_type],$D$13,0)),MATCH(ROW(orderHistory[customer]),ROW(orderHistory[customer])),""),ROWS($A$15:A49)+$B$3)),INDEX(orderHistory[customer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customer],SMALL(IF(ISNUMBER(MATCH(orderHistory[customer],$D$9,0)*MATCH(orderHistory[status],$D$11,0)),MATCH(ROW(orderHistory[customer]),ROW(orderHistory[customer])),""),ROWS($A$15:A49)+$B$3)),INDEX(orderHistory[customer],SMALL(IF(ISNUMBER(MATCH(orderHistory[customer],$D$9,0)*MATCH(orderHistory[status],$D$11,0)*MATCH(YEAR(orderHistory[invoice_date]),$D$15,0)),MATCH(ROW(orderHistory[customer]),ROW(orderHistory[customer])),""),ROWS($A$15:A49)+$B$3))),IF($D$15="",INDEX(orderHistory[customer],SMALL(IF(ISNUMBER(MATCH(orderHistory[customer],$D$9,0)*MATCH(orderHistory[status],$D$11,0)*MATCH(orderHistory[order_type],$D$13,0)),MATCH(ROW(orderHistory[customer]),ROW(orderHistory[customer])),""),ROWS($A$15:A49)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4BEAUTY4YOU</v>
      </c>
      <c r="M44" s="382">
        <f t="array" ref="M44">IFERROR(IF($D$9="",IF($D$11="",IF($D$13="",IF($D$15="",INDEX(orderHistory[order_no],SMALL(MATCH(ROW(orderHistory[customer]),ROW(orderHistory[customer])),ROWS($A$15:A49)+$B$3)),INDEX(orderHistory[order_no],SMALL(IF(ISNUMBER(MATCH(YEAR(orderHistory[invoice_date]),$D$15,0)),MATCH(ROW(orderHistory[customer]),ROW(orderHistory[customer])),""),ROWS($A$15:A49)+$B$3))),IF($D$15="",INDEX(orderHistory[order_no],SMALL(IF(ISNUMBER(MATCH(orderHistory[order_type],$D$13,0)),MATCH(ROW(orderHistory[customer]),ROW(orderHistory[customer])),""),ROWS($A$15:A49)+$B$3)),INDEX(orderHistory[order_no],SMALL(IF(ISNUMBER(MATCH(orderHistory[order_type],$D$13,0)*MATCH(YEAR(orderHistory[invoice_date]),$D$15,0)),MATCH(ROW(orderHistory[customer]),ROW(orderHistory[customer])),""),ROWS($A$15:A49)+$B$3)))),IF($D$13="",IF($D$15="",INDEX(orderHistory[order_no],SMALL(IF(ISNUMBER(MATCH(orderHistory[status],$D$11,0)),MATCH(ROW(orderHistory[customer]),ROW(orderHistory[customer])),""),ROWS($A$15:A49)+$B$3)),INDEX(orderHistory[order_no],SMALL(IF(ISNUMBER(MATCH(orderHistory[status],$D$11,0)*MATCH(YEAR(orderHistory[invoice_date]),$D$15,0)),MATCH(ROW(orderHistory[customer]),ROW(orderHistory[customer])),""),ROWS($A$15:A49)+$B$3))),IF($D$15="",INDEX(orderHistory[order_no],SMALL(IF(ISNUMBER(MATCH(orderHistory[status],$D$11,0)*MATCH(orderHistory[order_type],$D$13,0)),MATCH(ROW(orderHistory[customer]),ROW(orderHistory[customer])),""),ROWS($A$15:A49)+$B$3)),INDEX(orderHistory[order_no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order_no],SMALL(IF(ISNUMBER(MATCH(orderHistory[customer],$D$9,0)),MATCH(ROW(orderHistory[customer]),ROW(orderHistory[customer])),""),ROWS($A$15:A49)+$B$3)),INDEX(orderHistory[order_no],SMALL(IF(ISNUMBER(MATCH(orderHistory[customer],$D$9,0)*MATCH(YEAR(orderHistory[invoice_date]),$D$15,0)),MATCH(ROW(orderHistory[customer]),ROW(orderHistory[customer])),""),ROWS($A$15:A49)+$B$3))),IF($D$15="",INDEX(orderHistory[order_no],SMALL(IF(ISNUMBER(MATCH(orderHistory[customer],$D$9,0)*MATCH(orderHistory[order_type],$D$13,0)),MATCH(ROW(orderHistory[customer]),ROW(orderHistory[customer])),""),ROWS($A$15:A49)+$B$3)),INDEX(orderHistory[order_no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order_no],SMALL(IF(ISNUMBER(MATCH(orderHistory[customer],$D$9,0)*MATCH(orderHistory[status],$D$11,0)),MATCH(ROW(orderHistory[customer]),ROW(orderHistory[customer])),""),ROWS($A$15:A49)+$B$3)),INDEX(orderHistory[order_no],SMALL(IF(ISNUMBER(MATCH(orderHistory[customer],$D$9,0)*MATCH(orderHistory[status],$D$11,0)*MATCH(YEAR(orderHistory[invoice_date]),$D$15,0)),MATCH(ROW(orderHistory[customer]),ROW(orderHistory[customer])),""),ROWS($A$15:A49)+$B$3))),IF($D$15="",INDEX(orderHistory[order_no],SMALL(IF(ISNUMBER(MATCH(orderHistory[customer],$D$9,0)*MATCH(orderHistory[status],$D$11,0)*MATCH(orderHistory[order_type],$D$13,0)),MATCH(ROW(orderHistory[customer]),ROW(orderHistory[customer])),""),ROWS($A$15:A49)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26</v>
      </c>
      <c r="N44" s="383" t="str">
        <f t="array" ref="N44">IFERROR(IF($D$9="",IF($D$11="",IF($D$13="",IF($D$15="",INDEX(orderHistory[order_type],SMALL(MATCH(ROW(orderHistory[customer]),ROW(orderHistory[customer])),ROWS($A$15:A49)+$B$3)),INDEX(orderHistory[order_type],SMALL(IF(ISNUMBER(MATCH(YEAR(orderHistory[invoice_date]),$D$15,0)),MATCH(ROW(orderHistory[customer]),ROW(orderHistory[customer])),""),ROWS($A$15:A49)+$B$3))),IF($D$15="",INDEX(orderHistory[order_type],SMALL(IF(ISNUMBER(MATCH(orderHistory[order_type],$D$13,0)),MATCH(ROW(orderHistory[customer]),ROW(orderHistory[customer])),""),ROWS($A$15:A49)+$B$3)),INDEX(orderHistory[order_type],SMALL(IF(ISNUMBER(MATCH(orderHistory[order_type],$D$13,0)*MATCH(YEAR(orderHistory[invoice_date]),$D$15,0)),MATCH(ROW(orderHistory[customer]),ROW(orderHistory[customer])),""),ROWS($A$15:A49)+$B$3)))),IF($D$13="",IF($D$15="",INDEX(orderHistory[order_type],SMALL(IF(ISNUMBER(MATCH(orderHistory[status],$D$11,0)),MATCH(ROW(orderHistory[customer]),ROW(orderHistory[customer])),""),ROWS($A$15:A49)+$B$3)),INDEX(orderHistory[order_type],SMALL(IF(ISNUMBER(MATCH(orderHistory[status],$D$11,0)*MATCH(YEAR(orderHistory[invoice_date]),$D$15,0)),MATCH(ROW(orderHistory[customer]),ROW(orderHistory[customer])),""),ROWS($A$15:A49)+$B$3))),IF($D$15="",INDEX(orderHistory[order_type],SMALL(IF(ISNUMBER(MATCH(orderHistory[status],$D$11,0)*MATCH(orderHistory[order_type],$D$13,0)),MATCH(ROW(orderHistory[customer]),ROW(orderHistory[customer])),""),ROWS($A$15:A49)+$B$3)),INDEX(orderHistory[order_type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order_type],SMALL(IF(ISNUMBER(MATCH(orderHistory[customer],$D$9,0)),MATCH(ROW(orderHistory[customer]),ROW(orderHistory[customer])),""),ROWS($A$15:A49)+$B$3)),INDEX(orderHistory[order_type],SMALL(IF(ISNUMBER(MATCH(orderHistory[customer],$D$9,0)*MATCH(YEAR(orderHistory[invoice_date]),$D$15,0)),MATCH(ROW(orderHistory[customer]),ROW(orderHistory[customer])),""),ROWS($A$15:A49)+$B$3))),IF($D$15="",INDEX(orderHistory[order_type],SMALL(IF(ISNUMBER(MATCH(orderHistory[customer],$D$9,0)*MATCH(orderHistory[order_type],$D$13,0)),MATCH(ROW(orderHistory[customer]),ROW(orderHistory[customer])),""),ROWS($A$15:A49)+$B$3)),INDEX(orderHistory[order_type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order_type],SMALL(IF(ISNUMBER(MATCH(orderHistory[customer],$D$9,0)*MATCH(orderHistory[status],$D$11,0)),MATCH(ROW(orderHistory[customer]),ROW(orderHistory[customer])),""),ROWS($A$15:A49)+$B$3)),INDEX(orderHistory[order_type],SMALL(IF(ISNUMBER(MATCH(orderHistory[customer],$D$9,0)*MATCH(orderHistory[status],$D$11,0)*MATCH(YEAR(orderHistory[invoice_date]),$D$15,0)),MATCH(ROW(orderHistory[customer]),ROW(orderHistory[customer])),""),ROWS($A$15:A49)+$B$3))),IF($D$15="",INDEX(orderHistory[order_type],SMALL(IF(ISNUMBER(MATCH(orderHistory[customer],$D$9,0)*MATCH(orderHistory[status],$D$11,0)*MATCH(orderHistory[order_type],$D$13,0)),MATCH(ROW(orderHistory[customer]),ROW(orderHistory[customer])),""),ROWS($A$15:A49)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SALE</v>
      </c>
      <c r="O44" s="384">
        <f t="array" ref="O44">IFERROR(IF($D$9="",IF($D$11="",IF($D$13="",IF($D$15="",INDEX(orderHistory[order_date],SMALL(MATCH(ROW(orderHistory[customer]),ROW(orderHistory[customer])),ROWS($A$15:A49)+$B$3)),INDEX(orderHistory[order_date],SMALL(IF(ISNUMBER(MATCH(YEAR(orderHistory[invoice_date]),$D$15,0)),MATCH(ROW(orderHistory[customer]),ROW(orderHistory[customer])),""),ROWS($A$15:A49)+$B$3))),IF($D$15="",INDEX(orderHistory[order_date],SMALL(IF(ISNUMBER(MATCH(orderHistory[order_type],$D$13,0)),MATCH(ROW(orderHistory[customer]),ROW(orderHistory[customer])),""),ROWS($A$15:A49)+$B$3)),INDEX(orderHistory[order_date],SMALL(IF(ISNUMBER(MATCH(orderHistory[order_type],$D$13,0)*MATCH(YEAR(orderHistory[invoice_date]),$D$15,0)),MATCH(ROW(orderHistory[customer]),ROW(orderHistory[customer])),""),ROWS($A$15:A49)+$B$3)))),IF($D$13="",IF($D$15="",INDEX(orderHistory[order_date],SMALL(IF(ISNUMBER(MATCH(orderHistory[status],$D$11,0)),MATCH(ROW(orderHistory[customer]),ROW(orderHistory[customer])),""),ROWS($A$15:A49)+$B$3)),INDEX(orderHistory[order_date],SMALL(IF(ISNUMBER(MATCH(orderHistory[status],$D$11,0)*MATCH(YEAR(orderHistory[invoice_date]),$D$15,0)),MATCH(ROW(orderHistory[customer]),ROW(orderHistory[customer])),""),ROWS($A$15:A49)+$B$3))),IF($D$15="",INDEX(orderHistory[order_date],SMALL(IF(ISNUMBER(MATCH(orderHistory[status],$D$11,0)*MATCH(orderHistory[order_type],$D$13,0)),MATCH(ROW(orderHistory[customer]),ROW(orderHistory[customer])),""),ROWS($A$15:A49)+$B$3)),INDEX(orderHistory[order_date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order_date],SMALL(IF(ISNUMBER(MATCH(orderHistory[customer],$D$9,0)),MATCH(ROW(orderHistory[customer]),ROW(orderHistory[customer])),""),ROWS($A$15:A49)+$B$3)),INDEX(orderHistory[order_date],SMALL(IF(ISNUMBER(MATCH(orderHistory[customer],$D$9,0)*MATCH(YEAR(orderHistory[invoice_date]),$D$15,0)),MATCH(ROW(orderHistory[customer]),ROW(orderHistory[customer])),""),ROWS($A$15:A49)+$B$3))),IF($D$15="",INDEX(orderHistory[order_date],SMALL(IF(ISNUMBER(MATCH(orderHistory[customer],$D$9,0)*MATCH(orderHistory[order_type],$D$13,0)),MATCH(ROW(orderHistory[customer]),ROW(orderHistory[customer])),""),ROWS($A$15:A49)+$B$3)),INDEX(orderHistory[order_date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order_date],SMALL(IF(ISNUMBER(MATCH(orderHistory[customer],$D$9,0)*MATCH(orderHistory[status],$D$11,0)),MATCH(ROW(orderHistory[customer]),ROW(orderHistory[customer])),""),ROWS($A$15:A49)+$B$3)),INDEX(orderHistory[order_date],SMALL(IF(ISNUMBER(MATCH(orderHistory[customer],$D$9,0)*MATCH(orderHistory[status],$D$11,0)*MATCH(YEAR(orderHistory[invoice_date]),$D$15,0)),MATCH(ROW(orderHistory[customer]),ROW(orderHistory[customer])),""),ROWS($A$15:A49)+$B$3))),IF($D$15="",INDEX(orderHistory[order_date],SMALL(IF(ISNUMBER(MATCH(orderHistory[customer],$D$9,0)*MATCH(orderHistory[status],$D$11,0)*MATCH(orderHistory[order_type],$D$13,0)),MATCH(ROW(orderHistory[customer]),ROW(orderHistory[customer])),""),ROWS($A$15:A49)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45373</v>
      </c>
      <c r="P44" s="385" t="str">
        <f t="array" ref="P44">IFERROR(IF($D$9="",IF($D$11="",IF($D$13="",IF($D$15="",INDEX(orderHistory[invoice_no],SMALL(MATCH(ROW(orderHistory[customer]),ROW(orderHistory[customer])),ROWS($A$15:A49)+$B$3)),INDEX(orderHistory[invoice_no],SMALL(IF(ISNUMBER(MATCH(YEAR(orderHistory[invoice_date]),$D$15,0)),MATCH(ROW(orderHistory[customer]),ROW(orderHistory[customer])),""),ROWS($A$15:A49)+$B$3))),IF($D$15="",INDEX(orderHistory[invoice_no],SMALL(IF(ISNUMBER(MATCH(orderHistory[order_type],$D$13,0)),MATCH(ROW(orderHistory[customer]),ROW(orderHistory[customer])),""),ROWS($A$15:A49)+$B$3)),INDEX(orderHistory[invoice_no],SMALL(IF(ISNUMBER(MATCH(orderHistory[order_type],$D$13,0)*MATCH(YEAR(orderHistory[invoice_date]),$D$15,0)),MATCH(ROW(orderHistory[customer]),ROW(orderHistory[customer])),""),ROWS($A$15:A49)+$B$3)))),IF($D$13="",IF($D$15="",INDEX(orderHistory[invoice_no],SMALL(IF(ISNUMBER(MATCH(orderHistory[status],$D$11,0)),MATCH(ROW(orderHistory[customer]),ROW(orderHistory[customer])),""),ROWS($A$15:A49)+$B$3)),INDEX(orderHistory[invoice_no],SMALL(IF(ISNUMBER(MATCH(orderHistory[status],$D$11,0)*MATCH(YEAR(orderHistory[invoice_date]),$D$15,0)),MATCH(ROW(orderHistory[customer]),ROW(orderHistory[customer])),""),ROWS($A$15:A49)+$B$3))),IF($D$15="",INDEX(orderHistory[invoice_no],SMALL(IF(ISNUMBER(MATCH(orderHistory[status],$D$11,0)*MATCH(orderHistory[order_type],$D$13,0)),MATCH(ROW(orderHistory[customer]),ROW(orderHistory[customer])),""),ROWS($A$15:A49)+$B$3)),INDEX(orderHistory[invoice_no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invoice_no],SMALL(IF(ISNUMBER(MATCH(orderHistory[customer],$D$9,0)),MATCH(ROW(orderHistory[customer]),ROW(orderHistory[customer])),""),ROWS($A$15:A49)+$B$3)),INDEX(orderHistory[invoice_no],SMALL(IF(ISNUMBER(MATCH(orderHistory[customer],$D$9,0)*MATCH(YEAR(orderHistory[invoice_date]),$D$15,0)),MATCH(ROW(orderHistory[customer]),ROW(orderHistory[customer])),""),ROWS($A$15:A49)+$B$3))),IF($D$15="",INDEX(orderHistory[invoice_no],SMALL(IF(ISNUMBER(MATCH(orderHistory[customer],$D$9,0)*MATCH(orderHistory[order_type],$D$13,0)),MATCH(ROW(orderHistory[customer]),ROW(orderHistory[customer])),""),ROWS($A$15:A49)+$B$3)),INDEX(orderHistory[invoice_no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invoice_no],SMALL(IF(ISNUMBER(MATCH(orderHistory[customer],$D$9,0)*MATCH(orderHistory[status],$D$11,0)),MATCH(ROW(orderHistory[customer]),ROW(orderHistory[customer])),""),ROWS($A$15:A49)+$B$3)),INDEX(orderHistory[invoice_no],SMALL(IF(ISNUMBER(MATCH(orderHistory[customer],$D$9,0)*MATCH(orderHistory[status],$D$11,0)*MATCH(YEAR(orderHistory[invoice_date]),$D$15,0)),MATCH(ROW(orderHistory[customer]),ROW(orderHistory[customer])),""),ROWS($A$15:A49)+$B$3))),IF($D$15="",INDEX(orderHistory[invoice_no],SMALL(IF(ISNUMBER(MATCH(orderHistory[customer],$D$9,0)*MATCH(orderHistory[status],$D$11,0)*MATCH(orderHistory[order_type],$D$13,0)),MATCH(ROW(orderHistory[customer]),ROW(orderHistory[customer])),""),ROWS($A$15:A49)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98</v>
      </c>
      <c r="Q44" s="386">
        <f t="array" ref="Q44">IFERROR(IF($D$9="",IF($D$11="",IF($D$13="",IF($D$15="",INDEX(orderHistory[invoice_date],SMALL(MATCH(ROW(orderHistory[customer]),ROW(orderHistory[customer])),ROWS($A$15:A49)+$B$3)),INDEX(orderHistory[invoice_date],SMALL(IF(ISNUMBER(MATCH(YEAR(orderHistory[invoice_date]),$D$15,0)),MATCH(ROW(orderHistory[customer]),ROW(orderHistory[customer])),""),ROWS($A$15:A49)+$B$3))),IF($D$15="",INDEX(orderHistory[invoice_date],SMALL(IF(ISNUMBER(MATCH(orderHistory[order_type],$D$13,0)),MATCH(ROW(orderHistory[customer]),ROW(orderHistory[customer])),""),ROWS($A$15:A49)+$B$3)),INDEX(orderHistory[invoice_date],SMALL(IF(ISNUMBER(MATCH(orderHistory[order_type],$D$13,0)*MATCH(YEAR(orderHistory[invoice_date]),$D$15,0)),MATCH(ROW(orderHistory[customer]),ROW(orderHistory[customer])),""),ROWS($A$15:A49)+$B$3)))),IF($D$13="",IF($D$15="",INDEX(orderHistory[invoice_date],SMALL(IF(ISNUMBER(MATCH(orderHistory[status],$D$11,0)),MATCH(ROW(orderHistory[customer]),ROW(orderHistory[customer])),""),ROWS($A$15:A49)+$B$3)),INDEX(orderHistory[invoice_date],SMALL(IF(ISNUMBER(MATCH(orderHistory[status],$D$11,0)*MATCH(YEAR(orderHistory[invoice_date]),$D$15,0)),MATCH(ROW(orderHistory[customer]),ROW(orderHistory[customer])),""),ROWS($A$15:A49)+$B$3))),IF($D$15="",INDEX(orderHistory[invoice_date],SMALL(IF(ISNUMBER(MATCH(orderHistory[status],$D$11,0)*MATCH(orderHistory[order_type],$D$13,0)),MATCH(ROW(orderHistory[customer]),ROW(orderHistory[customer])),""),ROWS($A$15:A49)+$B$3)),INDEX(orderHistory[invoice_date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invoice_date],SMALL(IF(ISNUMBER(MATCH(orderHistory[customer],$D$9,0)),MATCH(ROW(orderHistory[customer]),ROW(orderHistory[customer])),""),ROWS($A$15:A49)+$B$3)),INDEX(orderHistory[invoice_date],SMALL(IF(ISNUMBER(MATCH(orderHistory[customer],$D$9,0)*MATCH(YEAR(orderHistory[invoice_date]),$D$15,0)),MATCH(ROW(orderHistory[customer]),ROW(orderHistory[customer])),""),ROWS($A$15:A49)+$B$3))),IF($D$15="",INDEX(orderHistory[invoice_date],SMALL(IF(ISNUMBER(MATCH(orderHistory[customer],$D$9,0)*MATCH(orderHistory[order_type],$D$13,0)),MATCH(ROW(orderHistory[customer]),ROW(orderHistory[customer])),""),ROWS($A$15:A49)+$B$3)),INDEX(orderHistory[invoice_date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invoice_date],SMALL(IF(ISNUMBER(MATCH(orderHistory[customer],$D$9,0)*MATCH(orderHistory[status],$D$11,0)),MATCH(ROW(orderHistory[customer]),ROW(orderHistory[customer])),""),ROWS($A$15:A49)+$B$3)),INDEX(orderHistory[invoice_date],SMALL(IF(ISNUMBER(MATCH(orderHistory[customer],$D$9,0)*MATCH(orderHistory[status],$D$11,0)*MATCH(YEAR(orderHistory[invoice_date]),$D$15,0)),MATCH(ROW(orderHistory[customer]),ROW(orderHistory[customer])),""),ROWS($A$15:A49)+$B$3))),IF($D$15="",INDEX(orderHistory[invoice_date],SMALL(IF(ISNUMBER(MATCH(orderHistory[customer],$D$9,0)*MATCH(orderHistory[status],$D$11,0)*MATCH(orderHistory[order_type],$D$13,0)),MATCH(ROW(orderHistory[customer]),ROW(orderHistory[customer])),""),ROWS($A$15:A49)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45373</v>
      </c>
      <c r="R44" s="387">
        <f t="array" ref="R44">IFERROR(IF($D$9="",IF($D$11="",IF($D$13="",IF($D$15="",INDEX(orderHistory[inv_amount],SMALL(MATCH(ROW(orderHistory[customer]),ROW(orderHistory[customer])),ROWS($A$15:A49)+$B$3)),INDEX(orderHistory[inv_amount],SMALL(IF(ISNUMBER(MATCH(YEAR(orderHistory[invoice_date]),$D$15,0)),MATCH(ROW(orderHistory[customer]),ROW(orderHistory[customer])),""),ROWS($A$15:A49)+$B$3))),IF($D$15="",INDEX(orderHistory[inv_amount],SMALL(IF(ISNUMBER(MATCH(orderHistory[order_type],$D$13,0)),MATCH(ROW(orderHistory[customer]),ROW(orderHistory[customer])),""),ROWS($A$15:A49)+$B$3)),INDEX(orderHistory[inv_amount],SMALL(IF(ISNUMBER(MATCH(orderHistory[order_type],$D$13,0)*MATCH(YEAR(orderHistory[invoice_date]),$D$15,0)),MATCH(ROW(orderHistory[customer]),ROW(orderHistory[customer])),""),ROWS($A$15:A49)+$B$3)))),IF($D$13="",IF($D$15="",INDEX(orderHistory[inv_amount],SMALL(IF(ISNUMBER(MATCH(orderHistory[status],$D$11,0)),MATCH(ROW(orderHistory[customer]),ROW(orderHistory[customer])),""),ROWS($A$15:A49)+$B$3)),INDEX(orderHistory[inv_amount],SMALL(IF(ISNUMBER(MATCH(orderHistory[status],$D$11,0)*MATCH(YEAR(orderHistory[invoice_date]),$D$15,0)),MATCH(ROW(orderHistory[customer]),ROW(orderHistory[customer])),""),ROWS($A$15:A49)+$B$3))),IF($D$15="",INDEX(orderHistory[inv_amount],SMALL(IF(ISNUMBER(MATCH(orderHistory[status],$D$11,0)*MATCH(orderHistory[order_type],$D$13,0)),MATCH(ROW(orderHistory[customer]),ROW(orderHistory[customer])),""),ROWS($A$15:A49)+$B$3)),INDEX(orderHistory[inv_amount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inv_amount],SMALL(IF(ISNUMBER(MATCH(orderHistory[customer],$D$9,0)),MATCH(ROW(orderHistory[customer]),ROW(orderHistory[customer])),""),ROWS($A$15:A49)+$B$3)),INDEX(orderHistory[inv_amount],SMALL(IF(ISNUMBER(MATCH(orderHistory[customer],$D$9,0)*MATCH(YEAR(orderHistory[invoice_date]),$D$15,0)),MATCH(ROW(orderHistory[customer]),ROW(orderHistory[customer])),""),ROWS($A$15:A49)+$B$3))),IF($D$15="",INDEX(orderHistory[inv_amount],SMALL(IF(ISNUMBER(MATCH(orderHistory[customer],$D$9,0)*MATCH(orderHistory[order_type],$D$13,0)),MATCH(ROW(orderHistory[customer]),ROW(orderHistory[customer])),""),ROWS($A$15:A49)+$B$3)),INDEX(orderHistory[inv_amount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inv_amount],SMALL(IF(ISNUMBER(MATCH(orderHistory[customer],$D$9,0)*MATCH(orderHistory[status],$D$11,0)),MATCH(ROW(orderHistory[customer]),ROW(orderHistory[customer])),""),ROWS($A$15:A49)+$B$3)),INDEX(orderHistory[inv_amount],SMALL(IF(ISNUMBER(MATCH(orderHistory[customer],$D$9,0)*MATCH(orderHistory[status],$D$11,0)*MATCH(YEAR(orderHistory[inv_amount]),$D$15,0)),MATCH(ROW(orderHistory[customer]),ROW(orderHistory[customer])),""),ROWS($A$15:A49)+$B$3))),IF($D$15="",INDEX(orderHistory[inv_amount],SMALL(IF(ISNUMBER(MATCH(orderHistory[customer],$D$9,0)*MATCH(orderHistory[status],$D$11,0)*MATCH(orderHistory[order_type],$D$13,0)),MATCH(ROW(orderHistory[customer]),ROW(orderHistory[customer])),""),ROWS($A$15:A49)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47915.519999999997</v>
      </c>
      <c r="S44" s="465" t="str">
        <f t="array" ref="S44">IFERROR(IF($D$9="",IF($D$11="",IF($D$13="",IF($D$15="",INDEX(orderHistory[lock_goods],SMALL(MATCH(ROW(orderHistory[customer]),ROW(orderHistory[customer])),ROWS($A$15:A49)+$B$3)),INDEX(orderHistory[lock_goods],SMALL(IF(ISNUMBER(MATCH(YEAR(orderHistory[invoice_date]),$D$15,0)),MATCH(ROW(orderHistory[customer]),ROW(orderHistory[customer])),""),ROWS($A$15:A49)+$B$3))),IF($D$15="",INDEX(orderHistory[lock_goods],SMALL(IF(ISNUMBER(MATCH(orderHistory[order_type],$D$13,0)),MATCH(ROW(orderHistory[customer]),ROW(orderHistory[customer])),""),ROWS($A$15:A49)+$B$3)),INDEX(orderHistory[lock_goods],SMALL(IF(ISNUMBER(MATCH(orderHistory[order_type],$D$13,0)*MATCH(YEAR(orderHistory[invoice_date]),$D$15,0)),MATCH(ROW(orderHistory[customer]),ROW(orderHistory[customer])),""),ROWS($A$15:A49)+$B$3)))),IF($D$13="",IF($D$15="",INDEX(orderHistory[lock_goods],SMALL(IF(ISNUMBER(MATCH(orderHistory[status],$D$11,0)),MATCH(ROW(orderHistory[customer]),ROW(orderHistory[customer])),""),ROWS($A$15:A49)+$B$3)),INDEX(orderHistory[lock_goods],SMALL(IF(ISNUMBER(MATCH(orderHistory[status],$D$11,0)*MATCH(YEAR(orderHistory[invoice_date]),$D$15,0)),MATCH(ROW(orderHistory[customer]),ROW(orderHistory[customer])),""),ROWS($A$15:A49)+$B$3))),IF($D$15="",INDEX(orderHistory[lock_goods],SMALL(IF(ISNUMBER(MATCH(orderHistory[status],$D$11,0)*MATCH(orderHistory[order_type],$D$13,0)),MATCH(ROW(orderHistory[customer]),ROW(orderHistory[customer])),""),ROWS($A$15:A49)+$B$3)),INDEX(orderHistory[lock_goods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lock_goods],SMALL(IF(ISNUMBER(MATCH(orderHistory[customer],$D$9,0)),MATCH(ROW(orderHistory[customer]),ROW(orderHistory[customer])),""),ROWS($A$15:A49)+$B$3)),INDEX(orderHistory[lock_goods],SMALL(IF(ISNUMBER(MATCH(orderHistory[customer],$D$9,0)*MATCH(YEAR(orderHistory[invoice_date]),$D$15,0)),MATCH(ROW(orderHistory[customer]),ROW(orderHistory[customer])),""),ROWS($A$15:A49)+$B$3))),IF($D$15="",INDEX(orderHistory[lock_goods],SMALL(IF(ISNUMBER(MATCH(orderHistory[customer],$D$9,0)*MATCH(orderHistory[order_type],$D$13,0)),MATCH(ROW(orderHistory[customer]),ROW(orderHistory[customer])),""),ROWS($A$15:A49)+$B$3)),INDEX(orderHistory[lock_goods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lock_goods],SMALL(IF(ISNUMBER(MATCH(orderHistory[customer],$D$9,0)*MATCH(orderHistory[status],$D$11,0)),MATCH(ROW(orderHistory[customer]),ROW(orderHistory[customer])),""),ROWS($A$15:A49)+$B$3)),INDEX(orderHistory[lock_goods],SMALL(IF(ISNUMBER(MATCH(orderHistory[customer],$D$9,0)*MATCH(orderHistory[status],$D$11,0)*MATCH(YEAR(orderHistory[payed]),$D$15,0)),MATCH(ROW(orderHistory[customer]),ROW(orderHistory[customer])),""),ROWS($A$15:A49)+$B$3))),IF($D$15="",INDEX(orderHistory[lock_goods],SMALL(IF(ISNUMBER(MATCH(orderHistory[customer],$D$9,0)*MATCH(orderHistory[status],$D$11,0)*MATCH(orderHistory[order_type],$D$13,0)),MATCH(ROW(orderHistory[customer]),ROW(orderHistory[customer])),""),ROWS($A$15:A49)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GOODS SENT</v>
      </c>
      <c r="T44" s="388" t="b">
        <f t="array" ref="T44">IFERROR(IF($D$9="",IF($D$11="",IF($D$13="",IF($D$15="",INDEX(orderHistory[payed],SMALL(MATCH(ROW(orderHistory[customer]),ROW(orderHistory[customer])),ROWS($A$15:A49)+$B$3)),INDEX(orderHistory[payed],SMALL(IF(ISNUMBER(MATCH(YEAR(orderHistory[invoice_date]),$D$15,0)),MATCH(ROW(orderHistory[customer]),ROW(orderHistory[customer])),""),ROWS($A$15:A49)+$B$3))),IF($D$15="",INDEX(orderHistory[payed],SMALL(IF(ISNUMBER(MATCH(orderHistory[order_type],$D$13,0)),MATCH(ROW(orderHistory[customer]),ROW(orderHistory[customer])),""),ROWS($A$15:A49)+$B$3)),INDEX(orderHistory[payed],SMALL(IF(ISNUMBER(MATCH(orderHistory[order_type],$D$13,0)*MATCH(YEAR(orderHistory[invoice_date]),$D$15,0)),MATCH(ROW(orderHistory[customer]),ROW(orderHistory[customer])),""),ROWS($A$15:A49)+$B$3)))),IF($D$13="",IF($D$15="",INDEX(orderHistory[payed],SMALL(IF(ISNUMBER(MATCH(orderHistory[status],$D$11,0)),MATCH(ROW(orderHistory[customer]),ROW(orderHistory[customer])),""),ROWS($A$15:A49)+$B$3)),INDEX(orderHistory[payed],SMALL(IF(ISNUMBER(MATCH(orderHistory[status],$D$11,0)*MATCH(YEAR(orderHistory[invoice_date]),$D$15,0)),MATCH(ROW(orderHistory[customer]),ROW(orderHistory[customer])),""),ROWS($A$15:A49)+$B$3))),IF($D$15="",INDEX(orderHistory[payed],SMALL(IF(ISNUMBER(MATCH(orderHistory[status],$D$11,0)*MATCH(orderHistory[order_type],$D$13,0)),MATCH(ROW(orderHistory[customer]),ROW(orderHistory[customer])),""),ROWS($A$15:A49)+$B$3)),INDEX(orderHistory[payed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payed],SMALL(IF(ISNUMBER(MATCH(orderHistory[customer],$D$9,0)),MATCH(ROW(orderHistory[customer]),ROW(orderHistory[customer])),""),ROWS($A$15:A49)+$B$3)),INDEX(orderHistory[payed],SMALL(IF(ISNUMBER(MATCH(orderHistory[customer],$D$9,0)*MATCH(YEAR(orderHistory[invoice_date]),$D$15,0)),MATCH(ROW(orderHistory[customer]),ROW(orderHistory[customer])),""),ROWS($A$15:A49)+$B$3))),IF($D$15="",INDEX(orderHistory[payed],SMALL(IF(ISNUMBER(MATCH(orderHistory[customer],$D$9,0)*MATCH(orderHistory[order_type],$D$13,0)),MATCH(ROW(orderHistory[customer]),ROW(orderHistory[customer])),""),ROWS($A$15:A49)+$B$3)),INDEX(orderHistory[payed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payed],SMALL(IF(ISNUMBER(MATCH(orderHistory[customer],$D$9,0)*MATCH(orderHistory[status],$D$11,0)),MATCH(ROW(orderHistory[customer]),ROW(orderHistory[customer])),""),ROWS($A$15:A49)+$B$3)),INDEX(orderHistory[payed],SMALL(IF(ISNUMBER(MATCH(orderHistory[customer],$D$9,0)*MATCH(orderHistory[status],$D$11,0)*MATCH(YEAR(orderHistory[payed]),$D$15,0)),MATCH(ROW(orderHistory[customer]),ROW(orderHistory[customer])),""),ROWS($A$15:A49)+$B$3))),IF($D$15="",INDEX(orderHistory[payed],SMALL(IF(ISNUMBER(MATCH(orderHistory[customer],$D$9,0)*MATCH(orderHistory[status],$D$11,0)*MATCH(orderHistory[order_type],$D$13,0)),MATCH(ROW(orderHistory[customer]),ROW(orderHistory[customer])),""),ROWS($A$15:A49)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1</v>
      </c>
      <c r="U44" s="383" t="str">
        <f t="array" ref="U44">IFERROR(IF($D$9="",IF($D$11="",IF($D$13="",IF($D$15="",INDEX(orderHistory[shipping_method],SMALL(MATCH(ROW(orderHistory[customer]),ROW(orderHistory[customer])),ROWS($A$15:A49)+$B$3)),INDEX(orderHistory[shipping_method],SMALL(IF(ISNUMBER(MATCH(YEAR(orderHistory[invoice_date]),$D$15,0)),MATCH(ROW(orderHistory[customer]),ROW(orderHistory[customer])),""),ROWS($A$15:A49)+$B$3))),IF($D$15="",INDEX(orderHistory[shipping_method],SMALL(IF(ISNUMBER(MATCH(orderHistory[order_type],$D$13,0)),MATCH(ROW(orderHistory[customer]),ROW(orderHistory[customer])),""),ROWS($A$15:A49)+$B$3)),INDEX(orderHistory[shipping_method],SMALL(IF(ISNUMBER(MATCH(orderHistory[order_type],$D$13,0)*MATCH(YEAR(orderHistory[invoice_date]),$D$15,0)),MATCH(ROW(orderHistory[customer]),ROW(orderHistory[customer])),""),ROWS($A$15:A49)+$B$3)))),IF($D$13="",IF($D$15="",INDEX(orderHistory[shipping_method],SMALL(IF(ISNUMBER(MATCH(orderHistory[status],$D$11,0)),MATCH(ROW(orderHistory[customer]),ROW(orderHistory[customer])),""),ROWS($A$15:A49)+$B$3)),INDEX(orderHistory[shipping_method],SMALL(IF(ISNUMBER(MATCH(orderHistory[status],$D$11,0)*MATCH(YEAR(orderHistory[invoice_date]),$D$15,0)),MATCH(ROW(orderHistory[customer]),ROW(orderHistory[customer])),""),ROWS($A$15:A49)+$B$3))),IF($D$15="",INDEX(orderHistory[shipping_method],SMALL(IF(ISNUMBER(MATCH(orderHistory[status],$D$11,0)*MATCH(orderHistory[order_type],$D$13,0)),MATCH(ROW(orderHistory[customer]),ROW(orderHistory[customer])),""),ROWS($A$15:A49)+$B$3)),INDEX(orderHistory[shipping_method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shipping_method],SMALL(IF(ISNUMBER(MATCH(orderHistory[customer],$D$9,0)),MATCH(ROW(orderHistory[customer]),ROW(orderHistory[customer])),""),ROWS($A$15:A49)+$B$3)),INDEX(orderHistory[shipping_method],SMALL(IF(ISNUMBER(MATCH(orderHistory[customer],$D$9,0)*MATCH(YEAR(orderHistory[invoice_date]),$D$15,0)),MATCH(ROW(orderHistory[customer]),ROW(orderHistory[customer])),""),ROWS($A$15:A49)+$B$3))),IF($D$15="",INDEX(orderHistory[shipping_method],SMALL(IF(ISNUMBER(MATCH(orderHistory[customer],$D$9,0)*MATCH(orderHistory[order_type],$D$13,0)),MATCH(ROW(orderHistory[customer]),ROW(orderHistory[customer])),""),ROWS($A$15:A49)+$B$3)),INDEX(orderHistory[shipping_method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shipping_method],SMALL(IF(ISNUMBER(MATCH(orderHistory[customer],$D$9,0)*MATCH(orderHistory[status],$D$11,0)),MATCH(ROW(orderHistory[customer]),ROW(orderHistory[customer])),""),ROWS($A$15:A49)+$B$3)),INDEX(orderHistory[shipping_method],SMALL(IF(ISNUMBER(MATCH(orderHistory[customer],$D$9,0)*MATCH(orderHistory[status],$D$11,0)*MATCH(YEAR(orderHistory[shipping_method]),$D$15,0)),MATCH(ROW(orderHistory[customer]),ROW(orderHistory[customer])),""),ROWS($A$15:A49)+$B$3))),IF($D$15="",INDEX(orderHistory[shipping_method],SMALL(IF(ISNUMBER(MATCH(orderHistory[customer],$D$9,0)*MATCH(orderHistory[status],$D$11,0)*MATCH(orderHistory[order_type],$D$13,0)),MATCH(ROW(orderHistory[customer]),ROW(orderHistory[customer])),""),ROWS($A$15:A49)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BY ROAD</v>
      </c>
      <c r="V44" s="388" t="str">
        <f t="array" ref="V44">IFERROR(IF($D$9="",IF($D$11="",IF($D$13="",IF($D$15="",INDEX(orderHistory[status],SMALL(MATCH(ROW(orderHistory[customer]),ROW(orderHistory[customer])),ROWS($A$15:A49)+$B$3)),INDEX(orderHistory[status],SMALL(IF(ISNUMBER(MATCH(YEAR(orderHistory[invoice_date]),$D$15,0)),MATCH(ROW(orderHistory[customer]),ROW(orderHistory[customer])),""),ROWS($A$15:A49)+$B$3))),IF($D$15="",INDEX(orderHistory[status],SMALL(IF(ISNUMBER(MATCH(orderHistory[order_type],$D$13,0)),MATCH(ROW(orderHistory[customer]),ROW(orderHistory[customer])),""),ROWS($A$15:A49)+$B$3)),INDEX(orderHistory[status],SMALL(IF(ISNUMBER(MATCH(orderHistory[order_type],$D$13,0)*MATCH(YEAR(orderHistory[invoice_date]),$D$15,0)),MATCH(ROW(orderHistory[customer]),ROW(orderHistory[customer])),""),ROWS($A$15:A49)+$B$3)))),IF($D$13="",IF($D$15="",INDEX(orderHistory[status],SMALL(IF(ISNUMBER(MATCH(orderHistory[status],$D$11,0)),MATCH(ROW(orderHistory[customer]),ROW(orderHistory[customer])),""),ROWS($A$15:A49)+$B$3)),INDEX(orderHistory[status],SMALL(IF(ISNUMBER(MATCH(orderHistory[status],$D$11,0)*MATCH(YEAR(orderHistory[invoice_date]),$D$15,0)),MATCH(ROW(orderHistory[customer]),ROW(orderHistory[customer])),""),ROWS($A$15:A49)+$B$3))),IF($D$15="",INDEX(orderHistory[status],SMALL(IF(ISNUMBER(MATCH(orderHistory[status],$D$11,0)*MATCH(orderHistory[order_type],$D$13,0)),MATCH(ROW(orderHistory[customer]),ROW(orderHistory[customer])),""),ROWS($A$15:A49)+$B$3)),INDEX(orderHistory[status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status],SMALL(IF(ISNUMBER(MATCH(orderHistory[customer],$D$9,0)),MATCH(ROW(orderHistory[customer]),ROW(orderHistory[customer])),""),ROWS($A$15:A49)+$B$3)),INDEX(orderHistory[status],SMALL(IF(ISNUMBER(MATCH(orderHistory[customer],$D$9,0)*MATCH(YEAR(orderHistory[invoice_date]),$D$15,0)),MATCH(ROW(orderHistory[customer]),ROW(orderHistory[customer])),""),ROWS($A$15:A49)+$B$3))),IF($D$15="",INDEX(orderHistory[status],SMALL(IF(ISNUMBER(MATCH(orderHistory[customer],$D$9,0)*MATCH(orderHistory[order_type],$D$13,0)),MATCH(ROW(orderHistory[customer]),ROW(orderHistory[customer])),""),ROWS($A$15:A49)+$B$3)),INDEX(orderHistory[status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status],SMALL(IF(ISNUMBER(MATCH(orderHistory[customer],$D$9,0)*MATCH(orderHistory[status],$D$11,0)),MATCH(ROW(orderHistory[customer]),ROW(orderHistory[customer])),""),ROWS($A$15:A49)+$B$3)),INDEX(orderHistory[status],SMALL(IF(ISNUMBER(MATCH(orderHistory[customer],$D$9,0)*MATCH(orderHistory[status],$D$11,0)*MATCH(YEAR(orderHistory[status]),$D$15,0)),MATCH(ROW(orderHistory[customer]),ROW(orderHistory[customer])),""),ROWS($A$15:A49)+$B$3))),IF($D$15="",INDEX(orderHistory[status],SMALL(IF(ISNUMBER(MATCH(orderHistory[customer],$D$9,0)*MATCH(orderHistory[status],$D$11,0)*MATCH(orderHistory[order_type],$D$13,0)),MATCH(ROW(orderHistory[customer]),ROW(orderHistory[customer])),""),ROWS($A$15:A49)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SHIPPED</v>
      </c>
      <c r="W44" s="547" t="str">
        <f t="array" ref="W44">IFERROR(IF($D$9="",IF($D$11="",IF($D$13="",IF($D$15="",INDEX(orderHistory[custom_docs],SMALL(MATCH(ROW(orderHistory[customer]),ROW(orderHistory[customer])),ROWS($A$15:A49)+$B$3)),INDEX(orderHistory[custom_docs],SMALL(IF(ISNUMBER(MATCH(YEAR(orderHistory[invoice_date]),$D$15,0)),MATCH(ROW(orderHistory[customer]),ROW(orderHistory[customer])),""),ROWS($A$15:A49)+$B$3))),IF($D$15="",INDEX(orderHistory[custom_docs],SMALL(IF(ISNUMBER(MATCH(orderHistory[order_type],$D$13,0)),MATCH(ROW(orderHistory[customer]),ROW(orderHistory[customer])),""),ROWS($A$15:A49)+$B$3)),INDEX(orderHistory[custom_docs],SMALL(IF(ISNUMBER(MATCH(orderHistory[order_type],$D$13,0)*MATCH(YEAR(orderHistory[invoice_date]),$D$15,0)),MATCH(ROW(orderHistory[customer]),ROW(orderHistory[customer])),""),ROWS($A$15:A49)+$B$3)))),IF($D$13="",IF($D$15="",INDEX(orderHistory[custom_docs],SMALL(IF(ISNUMBER(MATCH(orderHistory[status],$D$11,0)),MATCH(ROW(orderHistory[customer]),ROW(orderHistory[customer])),""),ROWS($A$15:A49)+$B$3)),INDEX(orderHistory[custom_docs],SMALL(IF(ISNUMBER(MATCH(orderHistory[status],$D$11,0)*MATCH(YEAR(orderHistory[invoice_date]),$D$15,0)),MATCH(ROW(orderHistory[customer]),ROW(orderHistory[customer])),""),ROWS($A$15:A49)+$B$3))),IF($D$15="",INDEX(orderHistory[custom_docs],SMALL(IF(ISNUMBER(MATCH(orderHistory[status],$D$11,0)*MATCH(orderHistory[order_type],$D$13,0)),MATCH(ROW(orderHistory[customer]),ROW(orderHistory[customer])),""),ROWS($A$15:A49)+$B$3)),INDEX(orderHistory[custom_docs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custom_docs],SMALL(IF(ISNUMBER(MATCH(orderHistory[customer],$D$9,0)),MATCH(ROW(orderHistory[customer]),ROW(orderHistory[customer])),""),ROWS($A$15:A49)+$B$3)),INDEX(orderHistory[custom_docs],SMALL(IF(ISNUMBER(MATCH(orderHistory[customer],$D$9,0)*MATCH(YEAR(orderHistory[invoice_date]),$D$15,0)),MATCH(ROW(orderHistory[customer]),ROW(orderHistory[customer])),""),ROWS($A$15:A49)+$B$3))),IF($D$15="",INDEX(orderHistory[custom_docs],SMALL(IF(ISNUMBER(MATCH(orderHistory[customer],$D$9,0)*MATCH(orderHistory[order_type],$D$13,0)),MATCH(ROW(orderHistory[customer]),ROW(orderHistory[customer])),""),ROWS($A$15:A49)+$B$3)),INDEX(orderHistory[custom_docs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custom_docs],SMALL(IF(ISNUMBER(MATCH(orderHistory[customer],$D$9,0)*MATCH(orderHistory[status],$D$11,0)),MATCH(ROW(orderHistory[customer]),ROW(orderHistory[customer])),""),ROWS($A$15:A49)+$B$3)),INDEX(orderHistory[custom_docs],SMALL(IF(ISNUMBER(MATCH(orderHistory[customer],$D$9,0)*MATCH(orderHistory[status],$D$11,0)*MATCH(YEAR(orderHistory[status]),$D$15,0)),MATCH(ROW(orderHistory[customer]),ROW(orderHistory[customer])),""),ROWS($A$15:A49)+$B$3))),IF($D$15="",INDEX(orderHistory[custom_docs],SMALL(IF(ISNUMBER(MATCH(orderHistory[customer],$D$9,0)*MATCH(orderHistory[status],$D$11,0)*MATCH(orderHistory[order_type],$D$13,0)),MATCH(ROW(orderHistory[customer]),ROW(orderHistory[customer])),""),ROWS($A$15:A49)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OK</v>
      </c>
      <c r="BK44" s="296"/>
      <c r="BL44" s="297"/>
      <c r="BM44" s="298"/>
      <c r="BN44" s="297"/>
      <c r="BO44" s="298"/>
      <c r="BZ44" s="400"/>
      <c r="CA44" s="401" t="str">
        <f>IFERROR(IF(BZ44="","",INDEX(bhpc_data[description],MATCH(BZ44,bhpc_data[sku],0))),"")</f>
        <v/>
      </c>
      <c r="CB44" s="403"/>
      <c r="CC44" s="886"/>
      <c r="CD44" s="410"/>
      <c r="CE44" s="890"/>
      <c r="CF44" s="404"/>
      <c r="CG44" s="405" t="str">
        <f>IFERROR(ROUNDUP(CB44/INDEX(bhpc_data[units_per_carton],MATCH(BZ44,bhpc_data[sku],0)),0),"")</f>
        <v/>
      </c>
      <c r="CH44" s="406" t="str">
        <f>IFERROR(ROUNDUP(CD44/INDEX(bhpc_data[units_per_carton],MATCH(BZ44,bhpc_data[sku],0)),0),"")</f>
        <v/>
      </c>
      <c r="CI44" s="406" t="str">
        <f>IFERROR(ROUNDUP(CF44/INDEX(bhpc_data[units_per_carton],MATCH(BZ44,bhpc_data[sku])),0),"")</f>
        <v/>
      </c>
      <c r="CJ44" s="406" t="str">
        <f>IFERROR(((CB44+CD44+CF44)/INDEX(bhpc_data[units_per_carton],MATCH(BZ44,bhpc_data[sku],0)))*INDEX(bhpc_data[net_weight],MATCH(BZ44,bhpc_data[sku],0)),"")</f>
        <v/>
      </c>
      <c r="CK44" s="406" t="str">
        <f>IFERROR(((CB44+CD44+CF44)/INDEX(bhpc_data[units_per_carton],MATCH(BZ44,bhpc_data[sku],0)))*INDEX(bhpc_data[gross_weight],MATCH(BZ44,bhpc_data[sku],0)),"")</f>
        <v/>
      </c>
      <c r="CL44" s="602" t="str">
        <f>IFERROR((CB44+CD44+CF44)/INDEX(bhpc_data[units_per_carton],MATCH(BZ44,bhpc_data[sku],0))*INDEX(bhpc_data[length],MATCH(BZ44,bhpc_data[sku],0))*INDEX(bhpc_data[width],MATCH(BZ44,bhpc_data[sku],0))*INDEX(bhpc_data[height],MATCH(BZ44,bhpc_data[sku],0))/1000000000,"")</f>
        <v/>
      </c>
      <c r="CM44" s="407" t="str">
        <f>IFERROR(INDEX(bhpc_data[category],MATCH(BZ44,bhpc_data[sku],0)),"")</f>
        <v/>
      </c>
      <c r="CN44" s="407" t="str">
        <f>IFERROR(INDEX(bhpc_data[size],MATCH(BZ44,bhpc_data[sku],0)),"")</f>
        <v/>
      </c>
      <c r="CO44" s="408" t="str">
        <f>IFERROR(INDEX(bhpc_data[hs_code],MATCH(BZ44,bhpc_data[sku],0)),"")</f>
        <v/>
      </c>
      <c r="CP44" s="489" t="str">
        <f>IFERROR(INDEX(bhpc_data[sku_geko],MATCH(BZ44,bhpc_data[sku],0)),"")</f>
        <v/>
      </c>
      <c r="CQ44" s="404"/>
      <c r="CR44" s="517" t="str">
        <f>IFERROR(IF(BZ44="","",IF($BX$15="SALE",INDEX(inventory[COSTO UNITARIO],MATCH(BZ44,inventory[SKU],0)),IF($BX$15="SAMPLING",INDEX(inventory[COSTO UNITARIO],MATCH(BZ44,inventory[SKU],0)),""))),"")</f>
        <v/>
      </c>
      <c r="CS44" s="517" t="str">
        <f t="shared" si="7"/>
        <v/>
      </c>
      <c r="CT44" s="896" t="str">
        <f t="shared" si="8"/>
        <v/>
      </c>
      <c r="CU44" s="469" t="str">
        <f t="shared" si="0"/>
        <v/>
      </c>
      <c r="CV44" s="280"/>
      <c r="CW44" s="280"/>
      <c r="CX44" s="280"/>
      <c r="CY44" s="280"/>
      <c r="CZ44" s="280"/>
      <c r="DA44" s="280"/>
      <c r="DB44" s="280" t="str">
        <f>IFERROR(VLOOKUP(BZ44,bhpc_data[],22,FALSE),"")</f>
        <v/>
      </c>
      <c r="DH44" s="215"/>
      <c r="EE44" s="445" t="str" cm="1">
        <f t="array" ref="EE44">IFERROR(IF($EC$9="",IF($EC$11="",IF($EC$13="",INDEX(bhpc_data[sku],SMALL(MATCH(ROW(bhpc_data[sku]),ROW(bhpc_data[sku])),ROWS($A$15:A49)+$B$3)),INDEX(bhpc_data[sku],SMALL(IF(ISNUMBER(MATCH(bhpc_data[size],$EC$13,0)),MATCH(ROW(bhpc_data[sku]),ROW(bhpc_data[sku])),""),ROWS($A$15:A49)+$B$3))),IF($EC$13="",INDEX(bhpc_data[sku],SMALL(IF(ISNUMBER(MATCH(bhpc_data[sex],$EC$11,0)),MATCH(ROW(bhpc_data[sku]),ROW(bhpc_data[sku])),""),ROWS($A$15:A49)+$B$3)),INDEX(bhpc_data[sku],SMALL(IF(ISNUMBER(MATCH(bhpc_data[sex],$EC$11,0)*MATCH(bhpc_data[size],$EC$13,0)),MATCH(ROW(bhpc_data[sku]),ROW(bhpc_data[sku])),""),ROWS($A$15:A49)+$B$3)))),IF($EC$11="",IF($EC$13="",INDEX(bhpc_data[sku],SMALL(IF(ISNUMBER(MATCH(bhpc_data[category],$EC$9,0)),MATCH(ROW(bhpc_data[sku]),ROW(bhpc_data[sku])),""),ROWS($A$15:A49)+$B$3)),INDEX(bhpc_data[sku],SMALL(IF(ISNUMBER(MATCH(bhpc_data[category],$EC$9,0)*MATCH(bhpc_data[size],$EC$13,0)),MATCH(ROW(bhpc_data[sku]),ROW(bhpc_data[sku])),""),ROWS($A$15:A49)+$B$3))),IF($EC$13="",INDEX(bhpc_data[sku],SMALL(IF(ISNUMBER(MATCH(bhpc_data[category],$EC$9,0)*MATCH(bhpc_data[sex],$EC$11,0)),MATCH(ROW(bhpc_data[sku]),ROW(bhpc_data[sku])),""),ROWS($A$15:A49)+$B$3)),INDEX(bhpc_data[sku],SMALL(IF(ISNUMBER(MATCH(bhpc_data[category],$EC$9,0)*MATCH(bhpc_data[sex],$EC$11,0)*MATCH(bhpc_data[size],$EC$13,0)),MATCH(ROW(bhpc_data[sku]),ROW(bhpc_data[sku])),""),ROWS($A$15:A49)+$B$3))))),"")</f>
        <v>P06006I</v>
      </c>
      <c r="EF44" s="446" t="str" cm="1">
        <f t="array" ref="EF44">IFERROR(IF($EC$9="",IF($EC$11="",IF($EC$13="",INDEX(bhpc_data[description],SMALL(MATCH(ROW(bhpc_data[sku]),ROW(bhpc_data[sku])),ROWS($A$15:A49)+$B$3)),INDEX(bhpc_data[description],SMALL(IF(ISNUMBER(MATCH(bhpc_data[size],$EC$13,0)),MATCH(ROW(bhpc_data[sku]),ROW(bhpc_data[sku])),""),ROWS($A$15:A49)+$B$3))),IF($EC$13="",INDEX(bhpc_data[description],SMALL(IF(ISNUMBER(MATCH(bhpc_data[sex],$EC$11,0)),MATCH(ROW(bhpc_data[sku]),ROW(bhpc_data[sku])),""),ROWS($A$15:A49)+$B$3)),INDEX(bhpc_data[description],SMALL(IF(ISNUMBER(MATCH(bhpc_data[sex],$EC$11,0)*MATCH(bhpc_data[size],$EC$13,0)),MATCH(ROW(bhpc_data[sku]),ROW(bhpc_data[sku])),""),ROWS($A$15:A49)+$B$3)))),IF($EC$11="",IF($EC$13="",INDEX(bhpc_data[description],SMALL(IF(ISNUMBER(MATCH(bhpc_data[category],$EC$9,0)),MATCH(ROW(bhpc_data[sku]),ROW(bhpc_data[sku])),""),ROWS($A$15:A49)+$B$3)),INDEX(bhpc_data[description],SMALL(IF(ISNUMBER(MATCH(bhpc_data[category],$EC$9,0)*MATCH(bhpc_data[size],$EC$13,0)),MATCH(ROW(bhpc_data[sku]),ROW(bhpc_data[sku])),""),ROWS($A$15:A49)+$B$3))),IF($EC$13="",INDEX(bhpc_data[description],SMALL(IF(ISNUMBER(MATCH(bhpc_data[category],$EC$9,0)*MATCH(bhpc_data[sex],$EC$11,0)),MATCH(ROW(bhpc_data[sku]),ROW(bhpc_data[sku])),""),ROWS($A$15:A49)+$B$3)),INDEX(bhpc_data[description],SMALL(IF(ISNUMBER(MATCH(bhpc_data[category],$EC$9,0)*MATCH(bhpc_data[sex],$EC$11,0)*MATCH(bhpc_data[size],$EC$13,0)),MATCH(ROW(bhpc_data[sku]),ROW(bhpc_data[sku])),""),ROWS($A$15:A49)+$B$3))))),"")</f>
        <v>BHPC PRESTIGE MYSTIQUE INTENSE 100ML EDP WOMEN</v>
      </c>
      <c r="EG44" s="447">
        <f>IFERROR(IF('BHPC MANAGER'!$EE44="","",INDEX(inventory[ESISTENZA],MATCH('BHPC MANAGER'!$EE44,inventory[SKU],0))),0)</f>
        <v>2290</v>
      </c>
      <c r="EH44" s="448">
        <v>-109</v>
      </c>
      <c r="EI44" s="448">
        <f t="shared" si="1"/>
        <v>2181</v>
      </c>
      <c r="EJ44" s="449">
        <v>0</v>
      </c>
      <c r="EK44" s="450">
        <f t="shared" si="2"/>
        <v>2181</v>
      </c>
      <c r="EO44" s="215" t="str">
        <f t="array" ref="EO44">IFERROR(INDEX(orderHistory[order_no],SMALL(IF(ISNUMBER(MATCH(orderHistory[status],$EO$7,0)),MATCH(ROW(orderHistory[order_no]),ROW(orderHistory[order_no])),""),ROWS($A$15:A49))),"")</f>
        <v/>
      </c>
    </row>
    <row r="45" spans="6:228" ht="15" customHeight="1" x14ac:dyDescent="0.35">
      <c r="L45" s="381" t="str">
        <f t="array" ref="L45">IFERROR(IF($D$9="",IF($D$11="",IF($D$13="",IF($D$15="",INDEX(orderHistory[customer],SMALL(MATCH(ROW(orderHistory[customer]),ROW(orderHistory[customer])),ROWS($A$15:A50)+$B$3)),INDEX(orderHistory[customer],SMALL(IF(ISNUMBER(MATCH(YEAR(orderHistory[invoice_date]),$D$15,0)),MATCH(ROW(orderHistory[customer]),ROW(orderHistory[customer])),""),ROWS($A$15:A50)+$B$3))),IF($D$15="",INDEX(orderHistory[customer],SMALL(IF(ISNUMBER(MATCH(orderHistory[order_type],$D$13,0)),MATCH(ROW(orderHistory[customer]),ROW(orderHistory[customer])),""),ROWS($A$15:A50)+$B$3)),INDEX(orderHistory[customer],SMALL(IF(ISNUMBER(MATCH(orderHistory[order_type],$D$13,0)*MATCH(YEAR(orderHistory[invoice_date]),$D$15,0)),MATCH(ROW(orderHistory[customer]),ROW(orderHistory[customer])),""),ROWS($A$15:A50)+$B$3)))),IF($D$13="",IF($D$15="",INDEX(orderHistory[customer],SMALL(IF(ISNUMBER(MATCH(orderHistory[status],$D$11,0)),MATCH(ROW(orderHistory[customer]),ROW(orderHistory[customer])),""),ROWS($A$15:A50)+$B$3)),INDEX(orderHistory[customer],SMALL(IF(ISNUMBER(MATCH(orderHistory[status],$D$11,0)*MATCH(YEAR(orderHistory[invoice_date]),$D$15,0)),MATCH(ROW(orderHistory[customer]),ROW(orderHistory[customer])),""),ROWS($A$15:A50)+$B$3))),IF($D$15="",INDEX(orderHistory[customer],SMALL(IF(ISNUMBER(MATCH(orderHistory[status],$D$11,0)*MATCH(orderHistory[order_type],$D$13,0)),MATCH(ROW(orderHistory[customer]),ROW(orderHistory[customer])),""),ROWS($A$15:A50)+$B$3)),INDEX(orderHistory[customer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customer],SMALL(IF(ISNUMBER(MATCH(orderHistory[customer],$D$9,0)),MATCH(ROW(orderHistory[customer]),ROW(orderHistory[customer])),""),ROWS($A$15:A50)+$B$3)),INDEX(orderHistory[customer],SMALL(IF(ISNUMBER(MATCH(orderHistory[customer],$D$9,0)*MATCH(YEAR(orderHistory[invoice_date]),$D$15,0)),MATCH(ROW(orderHistory[customer]),ROW(orderHistory[customer])),""),ROWS($A$15:A50)+$B$3))),IF($D$15="",INDEX(orderHistory[customer],SMALL(IF(ISNUMBER(MATCH(orderHistory[customer],$D$9,0)*MATCH(orderHistory[order_type],$D$13,0)),MATCH(ROW(orderHistory[customer]),ROW(orderHistory[customer])),""),ROWS($A$15:A50)+$B$3)),INDEX(orderHistory[customer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customer],SMALL(IF(ISNUMBER(MATCH(orderHistory[customer],$D$9,0)*MATCH(orderHistory[status],$D$11,0)),MATCH(ROW(orderHistory[customer]),ROW(orderHistory[customer])),""),ROWS($A$15:A50)+$B$3)),INDEX(orderHistory[customer],SMALL(IF(ISNUMBER(MATCH(orderHistory[customer],$D$9,0)*MATCH(orderHistory[status],$D$11,0)*MATCH(YEAR(orderHistory[invoice_date]),$D$15,0)),MATCH(ROW(orderHistory[customer]),ROW(orderHistory[customer])),""),ROWS($A$15:A50)+$B$3))),IF($D$15="",INDEX(orderHistory[customer],SMALL(IF(ISNUMBER(MATCH(orderHistory[customer],$D$9,0)*MATCH(orderHistory[status],$D$11,0)*MATCH(orderHistory[order_type],$D$13,0)),MATCH(ROW(orderHistory[customer]),ROW(orderHistory[customer])),""),ROWS($A$15:A50)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4BEAUTY4YOU</v>
      </c>
      <c r="M45" s="382">
        <f t="array" ref="M45">IFERROR(IF($D$9="",IF($D$11="",IF($D$13="",IF($D$15="",INDEX(orderHistory[order_no],SMALL(MATCH(ROW(orderHistory[customer]),ROW(orderHistory[customer])),ROWS($A$15:A50)+$B$3)),INDEX(orderHistory[order_no],SMALL(IF(ISNUMBER(MATCH(YEAR(orderHistory[invoice_date]),$D$15,0)),MATCH(ROW(orderHistory[customer]),ROW(orderHistory[customer])),""),ROWS($A$15:A50)+$B$3))),IF($D$15="",INDEX(orderHistory[order_no],SMALL(IF(ISNUMBER(MATCH(orderHistory[order_type],$D$13,0)),MATCH(ROW(orderHistory[customer]),ROW(orderHistory[customer])),""),ROWS($A$15:A50)+$B$3)),INDEX(orderHistory[order_no],SMALL(IF(ISNUMBER(MATCH(orderHistory[order_type],$D$13,0)*MATCH(YEAR(orderHistory[invoice_date]),$D$15,0)),MATCH(ROW(orderHistory[customer]),ROW(orderHistory[customer])),""),ROWS($A$15:A50)+$B$3)))),IF($D$13="",IF($D$15="",INDEX(orderHistory[order_no],SMALL(IF(ISNUMBER(MATCH(orderHistory[status],$D$11,0)),MATCH(ROW(orderHistory[customer]),ROW(orderHistory[customer])),""),ROWS($A$15:A50)+$B$3)),INDEX(orderHistory[order_no],SMALL(IF(ISNUMBER(MATCH(orderHistory[status],$D$11,0)*MATCH(YEAR(orderHistory[invoice_date]),$D$15,0)),MATCH(ROW(orderHistory[customer]),ROW(orderHistory[customer])),""),ROWS($A$15:A50)+$B$3))),IF($D$15="",INDEX(orderHistory[order_no],SMALL(IF(ISNUMBER(MATCH(orderHistory[status],$D$11,0)*MATCH(orderHistory[order_type],$D$13,0)),MATCH(ROW(orderHistory[customer]),ROW(orderHistory[customer])),""),ROWS($A$15:A50)+$B$3)),INDEX(orderHistory[order_no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order_no],SMALL(IF(ISNUMBER(MATCH(orderHistory[customer],$D$9,0)),MATCH(ROW(orderHistory[customer]),ROW(orderHistory[customer])),""),ROWS($A$15:A50)+$B$3)),INDEX(orderHistory[order_no],SMALL(IF(ISNUMBER(MATCH(orderHistory[customer],$D$9,0)*MATCH(YEAR(orderHistory[invoice_date]),$D$15,0)),MATCH(ROW(orderHistory[customer]),ROW(orderHistory[customer])),""),ROWS($A$15:A50)+$B$3))),IF($D$15="",INDEX(orderHistory[order_no],SMALL(IF(ISNUMBER(MATCH(orderHistory[customer],$D$9,0)*MATCH(orderHistory[order_type],$D$13,0)),MATCH(ROW(orderHistory[customer]),ROW(orderHistory[customer])),""),ROWS($A$15:A50)+$B$3)),INDEX(orderHistory[order_no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order_no],SMALL(IF(ISNUMBER(MATCH(orderHistory[customer],$D$9,0)*MATCH(orderHistory[status],$D$11,0)),MATCH(ROW(orderHistory[customer]),ROW(orderHistory[customer])),""),ROWS($A$15:A50)+$B$3)),INDEX(orderHistory[order_no],SMALL(IF(ISNUMBER(MATCH(orderHistory[customer],$D$9,0)*MATCH(orderHistory[status],$D$11,0)*MATCH(YEAR(orderHistory[invoice_date]),$D$15,0)),MATCH(ROW(orderHistory[customer]),ROW(orderHistory[customer])),""),ROWS($A$15:A50)+$B$3))),IF($D$15="",INDEX(orderHistory[order_no],SMALL(IF(ISNUMBER(MATCH(orderHistory[customer],$D$9,0)*MATCH(orderHistory[status],$D$11,0)*MATCH(orderHistory[order_type],$D$13,0)),MATCH(ROW(orderHistory[customer]),ROW(orderHistory[customer])),""),ROWS($A$15:A50)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11</v>
      </c>
      <c r="N45" s="383" t="str">
        <f t="array" ref="N45">IFERROR(IF($D$9="",IF($D$11="",IF($D$13="",IF($D$15="",INDEX(orderHistory[order_type],SMALL(MATCH(ROW(orderHistory[customer]),ROW(orderHistory[customer])),ROWS($A$15:A50)+$B$3)),INDEX(orderHistory[order_type],SMALL(IF(ISNUMBER(MATCH(YEAR(orderHistory[invoice_date]),$D$15,0)),MATCH(ROW(orderHistory[customer]),ROW(orderHistory[customer])),""),ROWS($A$15:A50)+$B$3))),IF($D$15="",INDEX(orderHistory[order_type],SMALL(IF(ISNUMBER(MATCH(orderHistory[order_type],$D$13,0)),MATCH(ROW(orderHistory[customer]),ROW(orderHistory[customer])),""),ROWS($A$15:A50)+$B$3)),INDEX(orderHistory[order_type],SMALL(IF(ISNUMBER(MATCH(orderHistory[order_type],$D$13,0)*MATCH(YEAR(orderHistory[invoice_date]),$D$15,0)),MATCH(ROW(orderHistory[customer]),ROW(orderHistory[customer])),""),ROWS($A$15:A50)+$B$3)))),IF($D$13="",IF($D$15="",INDEX(orderHistory[order_type],SMALL(IF(ISNUMBER(MATCH(orderHistory[status],$D$11,0)),MATCH(ROW(orderHistory[customer]),ROW(orderHistory[customer])),""),ROWS($A$15:A50)+$B$3)),INDEX(orderHistory[order_type],SMALL(IF(ISNUMBER(MATCH(orderHistory[status],$D$11,0)*MATCH(YEAR(orderHistory[invoice_date]),$D$15,0)),MATCH(ROW(orderHistory[customer]),ROW(orderHistory[customer])),""),ROWS($A$15:A50)+$B$3))),IF($D$15="",INDEX(orderHistory[order_type],SMALL(IF(ISNUMBER(MATCH(orderHistory[status],$D$11,0)*MATCH(orderHistory[order_type],$D$13,0)),MATCH(ROW(orderHistory[customer]),ROW(orderHistory[customer])),""),ROWS($A$15:A50)+$B$3)),INDEX(orderHistory[order_type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order_type],SMALL(IF(ISNUMBER(MATCH(orderHistory[customer],$D$9,0)),MATCH(ROW(orderHistory[customer]),ROW(orderHistory[customer])),""),ROWS($A$15:A50)+$B$3)),INDEX(orderHistory[order_type],SMALL(IF(ISNUMBER(MATCH(orderHistory[customer],$D$9,0)*MATCH(YEAR(orderHistory[invoice_date]),$D$15,0)),MATCH(ROW(orderHistory[customer]),ROW(orderHistory[customer])),""),ROWS($A$15:A50)+$B$3))),IF($D$15="",INDEX(orderHistory[order_type],SMALL(IF(ISNUMBER(MATCH(orderHistory[customer],$D$9,0)*MATCH(orderHistory[order_type],$D$13,0)),MATCH(ROW(orderHistory[customer]),ROW(orderHistory[customer])),""),ROWS($A$15:A50)+$B$3)),INDEX(orderHistory[order_type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order_type],SMALL(IF(ISNUMBER(MATCH(orderHistory[customer],$D$9,0)*MATCH(orderHistory[status],$D$11,0)),MATCH(ROW(orderHistory[customer]),ROW(orderHistory[customer])),""),ROWS($A$15:A50)+$B$3)),INDEX(orderHistory[order_type],SMALL(IF(ISNUMBER(MATCH(orderHistory[customer],$D$9,0)*MATCH(orderHistory[status],$D$11,0)*MATCH(YEAR(orderHistory[invoice_date]),$D$15,0)),MATCH(ROW(orderHistory[customer]),ROW(orderHistory[customer])),""),ROWS($A$15:A50)+$B$3))),IF($D$15="",INDEX(orderHistory[order_type],SMALL(IF(ISNUMBER(MATCH(orderHistory[customer],$D$9,0)*MATCH(orderHistory[status],$D$11,0)*MATCH(orderHistory[order_type],$D$13,0)),MATCH(ROW(orderHistory[customer]),ROW(orderHistory[customer])),""),ROWS($A$15:A50)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SALE</v>
      </c>
      <c r="O45" s="384">
        <f t="array" ref="O45">IFERROR(IF($D$9="",IF($D$11="",IF($D$13="",IF($D$15="",INDEX(orderHistory[order_date],SMALL(MATCH(ROW(orderHistory[customer]),ROW(orderHistory[customer])),ROWS($A$15:A50)+$B$3)),INDEX(orderHistory[order_date],SMALL(IF(ISNUMBER(MATCH(YEAR(orderHistory[invoice_date]),$D$15,0)),MATCH(ROW(orderHistory[customer]),ROW(orderHistory[customer])),""),ROWS($A$15:A50)+$B$3))),IF($D$15="",INDEX(orderHistory[order_date],SMALL(IF(ISNUMBER(MATCH(orderHistory[order_type],$D$13,0)),MATCH(ROW(orderHistory[customer]),ROW(orderHistory[customer])),""),ROWS($A$15:A50)+$B$3)),INDEX(orderHistory[order_date],SMALL(IF(ISNUMBER(MATCH(orderHistory[order_type],$D$13,0)*MATCH(YEAR(orderHistory[invoice_date]),$D$15,0)),MATCH(ROW(orderHistory[customer]),ROW(orderHistory[customer])),""),ROWS($A$15:A50)+$B$3)))),IF($D$13="",IF($D$15="",INDEX(orderHistory[order_date],SMALL(IF(ISNUMBER(MATCH(orderHistory[status],$D$11,0)),MATCH(ROW(orderHistory[customer]),ROW(orderHistory[customer])),""),ROWS($A$15:A50)+$B$3)),INDEX(orderHistory[order_date],SMALL(IF(ISNUMBER(MATCH(orderHistory[status],$D$11,0)*MATCH(YEAR(orderHistory[invoice_date]),$D$15,0)),MATCH(ROW(orderHistory[customer]),ROW(orderHistory[customer])),""),ROWS($A$15:A50)+$B$3))),IF($D$15="",INDEX(orderHistory[order_date],SMALL(IF(ISNUMBER(MATCH(orderHistory[status],$D$11,0)*MATCH(orderHistory[order_type],$D$13,0)),MATCH(ROW(orderHistory[customer]),ROW(orderHistory[customer])),""),ROWS($A$15:A50)+$B$3)),INDEX(orderHistory[order_date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order_date],SMALL(IF(ISNUMBER(MATCH(orderHistory[customer],$D$9,0)),MATCH(ROW(orderHistory[customer]),ROW(orderHistory[customer])),""),ROWS($A$15:A50)+$B$3)),INDEX(orderHistory[order_date],SMALL(IF(ISNUMBER(MATCH(orderHistory[customer],$D$9,0)*MATCH(YEAR(orderHistory[invoice_date]),$D$15,0)),MATCH(ROW(orderHistory[customer]),ROW(orderHistory[customer])),""),ROWS($A$15:A50)+$B$3))),IF($D$15="",INDEX(orderHistory[order_date],SMALL(IF(ISNUMBER(MATCH(orderHistory[customer],$D$9,0)*MATCH(orderHistory[order_type],$D$13,0)),MATCH(ROW(orderHistory[customer]),ROW(orderHistory[customer])),""),ROWS($A$15:A50)+$B$3)),INDEX(orderHistory[order_date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order_date],SMALL(IF(ISNUMBER(MATCH(orderHistory[customer],$D$9,0)*MATCH(orderHistory[status],$D$11,0)),MATCH(ROW(orderHistory[customer]),ROW(orderHistory[customer])),""),ROWS($A$15:A50)+$B$3)),INDEX(orderHistory[order_date],SMALL(IF(ISNUMBER(MATCH(orderHistory[customer],$D$9,0)*MATCH(orderHistory[status],$D$11,0)*MATCH(YEAR(orderHistory[invoice_date]),$D$15,0)),MATCH(ROW(orderHistory[customer]),ROW(orderHistory[customer])),""),ROWS($A$15:A50)+$B$3))),IF($D$15="",INDEX(orderHistory[order_date],SMALL(IF(ISNUMBER(MATCH(orderHistory[customer],$D$9,0)*MATCH(orderHistory[status],$D$11,0)*MATCH(orderHistory[order_type],$D$13,0)),MATCH(ROW(orderHistory[customer]),ROW(orderHistory[customer])),""),ROWS($A$15:A50)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45352</v>
      </c>
      <c r="P45" s="385" t="str">
        <f t="array" ref="P45">IFERROR(IF($D$9="",IF($D$11="",IF($D$13="",IF($D$15="",INDEX(orderHistory[invoice_no],SMALL(MATCH(ROW(orderHistory[customer]),ROW(orderHistory[customer])),ROWS($A$15:A50)+$B$3)),INDEX(orderHistory[invoice_no],SMALL(IF(ISNUMBER(MATCH(YEAR(orderHistory[invoice_date]),$D$15,0)),MATCH(ROW(orderHistory[customer]),ROW(orderHistory[customer])),""),ROWS($A$15:A50)+$B$3))),IF($D$15="",INDEX(orderHistory[invoice_no],SMALL(IF(ISNUMBER(MATCH(orderHistory[order_type],$D$13,0)),MATCH(ROW(orderHistory[customer]),ROW(orderHistory[customer])),""),ROWS($A$15:A50)+$B$3)),INDEX(orderHistory[invoice_no],SMALL(IF(ISNUMBER(MATCH(orderHistory[order_type],$D$13,0)*MATCH(YEAR(orderHistory[invoice_date]),$D$15,0)),MATCH(ROW(orderHistory[customer]),ROW(orderHistory[customer])),""),ROWS($A$15:A50)+$B$3)))),IF($D$13="",IF($D$15="",INDEX(orderHistory[invoice_no],SMALL(IF(ISNUMBER(MATCH(orderHistory[status],$D$11,0)),MATCH(ROW(orderHistory[customer]),ROW(orderHistory[customer])),""),ROWS($A$15:A50)+$B$3)),INDEX(orderHistory[invoice_no],SMALL(IF(ISNUMBER(MATCH(orderHistory[status],$D$11,0)*MATCH(YEAR(orderHistory[invoice_date]),$D$15,0)),MATCH(ROW(orderHistory[customer]),ROW(orderHistory[customer])),""),ROWS($A$15:A50)+$B$3))),IF($D$15="",INDEX(orderHistory[invoice_no],SMALL(IF(ISNUMBER(MATCH(orderHistory[status],$D$11,0)*MATCH(orderHistory[order_type],$D$13,0)),MATCH(ROW(orderHistory[customer]),ROW(orderHistory[customer])),""),ROWS($A$15:A50)+$B$3)),INDEX(orderHistory[invoice_no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invoice_no],SMALL(IF(ISNUMBER(MATCH(orderHistory[customer],$D$9,0)),MATCH(ROW(orderHistory[customer]),ROW(orderHistory[customer])),""),ROWS($A$15:A50)+$B$3)),INDEX(orderHistory[invoice_no],SMALL(IF(ISNUMBER(MATCH(orderHistory[customer],$D$9,0)*MATCH(YEAR(orderHistory[invoice_date]),$D$15,0)),MATCH(ROW(orderHistory[customer]),ROW(orderHistory[customer])),""),ROWS($A$15:A50)+$B$3))),IF($D$15="",INDEX(orderHistory[invoice_no],SMALL(IF(ISNUMBER(MATCH(orderHistory[customer],$D$9,0)*MATCH(orderHistory[order_type],$D$13,0)),MATCH(ROW(orderHistory[customer]),ROW(orderHistory[customer])),""),ROWS($A$15:A50)+$B$3)),INDEX(orderHistory[invoice_no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invoice_no],SMALL(IF(ISNUMBER(MATCH(orderHistory[customer],$D$9,0)*MATCH(orderHistory[status],$D$11,0)),MATCH(ROW(orderHistory[customer]),ROW(orderHistory[customer])),""),ROWS($A$15:A50)+$B$3)),INDEX(orderHistory[invoice_no],SMALL(IF(ISNUMBER(MATCH(orderHistory[customer],$D$9,0)*MATCH(orderHistory[status],$D$11,0)*MATCH(YEAR(orderHistory[invoice_date]),$D$15,0)),MATCH(ROW(orderHistory[customer]),ROW(orderHistory[customer])),""),ROWS($A$15:A50)+$B$3))),IF($D$15="",INDEX(orderHistory[invoice_no],SMALL(IF(ISNUMBER(MATCH(orderHistory[customer],$D$9,0)*MATCH(orderHistory[status],$D$11,0)*MATCH(orderHistory[order_type],$D$13,0)),MATCH(ROW(orderHistory[customer]),ROW(orderHistory[customer])),""),ROWS($A$15:A50)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90</v>
      </c>
      <c r="Q45" s="386">
        <f t="array" ref="Q45">IFERROR(IF($D$9="",IF($D$11="",IF($D$13="",IF($D$15="",INDEX(orderHistory[invoice_date],SMALL(MATCH(ROW(orderHistory[customer]),ROW(orderHistory[customer])),ROWS($A$15:A50)+$B$3)),INDEX(orderHistory[invoice_date],SMALL(IF(ISNUMBER(MATCH(YEAR(orderHistory[invoice_date]),$D$15,0)),MATCH(ROW(orderHistory[customer]),ROW(orderHistory[customer])),""),ROWS($A$15:A50)+$B$3))),IF($D$15="",INDEX(orderHistory[invoice_date],SMALL(IF(ISNUMBER(MATCH(orderHistory[order_type],$D$13,0)),MATCH(ROW(orderHistory[customer]),ROW(orderHistory[customer])),""),ROWS($A$15:A50)+$B$3)),INDEX(orderHistory[invoice_date],SMALL(IF(ISNUMBER(MATCH(orderHistory[order_type],$D$13,0)*MATCH(YEAR(orderHistory[invoice_date]),$D$15,0)),MATCH(ROW(orderHistory[customer]),ROW(orderHistory[customer])),""),ROWS($A$15:A50)+$B$3)))),IF($D$13="",IF($D$15="",INDEX(orderHistory[invoice_date],SMALL(IF(ISNUMBER(MATCH(orderHistory[status],$D$11,0)),MATCH(ROW(orderHistory[customer]),ROW(orderHistory[customer])),""),ROWS($A$15:A50)+$B$3)),INDEX(orderHistory[invoice_date],SMALL(IF(ISNUMBER(MATCH(orderHistory[status],$D$11,0)*MATCH(YEAR(orderHistory[invoice_date]),$D$15,0)),MATCH(ROW(orderHistory[customer]),ROW(orderHistory[customer])),""),ROWS($A$15:A50)+$B$3))),IF($D$15="",INDEX(orderHistory[invoice_date],SMALL(IF(ISNUMBER(MATCH(orderHistory[status],$D$11,0)*MATCH(orderHistory[order_type],$D$13,0)),MATCH(ROW(orderHistory[customer]),ROW(orderHistory[customer])),""),ROWS($A$15:A50)+$B$3)),INDEX(orderHistory[invoice_date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invoice_date],SMALL(IF(ISNUMBER(MATCH(orderHistory[customer],$D$9,0)),MATCH(ROW(orderHistory[customer]),ROW(orderHistory[customer])),""),ROWS($A$15:A50)+$B$3)),INDEX(orderHistory[invoice_date],SMALL(IF(ISNUMBER(MATCH(orderHistory[customer],$D$9,0)*MATCH(YEAR(orderHistory[invoice_date]),$D$15,0)),MATCH(ROW(orderHistory[customer]),ROW(orderHistory[customer])),""),ROWS($A$15:A50)+$B$3))),IF($D$15="",INDEX(orderHistory[invoice_date],SMALL(IF(ISNUMBER(MATCH(orderHistory[customer],$D$9,0)*MATCH(orderHistory[order_type],$D$13,0)),MATCH(ROW(orderHistory[customer]),ROW(orderHistory[customer])),""),ROWS($A$15:A50)+$B$3)),INDEX(orderHistory[invoice_date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invoice_date],SMALL(IF(ISNUMBER(MATCH(orderHistory[customer],$D$9,0)*MATCH(orderHistory[status],$D$11,0)),MATCH(ROW(orderHistory[customer]),ROW(orderHistory[customer])),""),ROWS($A$15:A50)+$B$3)),INDEX(orderHistory[invoice_date],SMALL(IF(ISNUMBER(MATCH(orderHistory[customer],$D$9,0)*MATCH(orderHistory[status],$D$11,0)*MATCH(YEAR(orderHistory[invoice_date]),$D$15,0)),MATCH(ROW(orderHistory[customer]),ROW(orderHistory[customer])),""),ROWS($A$15:A50)+$B$3))),IF($D$15="",INDEX(orderHistory[invoice_date],SMALL(IF(ISNUMBER(MATCH(orderHistory[customer],$D$9,0)*MATCH(orderHistory[status],$D$11,0)*MATCH(orderHistory[order_type],$D$13,0)),MATCH(ROW(orderHistory[customer]),ROW(orderHistory[customer])),""),ROWS($A$15:A50)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45364</v>
      </c>
      <c r="R45" s="387">
        <f t="array" ref="R45">IFERROR(IF($D$9="",IF($D$11="",IF($D$13="",IF($D$15="",INDEX(orderHistory[inv_amount],SMALL(MATCH(ROW(orderHistory[customer]),ROW(orderHistory[customer])),ROWS($A$15:A50)+$B$3)),INDEX(orderHistory[inv_amount],SMALL(IF(ISNUMBER(MATCH(YEAR(orderHistory[invoice_date]),$D$15,0)),MATCH(ROW(orderHistory[customer]),ROW(orderHistory[customer])),""),ROWS($A$15:A50)+$B$3))),IF($D$15="",INDEX(orderHistory[inv_amount],SMALL(IF(ISNUMBER(MATCH(orderHistory[order_type],$D$13,0)),MATCH(ROW(orderHistory[customer]),ROW(orderHistory[customer])),""),ROWS($A$15:A50)+$B$3)),INDEX(orderHistory[inv_amount],SMALL(IF(ISNUMBER(MATCH(orderHistory[order_type],$D$13,0)*MATCH(YEAR(orderHistory[invoice_date]),$D$15,0)),MATCH(ROW(orderHistory[customer]),ROW(orderHistory[customer])),""),ROWS($A$15:A50)+$B$3)))),IF($D$13="",IF($D$15="",INDEX(orderHistory[inv_amount],SMALL(IF(ISNUMBER(MATCH(orderHistory[status],$D$11,0)),MATCH(ROW(orderHistory[customer]),ROW(orderHistory[customer])),""),ROWS($A$15:A50)+$B$3)),INDEX(orderHistory[inv_amount],SMALL(IF(ISNUMBER(MATCH(orderHistory[status],$D$11,0)*MATCH(YEAR(orderHistory[invoice_date]),$D$15,0)),MATCH(ROW(orderHistory[customer]),ROW(orderHistory[customer])),""),ROWS($A$15:A50)+$B$3))),IF($D$15="",INDEX(orderHistory[inv_amount],SMALL(IF(ISNUMBER(MATCH(orderHistory[status],$D$11,0)*MATCH(orderHistory[order_type],$D$13,0)),MATCH(ROW(orderHistory[customer]),ROW(orderHistory[customer])),""),ROWS($A$15:A50)+$B$3)),INDEX(orderHistory[inv_amount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inv_amount],SMALL(IF(ISNUMBER(MATCH(orderHistory[customer],$D$9,0)),MATCH(ROW(orderHistory[customer]),ROW(orderHistory[customer])),""),ROWS($A$15:A50)+$B$3)),INDEX(orderHistory[inv_amount],SMALL(IF(ISNUMBER(MATCH(orderHistory[customer],$D$9,0)*MATCH(YEAR(orderHistory[invoice_date]),$D$15,0)),MATCH(ROW(orderHistory[customer]),ROW(orderHistory[customer])),""),ROWS($A$15:A50)+$B$3))),IF($D$15="",INDEX(orderHistory[inv_amount],SMALL(IF(ISNUMBER(MATCH(orderHistory[customer],$D$9,0)*MATCH(orderHistory[order_type],$D$13,0)),MATCH(ROW(orderHistory[customer]),ROW(orderHistory[customer])),""),ROWS($A$15:A50)+$B$3)),INDEX(orderHistory[inv_amount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inv_amount],SMALL(IF(ISNUMBER(MATCH(orderHistory[customer],$D$9,0)*MATCH(orderHistory[status],$D$11,0)),MATCH(ROW(orderHistory[customer]),ROW(orderHistory[customer])),""),ROWS($A$15:A50)+$B$3)),INDEX(orderHistory[inv_amount],SMALL(IF(ISNUMBER(MATCH(orderHistory[customer],$D$9,0)*MATCH(orderHistory[status],$D$11,0)*MATCH(YEAR(orderHistory[inv_amount]),$D$15,0)),MATCH(ROW(orderHistory[customer]),ROW(orderHistory[customer])),""),ROWS($A$15:A50)+$B$3))),IF($D$15="",INDEX(orderHistory[inv_amount],SMALL(IF(ISNUMBER(MATCH(orderHistory[customer],$D$9,0)*MATCH(orderHistory[status],$D$11,0)*MATCH(orderHistory[order_type],$D$13,0)),MATCH(ROW(orderHistory[customer]),ROW(orderHistory[customer])),""),ROWS($A$15:A50)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7094.64</v>
      </c>
      <c r="S45" s="465" t="str">
        <f t="array" ref="S45">IFERROR(IF($D$9="",IF($D$11="",IF($D$13="",IF($D$15="",INDEX(orderHistory[lock_goods],SMALL(MATCH(ROW(orderHistory[customer]),ROW(orderHistory[customer])),ROWS($A$15:A50)+$B$3)),INDEX(orderHistory[lock_goods],SMALL(IF(ISNUMBER(MATCH(YEAR(orderHistory[invoice_date]),$D$15,0)),MATCH(ROW(orderHistory[customer]),ROW(orderHistory[customer])),""),ROWS($A$15:A50)+$B$3))),IF($D$15="",INDEX(orderHistory[lock_goods],SMALL(IF(ISNUMBER(MATCH(orderHistory[order_type],$D$13,0)),MATCH(ROW(orderHistory[customer]),ROW(orderHistory[customer])),""),ROWS($A$15:A50)+$B$3)),INDEX(orderHistory[lock_goods],SMALL(IF(ISNUMBER(MATCH(orderHistory[order_type],$D$13,0)*MATCH(YEAR(orderHistory[invoice_date]),$D$15,0)),MATCH(ROW(orderHistory[customer]),ROW(orderHistory[customer])),""),ROWS($A$15:A50)+$B$3)))),IF($D$13="",IF($D$15="",INDEX(orderHistory[lock_goods],SMALL(IF(ISNUMBER(MATCH(orderHistory[status],$D$11,0)),MATCH(ROW(orderHistory[customer]),ROW(orderHistory[customer])),""),ROWS($A$15:A50)+$B$3)),INDEX(orderHistory[lock_goods],SMALL(IF(ISNUMBER(MATCH(orderHistory[status],$D$11,0)*MATCH(YEAR(orderHistory[invoice_date]),$D$15,0)),MATCH(ROW(orderHistory[customer]),ROW(orderHistory[customer])),""),ROWS($A$15:A50)+$B$3))),IF($D$15="",INDEX(orderHistory[lock_goods],SMALL(IF(ISNUMBER(MATCH(orderHistory[status],$D$11,0)*MATCH(orderHistory[order_type],$D$13,0)),MATCH(ROW(orderHistory[customer]),ROW(orderHistory[customer])),""),ROWS($A$15:A50)+$B$3)),INDEX(orderHistory[lock_goods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lock_goods],SMALL(IF(ISNUMBER(MATCH(orderHistory[customer],$D$9,0)),MATCH(ROW(orderHistory[customer]),ROW(orderHistory[customer])),""),ROWS($A$15:A50)+$B$3)),INDEX(orderHistory[lock_goods],SMALL(IF(ISNUMBER(MATCH(orderHistory[customer],$D$9,0)*MATCH(YEAR(orderHistory[invoice_date]),$D$15,0)),MATCH(ROW(orderHistory[customer]),ROW(orderHistory[customer])),""),ROWS($A$15:A50)+$B$3))),IF($D$15="",INDEX(orderHistory[lock_goods],SMALL(IF(ISNUMBER(MATCH(orderHistory[customer],$D$9,0)*MATCH(orderHistory[order_type],$D$13,0)),MATCH(ROW(orderHistory[customer]),ROW(orderHistory[customer])),""),ROWS($A$15:A50)+$B$3)),INDEX(orderHistory[lock_goods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lock_goods],SMALL(IF(ISNUMBER(MATCH(orderHistory[customer],$D$9,0)*MATCH(orderHistory[status],$D$11,0)),MATCH(ROW(orderHistory[customer]),ROW(orderHistory[customer])),""),ROWS($A$15:A50)+$B$3)),INDEX(orderHistory[lock_goods],SMALL(IF(ISNUMBER(MATCH(orderHistory[customer],$D$9,0)*MATCH(orderHistory[status],$D$11,0)*MATCH(YEAR(orderHistory[payed]),$D$15,0)),MATCH(ROW(orderHistory[customer]),ROW(orderHistory[customer])),""),ROWS($A$15:A50)+$B$3))),IF($D$15="",INDEX(orderHistory[lock_goods],SMALL(IF(ISNUMBER(MATCH(orderHistory[customer],$D$9,0)*MATCH(orderHistory[status],$D$11,0)*MATCH(orderHistory[order_type],$D$13,0)),MATCH(ROW(orderHistory[customer]),ROW(orderHistory[customer])),""),ROWS($A$15:A50)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GOODS SENT</v>
      </c>
      <c r="T45" s="388" t="b">
        <f t="array" ref="T45">IFERROR(IF($D$9="",IF($D$11="",IF($D$13="",IF($D$15="",INDEX(orderHistory[payed],SMALL(MATCH(ROW(orderHistory[customer]),ROW(orderHistory[customer])),ROWS($A$15:A50)+$B$3)),INDEX(orderHistory[payed],SMALL(IF(ISNUMBER(MATCH(YEAR(orderHistory[invoice_date]),$D$15,0)),MATCH(ROW(orderHistory[customer]),ROW(orderHistory[customer])),""),ROWS($A$15:A50)+$B$3))),IF($D$15="",INDEX(orderHistory[payed],SMALL(IF(ISNUMBER(MATCH(orderHistory[order_type],$D$13,0)),MATCH(ROW(orderHistory[customer]),ROW(orderHistory[customer])),""),ROWS($A$15:A50)+$B$3)),INDEX(orderHistory[payed],SMALL(IF(ISNUMBER(MATCH(orderHistory[order_type],$D$13,0)*MATCH(YEAR(orderHistory[invoice_date]),$D$15,0)),MATCH(ROW(orderHistory[customer]),ROW(orderHistory[customer])),""),ROWS($A$15:A50)+$B$3)))),IF($D$13="",IF($D$15="",INDEX(orderHistory[payed],SMALL(IF(ISNUMBER(MATCH(orderHistory[status],$D$11,0)),MATCH(ROW(orderHistory[customer]),ROW(orderHistory[customer])),""),ROWS($A$15:A50)+$B$3)),INDEX(orderHistory[payed],SMALL(IF(ISNUMBER(MATCH(orderHistory[status],$D$11,0)*MATCH(YEAR(orderHistory[invoice_date]),$D$15,0)),MATCH(ROW(orderHistory[customer]),ROW(orderHistory[customer])),""),ROWS($A$15:A50)+$B$3))),IF($D$15="",INDEX(orderHistory[payed],SMALL(IF(ISNUMBER(MATCH(orderHistory[status],$D$11,0)*MATCH(orderHistory[order_type],$D$13,0)),MATCH(ROW(orderHistory[customer]),ROW(orderHistory[customer])),""),ROWS($A$15:A50)+$B$3)),INDEX(orderHistory[payed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payed],SMALL(IF(ISNUMBER(MATCH(orderHistory[customer],$D$9,0)),MATCH(ROW(orderHistory[customer]),ROW(orderHistory[customer])),""),ROWS($A$15:A50)+$B$3)),INDEX(orderHistory[payed],SMALL(IF(ISNUMBER(MATCH(orderHistory[customer],$D$9,0)*MATCH(YEAR(orderHistory[invoice_date]),$D$15,0)),MATCH(ROW(orderHistory[customer]),ROW(orderHistory[customer])),""),ROWS($A$15:A50)+$B$3))),IF($D$15="",INDEX(orderHistory[payed],SMALL(IF(ISNUMBER(MATCH(orderHistory[customer],$D$9,0)*MATCH(orderHistory[order_type],$D$13,0)),MATCH(ROW(orderHistory[customer]),ROW(orderHistory[customer])),""),ROWS($A$15:A50)+$B$3)),INDEX(orderHistory[payed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payed],SMALL(IF(ISNUMBER(MATCH(orderHistory[customer],$D$9,0)*MATCH(orderHistory[status],$D$11,0)),MATCH(ROW(orderHistory[customer]),ROW(orderHistory[customer])),""),ROWS($A$15:A50)+$B$3)),INDEX(orderHistory[payed],SMALL(IF(ISNUMBER(MATCH(orderHistory[customer],$D$9,0)*MATCH(orderHistory[status],$D$11,0)*MATCH(YEAR(orderHistory[payed]),$D$15,0)),MATCH(ROW(orderHistory[customer]),ROW(orderHistory[customer])),""),ROWS($A$15:A50)+$B$3))),IF($D$15="",INDEX(orderHistory[payed],SMALL(IF(ISNUMBER(MATCH(orderHistory[customer],$D$9,0)*MATCH(orderHistory[status],$D$11,0)*MATCH(orderHistory[order_type],$D$13,0)),MATCH(ROW(orderHistory[customer]),ROW(orderHistory[customer])),""),ROWS($A$15:A50)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1</v>
      </c>
      <c r="U45" s="383" t="str">
        <f t="array" ref="U45">IFERROR(IF($D$9="",IF($D$11="",IF($D$13="",IF($D$15="",INDEX(orderHistory[shipping_method],SMALL(MATCH(ROW(orderHistory[customer]),ROW(orderHistory[customer])),ROWS($A$15:A50)+$B$3)),INDEX(orderHistory[shipping_method],SMALL(IF(ISNUMBER(MATCH(YEAR(orderHistory[invoice_date]),$D$15,0)),MATCH(ROW(orderHistory[customer]),ROW(orderHistory[customer])),""),ROWS($A$15:A50)+$B$3))),IF($D$15="",INDEX(orderHistory[shipping_method],SMALL(IF(ISNUMBER(MATCH(orderHistory[order_type],$D$13,0)),MATCH(ROW(orderHistory[customer]),ROW(orderHistory[customer])),""),ROWS($A$15:A50)+$B$3)),INDEX(orderHistory[shipping_method],SMALL(IF(ISNUMBER(MATCH(orderHistory[order_type],$D$13,0)*MATCH(YEAR(orderHistory[invoice_date]),$D$15,0)),MATCH(ROW(orderHistory[customer]),ROW(orderHistory[customer])),""),ROWS($A$15:A50)+$B$3)))),IF($D$13="",IF($D$15="",INDEX(orderHistory[shipping_method],SMALL(IF(ISNUMBER(MATCH(orderHistory[status],$D$11,0)),MATCH(ROW(orderHistory[customer]),ROW(orderHistory[customer])),""),ROWS($A$15:A50)+$B$3)),INDEX(orderHistory[shipping_method],SMALL(IF(ISNUMBER(MATCH(orderHistory[status],$D$11,0)*MATCH(YEAR(orderHistory[invoice_date]),$D$15,0)),MATCH(ROW(orderHistory[customer]),ROW(orderHistory[customer])),""),ROWS($A$15:A50)+$B$3))),IF($D$15="",INDEX(orderHistory[shipping_method],SMALL(IF(ISNUMBER(MATCH(orderHistory[status],$D$11,0)*MATCH(orderHistory[order_type],$D$13,0)),MATCH(ROW(orderHistory[customer]),ROW(orderHistory[customer])),""),ROWS($A$15:A50)+$B$3)),INDEX(orderHistory[shipping_method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shipping_method],SMALL(IF(ISNUMBER(MATCH(orderHistory[customer],$D$9,0)),MATCH(ROW(orderHistory[customer]),ROW(orderHistory[customer])),""),ROWS($A$15:A50)+$B$3)),INDEX(orderHistory[shipping_method],SMALL(IF(ISNUMBER(MATCH(orderHistory[customer],$D$9,0)*MATCH(YEAR(orderHistory[invoice_date]),$D$15,0)),MATCH(ROW(orderHistory[customer]),ROW(orderHistory[customer])),""),ROWS($A$15:A50)+$B$3))),IF($D$15="",INDEX(orderHistory[shipping_method],SMALL(IF(ISNUMBER(MATCH(orderHistory[customer],$D$9,0)*MATCH(orderHistory[order_type],$D$13,0)),MATCH(ROW(orderHistory[customer]),ROW(orderHistory[customer])),""),ROWS($A$15:A50)+$B$3)),INDEX(orderHistory[shipping_method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shipping_method],SMALL(IF(ISNUMBER(MATCH(orderHistory[customer],$D$9,0)*MATCH(orderHistory[status],$D$11,0)),MATCH(ROW(orderHistory[customer]),ROW(orderHistory[customer])),""),ROWS($A$15:A50)+$B$3)),INDEX(orderHistory[shipping_method],SMALL(IF(ISNUMBER(MATCH(orderHistory[customer],$D$9,0)*MATCH(orderHistory[status],$D$11,0)*MATCH(YEAR(orderHistory[shipping_method]),$D$15,0)),MATCH(ROW(orderHistory[customer]),ROW(orderHistory[customer])),""),ROWS($A$15:A50)+$B$3))),IF($D$15="",INDEX(orderHistory[shipping_method],SMALL(IF(ISNUMBER(MATCH(orderHistory[customer],$D$9,0)*MATCH(orderHistory[status],$D$11,0)*MATCH(orderHistory[order_type],$D$13,0)),MATCH(ROW(orderHistory[customer]),ROW(orderHistory[customer])),""),ROWS($A$15:A50)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BY ROAD</v>
      </c>
      <c r="V45" s="388" t="str">
        <f t="array" ref="V45">IFERROR(IF($D$9="",IF($D$11="",IF($D$13="",IF($D$15="",INDEX(orderHistory[status],SMALL(MATCH(ROW(orderHistory[customer]),ROW(orderHistory[customer])),ROWS($A$15:A50)+$B$3)),INDEX(orderHistory[status],SMALL(IF(ISNUMBER(MATCH(YEAR(orderHistory[invoice_date]),$D$15,0)),MATCH(ROW(orderHistory[customer]),ROW(orderHistory[customer])),""),ROWS($A$15:A50)+$B$3))),IF($D$15="",INDEX(orderHistory[status],SMALL(IF(ISNUMBER(MATCH(orderHistory[order_type],$D$13,0)),MATCH(ROW(orderHistory[customer]),ROW(orderHistory[customer])),""),ROWS($A$15:A50)+$B$3)),INDEX(orderHistory[status],SMALL(IF(ISNUMBER(MATCH(orderHistory[order_type],$D$13,0)*MATCH(YEAR(orderHistory[invoice_date]),$D$15,0)),MATCH(ROW(orderHistory[customer]),ROW(orderHistory[customer])),""),ROWS($A$15:A50)+$B$3)))),IF($D$13="",IF($D$15="",INDEX(orderHistory[status],SMALL(IF(ISNUMBER(MATCH(orderHistory[status],$D$11,0)),MATCH(ROW(orderHistory[customer]),ROW(orderHistory[customer])),""),ROWS($A$15:A50)+$B$3)),INDEX(orderHistory[status],SMALL(IF(ISNUMBER(MATCH(orderHistory[status],$D$11,0)*MATCH(YEAR(orderHistory[invoice_date]),$D$15,0)),MATCH(ROW(orderHistory[customer]),ROW(orderHistory[customer])),""),ROWS($A$15:A50)+$B$3))),IF($D$15="",INDEX(orderHistory[status],SMALL(IF(ISNUMBER(MATCH(orderHistory[status],$D$11,0)*MATCH(orderHistory[order_type],$D$13,0)),MATCH(ROW(orderHistory[customer]),ROW(orderHistory[customer])),""),ROWS($A$15:A50)+$B$3)),INDEX(orderHistory[status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status],SMALL(IF(ISNUMBER(MATCH(orderHistory[customer],$D$9,0)),MATCH(ROW(orderHistory[customer]),ROW(orderHistory[customer])),""),ROWS($A$15:A50)+$B$3)),INDEX(orderHistory[status],SMALL(IF(ISNUMBER(MATCH(orderHistory[customer],$D$9,0)*MATCH(YEAR(orderHistory[invoice_date]),$D$15,0)),MATCH(ROW(orderHistory[customer]),ROW(orderHistory[customer])),""),ROWS($A$15:A50)+$B$3))),IF($D$15="",INDEX(orderHistory[status],SMALL(IF(ISNUMBER(MATCH(orderHistory[customer],$D$9,0)*MATCH(orderHistory[order_type],$D$13,0)),MATCH(ROW(orderHistory[customer]),ROW(orderHistory[customer])),""),ROWS($A$15:A50)+$B$3)),INDEX(orderHistory[status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status],SMALL(IF(ISNUMBER(MATCH(orderHistory[customer],$D$9,0)*MATCH(orderHistory[status],$D$11,0)),MATCH(ROW(orderHistory[customer]),ROW(orderHistory[customer])),""),ROWS($A$15:A50)+$B$3)),INDEX(orderHistory[status],SMALL(IF(ISNUMBER(MATCH(orderHistory[customer],$D$9,0)*MATCH(orderHistory[status],$D$11,0)*MATCH(YEAR(orderHistory[status]),$D$15,0)),MATCH(ROW(orderHistory[customer]),ROW(orderHistory[customer])),""),ROWS($A$15:A50)+$B$3))),IF($D$15="",INDEX(orderHistory[status],SMALL(IF(ISNUMBER(MATCH(orderHistory[customer],$D$9,0)*MATCH(orderHistory[status],$D$11,0)*MATCH(orderHistory[order_type],$D$13,0)),MATCH(ROW(orderHistory[customer]),ROW(orderHistory[customer])),""),ROWS($A$15:A50)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SHIPPED</v>
      </c>
      <c r="W45" s="547" t="str">
        <f t="array" ref="W45">IFERROR(IF($D$9="",IF($D$11="",IF($D$13="",IF($D$15="",INDEX(orderHistory[custom_docs],SMALL(MATCH(ROW(orderHistory[customer]),ROW(orderHistory[customer])),ROWS($A$15:A50)+$B$3)),INDEX(orderHistory[custom_docs],SMALL(IF(ISNUMBER(MATCH(YEAR(orderHistory[invoice_date]),$D$15,0)),MATCH(ROW(orderHistory[customer]),ROW(orderHistory[customer])),""),ROWS($A$15:A50)+$B$3))),IF($D$15="",INDEX(orderHistory[custom_docs],SMALL(IF(ISNUMBER(MATCH(orderHistory[order_type],$D$13,0)),MATCH(ROW(orderHistory[customer]),ROW(orderHistory[customer])),""),ROWS($A$15:A50)+$B$3)),INDEX(orderHistory[custom_docs],SMALL(IF(ISNUMBER(MATCH(orderHistory[order_type],$D$13,0)*MATCH(YEAR(orderHistory[invoice_date]),$D$15,0)),MATCH(ROW(orderHistory[customer]),ROW(orderHistory[customer])),""),ROWS($A$15:A50)+$B$3)))),IF($D$13="",IF($D$15="",INDEX(orderHistory[custom_docs],SMALL(IF(ISNUMBER(MATCH(orderHistory[status],$D$11,0)),MATCH(ROW(orderHistory[customer]),ROW(orderHistory[customer])),""),ROWS($A$15:A50)+$B$3)),INDEX(orderHistory[custom_docs],SMALL(IF(ISNUMBER(MATCH(orderHistory[status],$D$11,0)*MATCH(YEAR(orderHistory[invoice_date]),$D$15,0)),MATCH(ROW(orderHistory[customer]),ROW(orderHistory[customer])),""),ROWS($A$15:A50)+$B$3))),IF($D$15="",INDEX(orderHistory[custom_docs],SMALL(IF(ISNUMBER(MATCH(orderHistory[status],$D$11,0)*MATCH(orderHistory[order_type],$D$13,0)),MATCH(ROW(orderHistory[customer]),ROW(orderHistory[customer])),""),ROWS($A$15:A50)+$B$3)),INDEX(orderHistory[custom_docs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custom_docs],SMALL(IF(ISNUMBER(MATCH(orderHistory[customer],$D$9,0)),MATCH(ROW(orderHistory[customer]),ROW(orderHistory[customer])),""),ROWS($A$15:A50)+$B$3)),INDEX(orderHistory[custom_docs],SMALL(IF(ISNUMBER(MATCH(orderHistory[customer],$D$9,0)*MATCH(YEAR(orderHistory[invoice_date]),$D$15,0)),MATCH(ROW(orderHistory[customer]),ROW(orderHistory[customer])),""),ROWS($A$15:A50)+$B$3))),IF($D$15="",INDEX(orderHistory[custom_docs],SMALL(IF(ISNUMBER(MATCH(orderHistory[customer],$D$9,0)*MATCH(orderHistory[order_type],$D$13,0)),MATCH(ROW(orderHistory[customer]),ROW(orderHistory[customer])),""),ROWS($A$15:A50)+$B$3)),INDEX(orderHistory[custom_docs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custom_docs],SMALL(IF(ISNUMBER(MATCH(orderHistory[customer],$D$9,0)*MATCH(orderHistory[status],$D$11,0)),MATCH(ROW(orderHistory[customer]),ROW(orderHistory[customer])),""),ROWS($A$15:A50)+$B$3)),INDEX(orderHistory[custom_docs],SMALL(IF(ISNUMBER(MATCH(orderHistory[customer],$D$9,0)*MATCH(orderHistory[status],$D$11,0)*MATCH(YEAR(orderHistory[status]),$D$15,0)),MATCH(ROW(orderHistory[customer]),ROW(orderHistory[customer])),""),ROWS($A$15:A50)+$B$3))),IF($D$15="",INDEX(orderHistory[custom_docs],SMALL(IF(ISNUMBER(MATCH(orderHistory[customer],$D$9,0)*MATCH(orderHistory[status],$D$11,0)*MATCH(orderHistory[order_type],$D$13,0)),MATCH(ROW(orderHistory[customer]),ROW(orderHistory[customer])),""),ROWS($A$15:A50)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OK</v>
      </c>
      <c r="BK45" s="296"/>
      <c r="BL45" s="297"/>
      <c r="BM45" s="298"/>
      <c r="BN45" s="297"/>
      <c r="BO45" s="298"/>
      <c r="BZ45" s="400"/>
      <c r="CA45" s="401" t="str">
        <f>IFERROR(IF(BZ45="","",INDEX(bhpc_data[description],MATCH(BZ45,bhpc_data[sku],0))),"")</f>
        <v/>
      </c>
      <c r="CB45" s="403"/>
      <c r="CC45" s="886"/>
      <c r="CD45" s="410"/>
      <c r="CE45" s="890"/>
      <c r="CF45" s="404"/>
      <c r="CG45" s="405" t="str">
        <f>IFERROR(ROUNDUP(CB45/INDEX(bhpc_data[units_per_carton],MATCH(BZ45,bhpc_data[sku],0)),0),"")</f>
        <v/>
      </c>
      <c r="CH45" s="406" t="str">
        <f>IFERROR(ROUNDUP(CD45/INDEX(bhpc_data[units_per_carton],MATCH(BZ45,bhpc_data[sku],0)),0),"")</f>
        <v/>
      </c>
      <c r="CI45" s="406" t="str">
        <f>IFERROR(ROUNDUP(CF45/INDEX(bhpc_data[units_per_carton],MATCH(BZ45,bhpc_data[sku])),0),"")</f>
        <v/>
      </c>
      <c r="CJ45" s="406" t="str">
        <f>IFERROR(((CB45+CD45+CF45)/INDEX(bhpc_data[units_per_carton],MATCH(BZ45,bhpc_data[sku],0)))*INDEX(bhpc_data[net_weight],MATCH(BZ45,bhpc_data[sku],0)),"")</f>
        <v/>
      </c>
      <c r="CK45" s="406" t="str">
        <f>IFERROR(((CB45+CD45+CF45)/INDEX(bhpc_data[units_per_carton],MATCH(BZ45,bhpc_data[sku],0)))*INDEX(bhpc_data[gross_weight],MATCH(BZ45,bhpc_data[sku],0)),"")</f>
        <v/>
      </c>
      <c r="CL45" s="602" t="str">
        <f>IFERROR((CB45+CD45+CF45)/INDEX(bhpc_data[units_per_carton],MATCH(BZ45,bhpc_data[sku],0))*INDEX(bhpc_data[length],MATCH(BZ45,bhpc_data[sku],0))*INDEX(bhpc_data[width],MATCH(BZ45,bhpc_data[sku],0))*INDEX(bhpc_data[height],MATCH(BZ45,bhpc_data[sku],0))/1000000000,"")</f>
        <v/>
      </c>
      <c r="CM45" s="407" t="str">
        <f>IFERROR(INDEX(bhpc_data[category],MATCH(BZ45,bhpc_data[sku],0)),"")</f>
        <v/>
      </c>
      <c r="CN45" s="407" t="str">
        <f>IFERROR(INDEX(bhpc_data[size],MATCH(BZ45,bhpc_data[sku],0)),"")</f>
        <v/>
      </c>
      <c r="CO45" s="408" t="str">
        <f>IFERROR(INDEX(bhpc_data[hs_code],MATCH(BZ45,bhpc_data[sku],0)),"")</f>
        <v/>
      </c>
      <c r="CP45" s="489" t="str">
        <f>IFERROR(INDEX(bhpc_data[sku_geko],MATCH(BZ45,bhpc_data[sku],0)),"")</f>
        <v/>
      </c>
      <c r="CQ45" s="404"/>
      <c r="CR45" s="517" t="str">
        <f>IFERROR(IF(BZ45="","",IF($BX$15="SALE",INDEX(inventory[COSTO UNITARIO],MATCH(BZ45,inventory[SKU],0)),IF($BX$15="SAMPLING",INDEX(inventory[COSTO UNITARIO],MATCH(BZ45,inventory[SKU],0)),""))),"")</f>
        <v/>
      </c>
      <c r="CS45" s="517" t="str">
        <f t="shared" si="7"/>
        <v/>
      </c>
      <c r="CT45" s="896" t="str">
        <f t="shared" si="8"/>
        <v/>
      </c>
      <c r="CU45" s="469" t="str">
        <f t="shared" si="0"/>
        <v/>
      </c>
      <c r="CV45" s="280"/>
      <c r="CW45" s="280"/>
      <c r="CX45" s="280"/>
      <c r="CY45" s="280"/>
      <c r="CZ45" s="280"/>
      <c r="DA45" s="280"/>
      <c r="DB45" s="280" t="str">
        <f>IFERROR(VLOOKUP(BZ45,bhpc_data[],22,FALSE),"")</f>
        <v/>
      </c>
      <c r="DH45" s="215"/>
      <c r="EE45" s="439" t="str" cm="1">
        <f t="array" ref="EE45">IFERROR(IF($EC$9="",IF($EC$11="",IF($EC$13="",INDEX(bhpc_data[sku],SMALL(MATCH(ROW(bhpc_data[sku]),ROW(bhpc_data[sku])),ROWS($A$15:A50)+$B$3)),INDEX(bhpc_data[sku],SMALL(IF(ISNUMBER(MATCH(bhpc_data[size],$EC$13,0)),MATCH(ROW(bhpc_data[sku]),ROW(bhpc_data[sku])),""),ROWS($A$15:A50)+$B$3))),IF($EC$13="",INDEX(bhpc_data[sku],SMALL(IF(ISNUMBER(MATCH(bhpc_data[sex],$EC$11,0)),MATCH(ROW(bhpc_data[sku]),ROW(bhpc_data[sku])),""),ROWS($A$15:A50)+$B$3)),INDEX(bhpc_data[sku],SMALL(IF(ISNUMBER(MATCH(bhpc_data[sex],$EC$11,0)*MATCH(bhpc_data[size],$EC$13,0)),MATCH(ROW(bhpc_data[sku]),ROW(bhpc_data[sku])),""),ROWS($A$15:A50)+$B$3)))),IF($EC$11="",IF($EC$13="",INDEX(bhpc_data[sku],SMALL(IF(ISNUMBER(MATCH(bhpc_data[category],$EC$9,0)),MATCH(ROW(bhpc_data[sku]),ROW(bhpc_data[sku])),""),ROWS($A$15:A50)+$B$3)),INDEX(bhpc_data[sku],SMALL(IF(ISNUMBER(MATCH(bhpc_data[category],$EC$9,0)*MATCH(bhpc_data[size],$EC$13,0)),MATCH(ROW(bhpc_data[sku]),ROW(bhpc_data[sku])),""),ROWS($A$15:A50)+$B$3))),IF($EC$13="",INDEX(bhpc_data[sku],SMALL(IF(ISNUMBER(MATCH(bhpc_data[category],$EC$9,0)*MATCH(bhpc_data[sex],$EC$11,0)),MATCH(ROW(bhpc_data[sku]),ROW(bhpc_data[sku])),""),ROWS($A$15:A50)+$B$3)),INDEX(bhpc_data[sku],SMALL(IF(ISNUMBER(MATCH(bhpc_data[category],$EC$9,0)*MATCH(bhpc_data[sex],$EC$11,0)*MATCH(bhpc_data[size],$EC$13,0)),MATCH(ROW(bhpc_data[sku]),ROW(bhpc_data[sku])),""),ROWS($A$15:A50)+$B$3))))),"")</f>
        <v>P06007</v>
      </c>
      <c r="EF45" s="440" t="str" cm="1">
        <f t="array" ref="EF45">IFERROR(IF($EC$9="",IF($EC$11="",IF($EC$13="",INDEX(bhpc_data[description],SMALL(MATCH(ROW(bhpc_data[sku]),ROW(bhpc_data[sku])),ROWS($A$15:A50)+$B$3)),INDEX(bhpc_data[description],SMALL(IF(ISNUMBER(MATCH(bhpc_data[size],$EC$13,0)),MATCH(ROW(bhpc_data[sku]),ROW(bhpc_data[sku])),""),ROWS($A$15:A50)+$B$3))),IF($EC$13="",INDEX(bhpc_data[description],SMALL(IF(ISNUMBER(MATCH(bhpc_data[sex],$EC$11,0)),MATCH(ROW(bhpc_data[sku]),ROW(bhpc_data[sku])),""),ROWS($A$15:A50)+$B$3)),INDEX(bhpc_data[description],SMALL(IF(ISNUMBER(MATCH(bhpc_data[sex],$EC$11,0)*MATCH(bhpc_data[size],$EC$13,0)),MATCH(ROW(bhpc_data[sku]),ROW(bhpc_data[sku])),""),ROWS($A$15:A50)+$B$3)))),IF($EC$11="",IF($EC$13="",INDEX(bhpc_data[description],SMALL(IF(ISNUMBER(MATCH(bhpc_data[category],$EC$9,0)),MATCH(ROW(bhpc_data[sku]),ROW(bhpc_data[sku])),""),ROWS($A$15:A50)+$B$3)),INDEX(bhpc_data[description],SMALL(IF(ISNUMBER(MATCH(bhpc_data[category],$EC$9,0)*MATCH(bhpc_data[size],$EC$13,0)),MATCH(ROW(bhpc_data[sku]),ROW(bhpc_data[sku])),""),ROWS($A$15:A50)+$B$3))),IF($EC$13="",INDEX(bhpc_data[description],SMALL(IF(ISNUMBER(MATCH(bhpc_data[category],$EC$9,0)*MATCH(bhpc_data[sex],$EC$11,0)),MATCH(ROW(bhpc_data[sku]),ROW(bhpc_data[sku])),""),ROWS($A$15:A50)+$B$3)),INDEX(bhpc_data[description],SMALL(IF(ISNUMBER(MATCH(bhpc_data[category],$EC$9,0)*MATCH(bhpc_data[sex],$EC$11,0)*MATCH(bhpc_data[size],$EC$13,0)),MATCH(ROW(bhpc_data[sku]),ROW(bhpc_data[sku])),""),ROWS($A$15:A50)+$B$3))))),"")</f>
        <v>BHPC PRESTIGE PASSION 100ML EDP WOMEN</v>
      </c>
      <c r="EG45" s="441">
        <f>IFERROR(IF('BHPC MANAGER'!$EE45="","",INDEX(inventory[ESISTENZA],MATCH('BHPC MANAGER'!$EE45,inventory[SKU],0))),0)</f>
        <v>4191</v>
      </c>
      <c r="EH45" s="442">
        <v>-334</v>
      </c>
      <c r="EI45" s="442">
        <f t="shared" si="1"/>
        <v>3857</v>
      </c>
      <c r="EJ45" s="443">
        <v>0</v>
      </c>
      <c r="EK45" s="444">
        <f t="shared" si="2"/>
        <v>3857</v>
      </c>
      <c r="EO45" s="215" t="str">
        <f t="array" ref="EO45">IFERROR(INDEX(orderHistory[order_no],SMALL(IF(ISNUMBER(MATCH(orderHistory[status],$EO$7,0)),MATCH(ROW(orderHistory[order_no]),ROW(orderHistory[order_no])),""),ROWS($A$15:A50))),"")</f>
        <v/>
      </c>
    </row>
    <row r="46" spans="6:228" ht="15" customHeight="1" x14ac:dyDescent="0.35">
      <c r="L46" s="381" t="str">
        <f t="array" ref="L46">IFERROR(IF($D$9="",IF($D$11="",IF($D$13="",IF($D$15="",INDEX(orderHistory[customer],SMALL(MATCH(ROW(orderHistory[customer]),ROW(orderHistory[customer])),ROWS($A$15:A51)+$B$3)),INDEX(orderHistory[customer],SMALL(IF(ISNUMBER(MATCH(YEAR(orderHistory[invoice_date]),$D$15,0)),MATCH(ROW(orderHistory[customer]),ROW(orderHistory[customer])),""),ROWS($A$15:A51)+$B$3))),IF($D$15="",INDEX(orderHistory[customer],SMALL(IF(ISNUMBER(MATCH(orderHistory[order_type],$D$13,0)),MATCH(ROW(orderHistory[customer]),ROW(orderHistory[customer])),""),ROWS($A$15:A51)+$B$3)),INDEX(orderHistory[customer],SMALL(IF(ISNUMBER(MATCH(orderHistory[order_type],$D$13,0)*MATCH(YEAR(orderHistory[invoice_date]),$D$15,0)),MATCH(ROW(orderHistory[customer]),ROW(orderHistory[customer])),""),ROWS($A$15:A51)+$B$3)))),IF($D$13="",IF($D$15="",INDEX(orderHistory[customer],SMALL(IF(ISNUMBER(MATCH(orderHistory[status],$D$11,0)),MATCH(ROW(orderHistory[customer]),ROW(orderHistory[customer])),""),ROWS($A$15:A51)+$B$3)),INDEX(orderHistory[customer],SMALL(IF(ISNUMBER(MATCH(orderHistory[status],$D$11,0)*MATCH(YEAR(orderHistory[invoice_date]),$D$15,0)),MATCH(ROW(orderHistory[customer]),ROW(orderHistory[customer])),""),ROWS($A$15:A51)+$B$3))),IF($D$15="",INDEX(orderHistory[customer],SMALL(IF(ISNUMBER(MATCH(orderHistory[status],$D$11,0)*MATCH(orderHistory[order_type],$D$13,0)),MATCH(ROW(orderHistory[customer]),ROW(orderHistory[customer])),""),ROWS($A$15:A51)+$B$3)),INDEX(orderHistory[customer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customer],SMALL(IF(ISNUMBER(MATCH(orderHistory[customer],$D$9,0)),MATCH(ROW(orderHistory[customer]),ROW(orderHistory[customer])),""),ROWS($A$15:A51)+$B$3)),INDEX(orderHistory[customer],SMALL(IF(ISNUMBER(MATCH(orderHistory[customer],$D$9,0)*MATCH(YEAR(orderHistory[invoice_date]),$D$15,0)),MATCH(ROW(orderHistory[customer]),ROW(orderHistory[customer])),""),ROWS($A$15:A51)+$B$3))),IF($D$15="",INDEX(orderHistory[customer],SMALL(IF(ISNUMBER(MATCH(orderHistory[customer],$D$9,0)*MATCH(orderHistory[order_type],$D$13,0)),MATCH(ROW(orderHistory[customer]),ROW(orderHistory[customer])),""),ROWS($A$15:A51)+$B$3)),INDEX(orderHistory[customer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customer],SMALL(IF(ISNUMBER(MATCH(orderHistory[customer],$D$9,0)*MATCH(orderHistory[status],$D$11,0)),MATCH(ROW(orderHistory[customer]),ROW(orderHistory[customer])),""),ROWS($A$15:A51)+$B$3)),INDEX(orderHistory[customer],SMALL(IF(ISNUMBER(MATCH(orderHistory[customer],$D$9,0)*MATCH(orderHistory[status],$D$11,0)*MATCH(YEAR(orderHistory[invoice_date]),$D$15,0)),MATCH(ROW(orderHistory[customer]),ROW(orderHistory[customer])),""),ROWS($A$15:A51)+$B$3))),IF($D$15="",INDEX(orderHistory[customer],SMALL(IF(ISNUMBER(MATCH(orderHistory[customer],$D$9,0)*MATCH(orderHistory[status],$D$11,0)*MATCH(orderHistory[order_type],$D$13,0)),MATCH(ROW(orderHistory[customer]),ROW(orderHistory[customer])),""),ROWS($A$15:A51)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DRUNI</v>
      </c>
      <c r="M46" s="382">
        <f t="array" ref="M46">IFERROR(IF($D$9="",IF($D$11="",IF($D$13="",IF($D$15="",INDEX(orderHistory[order_no],SMALL(MATCH(ROW(orderHistory[customer]),ROW(orderHistory[customer])),ROWS($A$15:A51)+$B$3)),INDEX(orderHistory[order_no],SMALL(IF(ISNUMBER(MATCH(YEAR(orderHistory[invoice_date]),$D$15,0)),MATCH(ROW(orderHistory[customer]),ROW(orderHistory[customer])),""),ROWS($A$15:A51)+$B$3))),IF($D$15="",INDEX(orderHistory[order_no],SMALL(IF(ISNUMBER(MATCH(orderHistory[order_type],$D$13,0)),MATCH(ROW(orderHistory[customer]),ROW(orderHistory[customer])),""),ROWS($A$15:A51)+$B$3)),INDEX(orderHistory[order_no],SMALL(IF(ISNUMBER(MATCH(orderHistory[order_type],$D$13,0)*MATCH(YEAR(orderHistory[invoice_date]),$D$15,0)),MATCH(ROW(orderHistory[customer]),ROW(orderHistory[customer])),""),ROWS($A$15:A51)+$B$3)))),IF($D$13="",IF($D$15="",INDEX(orderHistory[order_no],SMALL(IF(ISNUMBER(MATCH(orderHistory[status],$D$11,0)),MATCH(ROW(orderHistory[customer]),ROW(orderHistory[customer])),""),ROWS($A$15:A51)+$B$3)),INDEX(orderHistory[order_no],SMALL(IF(ISNUMBER(MATCH(orderHistory[status],$D$11,0)*MATCH(YEAR(orderHistory[invoice_date]),$D$15,0)),MATCH(ROW(orderHistory[customer]),ROW(orderHistory[customer])),""),ROWS($A$15:A51)+$B$3))),IF($D$15="",INDEX(orderHistory[order_no],SMALL(IF(ISNUMBER(MATCH(orderHistory[status],$D$11,0)*MATCH(orderHistory[order_type],$D$13,0)),MATCH(ROW(orderHistory[customer]),ROW(orderHistory[customer])),""),ROWS($A$15:A51)+$B$3)),INDEX(orderHistory[order_no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order_no],SMALL(IF(ISNUMBER(MATCH(orderHistory[customer],$D$9,0)),MATCH(ROW(orderHistory[customer]),ROW(orderHistory[customer])),""),ROWS($A$15:A51)+$B$3)),INDEX(orderHistory[order_no],SMALL(IF(ISNUMBER(MATCH(orderHistory[customer],$D$9,0)*MATCH(YEAR(orderHistory[invoice_date]),$D$15,0)),MATCH(ROW(orderHistory[customer]),ROW(orderHistory[customer])),""),ROWS($A$15:A51)+$B$3))),IF($D$15="",INDEX(orderHistory[order_no],SMALL(IF(ISNUMBER(MATCH(orderHistory[customer],$D$9,0)*MATCH(orderHistory[order_type],$D$13,0)),MATCH(ROW(orderHistory[customer]),ROW(orderHistory[customer])),""),ROWS($A$15:A51)+$B$3)),INDEX(orderHistory[order_no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order_no],SMALL(IF(ISNUMBER(MATCH(orderHistory[customer],$D$9,0)*MATCH(orderHistory[status],$D$11,0)),MATCH(ROW(orderHistory[customer]),ROW(orderHistory[customer])),""),ROWS($A$15:A51)+$B$3)),INDEX(orderHistory[order_no],SMALL(IF(ISNUMBER(MATCH(orderHistory[customer],$D$9,0)*MATCH(orderHistory[status],$D$11,0)*MATCH(YEAR(orderHistory[invoice_date]),$D$15,0)),MATCH(ROW(orderHistory[customer]),ROW(orderHistory[customer])),""),ROWS($A$15:A51)+$B$3))),IF($D$15="",INDEX(orderHistory[order_no],SMALL(IF(ISNUMBER(MATCH(orderHistory[customer],$D$9,0)*MATCH(orderHistory[status],$D$11,0)*MATCH(orderHistory[order_type],$D$13,0)),MATCH(ROW(orderHistory[customer]),ROW(orderHistory[customer])),""),ROWS($A$15:A51)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12</v>
      </c>
      <c r="N46" s="383" t="str">
        <f t="array" ref="N46">IFERROR(IF($D$9="",IF($D$11="",IF($D$13="",IF($D$15="",INDEX(orderHistory[order_type],SMALL(MATCH(ROW(orderHistory[customer]),ROW(orderHistory[customer])),ROWS($A$15:A51)+$B$3)),INDEX(orderHistory[order_type],SMALL(IF(ISNUMBER(MATCH(YEAR(orderHistory[invoice_date]),$D$15,0)),MATCH(ROW(orderHistory[customer]),ROW(orderHistory[customer])),""),ROWS($A$15:A51)+$B$3))),IF($D$15="",INDEX(orderHistory[order_type],SMALL(IF(ISNUMBER(MATCH(orderHistory[order_type],$D$13,0)),MATCH(ROW(orderHistory[customer]),ROW(orderHistory[customer])),""),ROWS($A$15:A51)+$B$3)),INDEX(orderHistory[order_type],SMALL(IF(ISNUMBER(MATCH(orderHistory[order_type],$D$13,0)*MATCH(YEAR(orderHistory[invoice_date]),$D$15,0)),MATCH(ROW(orderHistory[customer]),ROW(orderHistory[customer])),""),ROWS($A$15:A51)+$B$3)))),IF($D$13="",IF($D$15="",INDEX(orderHistory[order_type],SMALL(IF(ISNUMBER(MATCH(orderHistory[status],$D$11,0)),MATCH(ROW(orderHistory[customer]),ROW(orderHistory[customer])),""),ROWS($A$15:A51)+$B$3)),INDEX(orderHistory[order_type],SMALL(IF(ISNUMBER(MATCH(orderHistory[status],$D$11,0)*MATCH(YEAR(orderHistory[invoice_date]),$D$15,0)),MATCH(ROW(orderHistory[customer]),ROW(orderHistory[customer])),""),ROWS($A$15:A51)+$B$3))),IF($D$15="",INDEX(orderHistory[order_type],SMALL(IF(ISNUMBER(MATCH(orderHistory[status],$D$11,0)*MATCH(orderHistory[order_type],$D$13,0)),MATCH(ROW(orderHistory[customer]),ROW(orderHistory[customer])),""),ROWS($A$15:A51)+$B$3)),INDEX(orderHistory[order_type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order_type],SMALL(IF(ISNUMBER(MATCH(orderHistory[customer],$D$9,0)),MATCH(ROW(orderHistory[customer]),ROW(orderHistory[customer])),""),ROWS($A$15:A51)+$B$3)),INDEX(orderHistory[order_type],SMALL(IF(ISNUMBER(MATCH(orderHistory[customer],$D$9,0)*MATCH(YEAR(orderHistory[invoice_date]),$D$15,0)),MATCH(ROW(orderHistory[customer]),ROW(orderHistory[customer])),""),ROWS($A$15:A51)+$B$3))),IF($D$15="",INDEX(orderHistory[order_type],SMALL(IF(ISNUMBER(MATCH(orderHistory[customer],$D$9,0)*MATCH(orderHistory[order_type],$D$13,0)),MATCH(ROW(orderHistory[customer]),ROW(orderHistory[customer])),""),ROWS($A$15:A51)+$B$3)),INDEX(orderHistory[order_type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order_type],SMALL(IF(ISNUMBER(MATCH(orderHistory[customer],$D$9,0)*MATCH(orderHistory[status],$D$11,0)),MATCH(ROW(orderHistory[customer]),ROW(orderHistory[customer])),""),ROWS($A$15:A51)+$B$3)),INDEX(orderHistory[order_type],SMALL(IF(ISNUMBER(MATCH(orderHistory[customer],$D$9,0)*MATCH(orderHistory[status],$D$11,0)*MATCH(YEAR(orderHistory[invoice_date]),$D$15,0)),MATCH(ROW(orderHistory[customer]),ROW(orderHistory[customer])),""),ROWS($A$15:A51)+$B$3))),IF($D$15="",INDEX(orderHistory[order_type],SMALL(IF(ISNUMBER(MATCH(orderHistory[customer],$D$9,0)*MATCH(orderHistory[status],$D$11,0)*MATCH(orderHistory[order_type],$D$13,0)),MATCH(ROW(orderHistory[customer]),ROW(orderHistory[customer])),""),ROWS($A$15:A51)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SALE</v>
      </c>
      <c r="O46" s="384">
        <f t="array" ref="O46">IFERROR(IF($D$9="",IF($D$11="",IF($D$13="",IF($D$15="",INDEX(orderHistory[order_date],SMALL(MATCH(ROW(orderHistory[customer]),ROW(orderHistory[customer])),ROWS($A$15:A51)+$B$3)),INDEX(orderHistory[order_date],SMALL(IF(ISNUMBER(MATCH(YEAR(orderHistory[invoice_date]),$D$15,0)),MATCH(ROW(orderHistory[customer]),ROW(orderHistory[customer])),""),ROWS($A$15:A51)+$B$3))),IF($D$15="",INDEX(orderHistory[order_date],SMALL(IF(ISNUMBER(MATCH(orderHistory[order_type],$D$13,0)),MATCH(ROW(orderHistory[customer]),ROW(orderHistory[customer])),""),ROWS($A$15:A51)+$B$3)),INDEX(orderHistory[order_date],SMALL(IF(ISNUMBER(MATCH(orderHistory[order_type],$D$13,0)*MATCH(YEAR(orderHistory[invoice_date]),$D$15,0)),MATCH(ROW(orderHistory[customer]),ROW(orderHistory[customer])),""),ROWS($A$15:A51)+$B$3)))),IF($D$13="",IF($D$15="",INDEX(orderHistory[order_date],SMALL(IF(ISNUMBER(MATCH(orderHistory[status],$D$11,0)),MATCH(ROW(orderHistory[customer]),ROW(orderHistory[customer])),""),ROWS($A$15:A51)+$B$3)),INDEX(orderHistory[order_date],SMALL(IF(ISNUMBER(MATCH(orderHistory[status],$D$11,0)*MATCH(YEAR(orderHistory[invoice_date]),$D$15,0)),MATCH(ROW(orderHistory[customer]),ROW(orderHistory[customer])),""),ROWS($A$15:A51)+$B$3))),IF($D$15="",INDEX(orderHistory[order_date],SMALL(IF(ISNUMBER(MATCH(orderHistory[status],$D$11,0)*MATCH(orderHistory[order_type],$D$13,0)),MATCH(ROW(orderHistory[customer]),ROW(orderHistory[customer])),""),ROWS($A$15:A51)+$B$3)),INDEX(orderHistory[order_date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order_date],SMALL(IF(ISNUMBER(MATCH(orderHistory[customer],$D$9,0)),MATCH(ROW(orderHistory[customer]),ROW(orderHistory[customer])),""),ROWS($A$15:A51)+$B$3)),INDEX(orderHistory[order_date],SMALL(IF(ISNUMBER(MATCH(orderHistory[customer],$D$9,0)*MATCH(YEAR(orderHistory[invoice_date]),$D$15,0)),MATCH(ROW(orderHistory[customer]),ROW(orderHistory[customer])),""),ROWS($A$15:A51)+$B$3))),IF($D$15="",INDEX(orderHistory[order_date],SMALL(IF(ISNUMBER(MATCH(orderHistory[customer],$D$9,0)*MATCH(orderHistory[order_type],$D$13,0)),MATCH(ROW(orderHistory[customer]),ROW(orderHistory[customer])),""),ROWS($A$15:A51)+$B$3)),INDEX(orderHistory[order_date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order_date],SMALL(IF(ISNUMBER(MATCH(orderHistory[customer],$D$9,0)*MATCH(orderHistory[status],$D$11,0)),MATCH(ROW(orderHistory[customer]),ROW(orderHistory[customer])),""),ROWS($A$15:A51)+$B$3)),INDEX(orderHistory[order_date],SMALL(IF(ISNUMBER(MATCH(orderHistory[customer],$D$9,0)*MATCH(orderHistory[status],$D$11,0)*MATCH(YEAR(orderHistory[invoice_date]),$D$15,0)),MATCH(ROW(orderHistory[customer]),ROW(orderHistory[customer])),""),ROWS($A$15:A51)+$B$3))),IF($D$15="",INDEX(orderHistory[order_date],SMALL(IF(ISNUMBER(MATCH(orderHistory[customer],$D$9,0)*MATCH(orderHistory[status],$D$11,0)*MATCH(orderHistory[order_type],$D$13,0)),MATCH(ROW(orderHistory[customer]),ROW(orderHistory[customer])),""),ROWS($A$15:A51)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45355</v>
      </c>
      <c r="P46" s="385" t="str">
        <f t="array" ref="P46">IFERROR(IF($D$9="",IF($D$11="",IF($D$13="",IF($D$15="",INDEX(orderHistory[invoice_no],SMALL(MATCH(ROW(orderHistory[customer]),ROW(orderHistory[customer])),ROWS($A$15:A51)+$B$3)),INDEX(orderHistory[invoice_no],SMALL(IF(ISNUMBER(MATCH(YEAR(orderHistory[invoice_date]),$D$15,0)),MATCH(ROW(orderHistory[customer]),ROW(orderHistory[customer])),""),ROWS($A$15:A51)+$B$3))),IF($D$15="",INDEX(orderHistory[invoice_no],SMALL(IF(ISNUMBER(MATCH(orderHistory[order_type],$D$13,0)),MATCH(ROW(orderHistory[customer]),ROW(orderHistory[customer])),""),ROWS($A$15:A51)+$B$3)),INDEX(orderHistory[invoice_no],SMALL(IF(ISNUMBER(MATCH(orderHistory[order_type],$D$13,0)*MATCH(YEAR(orderHistory[invoice_date]),$D$15,0)),MATCH(ROW(orderHistory[customer]),ROW(orderHistory[customer])),""),ROWS($A$15:A51)+$B$3)))),IF($D$13="",IF($D$15="",INDEX(orderHistory[invoice_no],SMALL(IF(ISNUMBER(MATCH(orderHistory[status],$D$11,0)),MATCH(ROW(orderHistory[customer]),ROW(orderHistory[customer])),""),ROWS($A$15:A51)+$B$3)),INDEX(orderHistory[invoice_no],SMALL(IF(ISNUMBER(MATCH(orderHistory[status],$D$11,0)*MATCH(YEAR(orderHistory[invoice_date]),$D$15,0)),MATCH(ROW(orderHistory[customer]),ROW(orderHistory[customer])),""),ROWS($A$15:A51)+$B$3))),IF($D$15="",INDEX(orderHistory[invoice_no],SMALL(IF(ISNUMBER(MATCH(orderHistory[status],$D$11,0)*MATCH(orderHistory[order_type],$D$13,0)),MATCH(ROW(orderHistory[customer]),ROW(orderHistory[customer])),""),ROWS($A$15:A51)+$B$3)),INDEX(orderHistory[invoice_no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invoice_no],SMALL(IF(ISNUMBER(MATCH(orderHistory[customer],$D$9,0)),MATCH(ROW(orderHistory[customer]),ROW(orderHistory[customer])),""),ROWS($A$15:A51)+$B$3)),INDEX(orderHistory[invoice_no],SMALL(IF(ISNUMBER(MATCH(orderHistory[customer],$D$9,0)*MATCH(YEAR(orderHistory[invoice_date]),$D$15,0)),MATCH(ROW(orderHistory[customer]),ROW(orderHistory[customer])),""),ROWS($A$15:A51)+$B$3))),IF($D$15="",INDEX(orderHistory[invoice_no],SMALL(IF(ISNUMBER(MATCH(orderHistory[customer],$D$9,0)*MATCH(orderHistory[order_type],$D$13,0)),MATCH(ROW(orderHistory[customer]),ROW(orderHistory[customer])),""),ROWS($A$15:A51)+$B$3)),INDEX(orderHistory[invoice_no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invoice_no],SMALL(IF(ISNUMBER(MATCH(orderHistory[customer],$D$9,0)*MATCH(orderHistory[status],$D$11,0)),MATCH(ROW(orderHistory[customer]),ROW(orderHistory[customer])),""),ROWS($A$15:A51)+$B$3)),INDEX(orderHistory[invoice_no],SMALL(IF(ISNUMBER(MATCH(orderHistory[customer],$D$9,0)*MATCH(orderHistory[status],$D$11,0)*MATCH(YEAR(orderHistory[invoice_date]),$D$15,0)),MATCH(ROW(orderHistory[customer]),ROW(orderHistory[customer])),""),ROWS($A$15:A51)+$B$3))),IF($D$15="",INDEX(orderHistory[invoice_no],SMALL(IF(ISNUMBER(MATCH(orderHistory[customer],$D$9,0)*MATCH(orderHistory[status],$D$11,0)*MATCH(orderHistory[order_type],$D$13,0)),MATCH(ROW(orderHistory[customer]),ROW(orderHistory[customer])),""),ROWS($A$15:A51)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74</v>
      </c>
      <c r="Q46" s="386">
        <f t="array" ref="Q46">IFERROR(IF($D$9="",IF($D$11="",IF($D$13="",IF($D$15="",INDEX(orderHistory[invoice_date],SMALL(MATCH(ROW(orderHistory[customer]),ROW(orderHistory[customer])),ROWS($A$15:A51)+$B$3)),INDEX(orderHistory[invoice_date],SMALL(IF(ISNUMBER(MATCH(YEAR(orderHistory[invoice_date]),$D$15,0)),MATCH(ROW(orderHistory[customer]),ROW(orderHistory[customer])),""),ROWS($A$15:A51)+$B$3))),IF($D$15="",INDEX(orderHistory[invoice_date],SMALL(IF(ISNUMBER(MATCH(orderHistory[order_type],$D$13,0)),MATCH(ROW(orderHistory[customer]),ROW(orderHistory[customer])),""),ROWS($A$15:A51)+$B$3)),INDEX(orderHistory[invoice_date],SMALL(IF(ISNUMBER(MATCH(orderHistory[order_type],$D$13,0)*MATCH(YEAR(orderHistory[invoice_date]),$D$15,0)),MATCH(ROW(orderHistory[customer]),ROW(orderHistory[customer])),""),ROWS($A$15:A51)+$B$3)))),IF($D$13="",IF($D$15="",INDEX(orderHistory[invoice_date],SMALL(IF(ISNUMBER(MATCH(orderHistory[status],$D$11,0)),MATCH(ROW(orderHistory[customer]),ROW(orderHistory[customer])),""),ROWS($A$15:A51)+$B$3)),INDEX(orderHistory[invoice_date],SMALL(IF(ISNUMBER(MATCH(orderHistory[status],$D$11,0)*MATCH(YEAR(orderHistory[invoice_date]),$D$15,0)),MATCH(ROW(orderHistory[customer]),ROW(orderHistory[customer])),""),ROWS($A$15:A51)+$B$3))),IF($D$15="",INDEX(orderHistory[invoice_date],SMALL(IF(ISNUMBER(MATCH(orderHistory[status],$D$11,0)*MATCH(orderHistory[order_type],$D$13,0)),MATCH(ROW(orderHistory[customer]),ROW(orderHistory[customer])),""),ROWS($A$15:A51)+$B$3)),INDEX(orderHistory[invoice_date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invoice_date],SMALL(IF(ISNUMBER(MATCH(orderHistory[customer],$D$9,0)),MATCH(ROW(orderHistory[customer]),ROW(orderHistory[customer])),""),ROWS($A$15:A51)+$B$3)),INDEX(orderHistory[invoice_date],SMALL(IF(ISNUMBER(MATCH(orderHistory[customer],$D$9,0)*MATCH(YEAR(orderHistory[invoice_date]),$D$15,0)),MATCH(ROW(orderHistory[customer]),ROW(orderHistory[customer])),""),ROWS($A$15:A51)+$B$3))),IF($D$15="",INDEX(orderHistory[invoice_date],SMALL(IF(ISNUMBER(MATCH(orderHistory[customer],$D$9,0)*MATCH(orderHistory[order_type],$D$13,0)),MATCH(ROW(orderHistory[customer]),ROW(orderHistory[customer])),""),ROWS($A$15:A51)+$B$3)),INDEX(orderHistory[invoice_date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invoice_date],SMALL(IF(ISNUMBER(MATCH(orderHistory[customer],$D$9,0)*MATCH(orderHistory[status],$D$11,0)),MATCH(ROW(orderHistory[customer]),ROW(orderHistory[customer])),""),ROWS($A$15:A51)+$B$3)),INDEX(orderHistory[invoice_date],SMALL(IF(ISNUMBER(MATCH(orderHistory[customer],$D$9,0)*MATCH(orderHistory[status],$D$11,0)*MATCH(YEAR(orderHistory[invoice_date]),$D$15,0)),MATCH(ROW(orderHistory[customer]),ROW(orderHistory[customer])),""),ROWS($A$15:A51)+$B$3))),IF($D$15="",INDEX(orderHistory[invoice_date],SMALL(IF(ISNUMBER(MATCH(orderHistory[customer],$D$9,0)*MATCH(orderHistory[status],$D$11,0)*MATCH(orderHistory[order_type],$D$13,0)),MATCH(ROW(orderHistory[customer]),ROW(orderHistory[customer])),""),ROWS($A$15:A51)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45359</v>
      </c>
      <c r="R46" s="387">
        <f t="array" ref="R46">IFERROR(IF($D$9="",IF($D$11="",IF($D$13="",IF($D$15="",INDEX(orderHistory[inv_amount],SMALL(MATCH(ROW(orderHistory[customer]),ROW(orderHistory[customer])),ROWS($A$15:A51)+$B$3)),INDEX(orderHistory[inv_amount],SMALL(IF(ISNUMBER(MATCH(YEAR(orderHistory[invoice_date]),$D$15,0)),MATCH(ROW(orderHistory[customer]),ROW(orderHistory[customer])),""),ROWS($A$15:A51)+$B$3))),IF($D$15="",INDEX(orderHistory[inv_amount],SMALL(IF(ISNUMBER(MATCH(orderHistory[order_type],$D$13,0)),MATCH(ROW(orderHistory[customer]),ROW(orderHistory[customer])),""),ROWS($A$15:A51)+$B$3)),INDEX(orderHistory[inv_amount],SMALL(IF(ISNUMBER(MATCH(orderHistory[order_type],$D$13,0)*MATCH(YEAR(orderHistory[invoice_date]),$D$15,0)),MATCH(ROW(orderHistory[customer]),ROW(orderHistory[customer])),""),ROWS($A$15:A51)+$B$3)))),IF($D$13="",IF($D$15="",INDEX(orderHistory[inv_amount],SMALL(IF(ISNUMBER(MATCH(orderHistory[status],$D$11,0)),MATCH(ROW(orderHistory[customer]),ROW(orderHistory[customer])),""),ROWS($A$15:A51)+$B$3)),INDEX(orderHistory[inv_amount],SMALL(IF(ISNUMBER(MATCH(orderHistory[status],$D$11,0)*MATCH(YEAR(orderHistory[invoice_date]),$D$15,0)),MATCH(ROW(orderHistory[customer]),ROW(orderHistory[customer])),""),ROWS($A$15:A51)+$B$3))),IF($D$15="",INDEX(orderHistory[inv_amount],SMALL(IF(ISNUMBER(MATCH(orderHistory[status],$D$11,0)*MATCH(orderHistory[order_type],$D$13,0)),MATCH(ROW(orderHistory[customer]),ROW(orderHistory[customer])),""),ROWS($A$15:A51)+$B$3)),INDEX(orderHistory[inv_amount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inv_amount],SMALL(IF(ISNUMBER(MATCH(orderHistory[customer],$D$9,0)),MATCH(ROW(orderHistory[customer]),ROW(orderHistory[customer])),""),ROWS($A$15:A51)+$B$3)),INDEX(orderHistory[inv_amount],SMALL(IF(ISNUMBER(MATCH(orderHistory[customer],$D$9,0)*MATCH(YEAR(orderHistory[invoice_date]),$D$15,0)),MATCH(ROW(orderHistory[customer]),ROW(orderHistory[customer])),""),ROWS($A$15:A51)+$B$3))),IF($D$15="",INDEX(orderHistory[inv_amount],SMALL(IF(ISNUMBER(MATCH(orderHistory[customer],$D$9,0)*MATCH(orderHistory[order_type],$D$13,0)),MATCH(ROW(orderHistory[customer]),ROW(orderHistory[customer])),""),ROWS($A$15:A51)+$B$3)),INDEX(orderHistory[inv_amount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inv_amount],SMALL(IF(ISNUMBER(MATCH(orderHistory[customer],$D$9,0)*MATCH(orderHistory[status],$D$11,0)),MATCH(ROW(orderHistory[customer]),ROW(orderHistory[customer])),""),ROWS($A$15:A51)+$B$3)),INDEX(orderHistory[inv_amount],SMALL(IF(ISNUMBER(MATCH(orderHistory[customer],$D$9,0)*MATCH(orderHistory[status],$D$11,0)*MATCH(YEAR(orderHistory[inv_amount]),$D$15,0)),MATCH(ROW(orderHistory[customer]),ROW(orderHistory[customer])),""),ROWS($A$15:A51)+$B$3))),IF($D$15="",INDEX(orderHistory[inv_amount],SMALL(IF(ISNUMBER(MATCH(orderHistory[customer],$D$9,0)*MATCH(orderHistory[status],$D$11,0)*MATCH(orderHistory[order_type],$D$13,0)),MATCH(ROW(orderHistory[customer]),ROW(orderHistory[customer])),""),ROWS($A$15:A51)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22200</v>
      </c>
      <c r="S46" s="465" t="str">
        <f t="array" ref="S46">IFERROR(IF($D$9="",IF($D$11="",IF($D$13="",IF($D$15="",INDEX(orderHistory[lock_goods],SMALL(MATCH(ROW(orderHistory[customer]),ROW(orderHistory[customer])),ROWS($A$15:A51)+$B$3)),INDEX(orderHistory[lock_goods],SMALL(IF(ISNUMBER(MATCH(YEAR(orderHistory[invoice_date]),$D$15,0)),MATCH(ROW(orderHistory[customer]),ROW(orderHistory[customer])),""),ROWS($A$15:A51)+$B$3))),IF($D$15="",INDEX(orderHistory[lock_goods],SMALL(IF(ISNUMBER(MATCH(orderHistory[order_type],$D$13,0)),MATCH(ROW(orderHistory[customer]),ROW(orderHistory[customer])),""),ROWS($A$15:A51)+$B$3)),INDEX(orderHistory[lock_goods],SMALL(IF(ISNUMBER(MATCH(orderHistory[order_type],$D$13,0)*MATCH(YEAR(orderHistory[invoice_date]),$D$15,0)),MATCH(ROW(orderHistory[customer]),ROW(orderHistory[customer])),""),ROWS($A$15:A51)+$B$3)))),IF($D$13="",IF($D$15="",INDEX(orderHistory[lock_goods],SMALL(IF(ISNUMBER(MATCH(orderHistory[status],$D$11,0)),MATCH(ROW(orderHistory[customer]),ROW(orderHistory[customer])),""),ROWS($A$15:A51)+$B$3)),INDEX(orderHistory[lock_goods],SMALL(IF(ISNUMBER(MATCH(orderHistory[status],$D$11,0)*MATCH(YEAR(orderHistory[invoice_date]),$D$15,0)),MATCH(ROW(orderHistory[customer]),ROW(orderHistory[customer])),""),ROWS($A$15:A51)+$B$3))),IF($D$15="",INDEX(orderHistory[lock_goods],SMALL(IF(ISNUMBER(MATCH(orderHistory[status],$D$11,0)*MATCH(orderHistory[order_type],$D$13,0)),MATCH(ROW(orderHistory[customer]),ROW(orderHistory[customer])),""),ROWS($A$15:A51)+$B$3)),INDEX(orderHistory[lock_goods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lock_goods],SMALL(IF(ISNUMBER(MATCH(orderHistory[customer],$D$9,0)),MATCH(ROW(orderHistory[customer]),ROW(orderHistory[customer])),""),ROWS($A$15:A51)+$B$3)),INDEX(orderHistory[lock_goods],SMALL(IF(ISNUMBER(MATCH(orderHistory[customer],$D$9,0)*MATCH(YEAR(orderHistory[invoice_date]),$D$15,0)),MATCH(ROW(orderHistory[customer]),ROW(orderHistory[customer])),""),ROWS($A$15:A51)+$B$3))),IF($D$15="",INDEX(orderHistory[lock_goods],SMALL(IF(ISNUMBER(MATCH(orderHistory[customer],$D$9,0)*MATCH(orderHistory[order_type],$D$13,0)),MATCH(ROW(orderHistory[customer]),ROW(orderHistory[customer])),""),ROWS($A$15:A51)+$B$3)),INDEX(orderHistory[lock_goods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lock_goods],SMALL(IF(ISNUMBER(MATCH(orderHistory[customer],$D$9,0)*MATCH(orderHistory[status],$D$11,0)),MATCH(ROW(orderHistory[customer]),ROW(orderHistory[customer])),""),ROWS($A$15:A51)+$B$3)),INDEX(orderHistory[lock_goods],SMALL(IF(ISNUMBER(MATCH(orderHistory[customer],$D$9,0)*MATCH(orderHistory[status],$D$11,0)*MATCH(YEAR(orderHistory[payed]),$D$15,0)),MATCH(ROW(orderHistory[customer]),ROW(orderHistory[customer])),""),ROWS($A$15:A51)+$B$3))),IF($D$15="",INDEX(orderHistory[lock_goods],SMALL(IF(ISNUMBER(MATCH(orderHistory[customer],$D$9,0)*MATCH(orderHistory[status],$D$11,0)*MATCH(orderHistory[order_type],$D$13,0)),MATCH(ROW(orderHistory[customer]),ROW(orderHistory[customer])),""),ROWS($A$15:A51)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GOODS SENT</v>
      </c>
      <c r="T46" s="388" t="b">
        <f t="array" ref="T46">IFERROR(IF($D$9="",IF($D$11="",IF($D$13="",IF($D$15="",INDEX(orderHistory[payed],SMALL(MATCH(ROW(orderHistory[customer]),ROW(orderHistory[customer])),ROWS($A$15:A51)+$B$3)),INDEX(orderHistory[payed],SMALL(IF(ISNUMBER(MATCH(YEAR(orderHistory[invoice_date]),$D$15,0)),MATCH(ROW(orderHistory[customer]),ROW(orderHistory[customer])),""),ROWS($A$15:A51)+$B$3))),IF($D$15="",INDEX(orderHistory[payed],SMALL(IF(ISNUMBER(MATCH(orderHistory[order_type],$D$13,0)),MATCH(ROW(orderHistory[customer]),ROW(orderHistory[customer])),""),ROWS($A$15:A51)+$B$3)),INDEX(orderHistory[payed],SMALL(IF(ISNUMBER(MATCH(orderHistory[order_type],$D$13,0)*MATCH(YEAR(orderHistory[invoice_date]),$D$15,0)),MATCH(ROW(orderHistory[customer]),ROW(orderHistory[customer])),""),ROWS($A$15:A51)+$B$3)))),IF($D$13="",IF($D$15="",INDEX(orderHistory[payed],SMALL(IF(ISNUMBER(MATCH(orderHistory[status],$D$11,0)),MATCH(ROW(orderHistory[customer]),ROW(orderHistory[customer])),""),ROWS($A$15:A51)+$B$3)),INDEX(orderHistory[payed],SMALL(IF(ISNUMBER(MATCH(orderHistory[status],$D$11,0)*MATCH(YEAR(orderHistory[invoice_date]),$D$15,0)),MATCH(ROW(orderHistory[customer]),ROW(orderHistory[customer])),""),ROWS($A$15:A51)+$B$3))),IF($D$15="",INDEX(orderHistory[payed],SMALL(IF(ISNUMBER(MATCH(orderHistory[status],$D$11,0)*MATCH(orderHistory[order_type],$D$13,0)),MATCH(ROW(orderHistory[customer]),ROW(orderHistory[customer])),""),ROWS($A$15:A51)+$B$3)),INDEX(orderHistory[payed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payed],SMALL(IF(ISNUMBER(MATCH(orderHistory[customer],$D$9,0)),MATCH(ROW(orderHistory[customer]),ROW(orderHistory[customer])),""),ROWS($A$15:A51)+$B$3)),INDEX(orderHistory[payed],SMALL(IF(ISNUMBER(MATCH(orderHistory[customer],$D$9,0)*MATCH(YEAR(orderHistory[invoice_date]),$D$15,0)),MATCH(ROW(orderHistory[customer]),ROW(orderHistory[customer])),""),ROWS($A$15:A51)+$B$3))),IF($D$15="",INDEX(orderHistory[payed],SMALL(IF(ISNUMBER(MATCH(orderHistory[customer],$D$9,0)*MATCH(orderHistory[order_type],$D$13,0)),MATCH(ROW(orderHistory[customer]),ROW(orderHistory[customer])),""),ROWS($A$15:A51)+$B$3)),INDEX(orderHistory[payed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payed],SMALL(IF(ISNUMBER(MATCH(orderHistory[customer],$D$9,0)*MATCH(orderHistory[status],$D$11,0)),MATCH(ROW(orderHistory[customer]),ROW(orderHistory[customer])),""),ROWS($A$15:A51)+$B$3)),INDEX(orderHistory[payed],SMALL(IF(ISNUMBER(MATCH(orderHistory[customer],$D$9,0)*MATCH(orderHistory[status],$D$11,0)*MATCH(YEAR(orderHistory[payed]),$D$15,0)),MATCH(ROW(orderHistory[customer]),ROW(orderHistory[customer])),""),ROWS($A$15:A51)+$B$3))),IF($D$15="",INDEX(orderHistory[payed],SMALL(IF(ISNUMBER(MATCH(orderHistory[customer],$D$9,0)*MATCH(orderHistory[status],$D$11,0)*MATCH(orderHistory[order_type],$D$13,0)),MATCH(ROW(orderHistory[customer]),ROW(orderHistory[customer])),""),ROWS($A$15:A51)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1</v>
      </c>
      <c r="U46" s="383" t="str">
        <f t="array" ref="U46">IFERROR(IF($D$9="",IF($D$11="",IF($D$13="",IF($D$15="",INDEX(orderHistory[shipping_method],SMALL(MATCH(ROW(orderHistory[customer]),ROW(orderHistory[customer])),ROWS($A$15:A51)+$B$3)),INDEX(orderHistory[shipping_method],SMALL(IF(ISNUMBER(MATCH(YEAR(orderHistory[invoice_date]),$D$15,0)),MATCH(ROW(orderHistory[customer]),ROW(orderHistory[customer])),""),ROWS($A$15:A51)+$B$3))),IF($D$15="",INDEX(orderHistory[shipping_method],SMALL(IF(ISNUMBER(MATCH(orderHistory[order_type],$D$13,0)),MATCH(ROW(orderHistory[customer]),ROW(orderHistory[customer])),""),ROWS($A$15:A51)+$B$3)),INDEX(orderHistory[shipping_method],SMALL(IF(ISNUMBER(MATCH(orderHistory[order_type],$D$13,0)*MATCH(YEAR(orderHistory[invoice_date]),$D$15,0)),MATCH(ROW(orderHistory[customer]),ROW(orderHistory[customer])),""),ROWS($A$15:A51)+$B$3)))),IF($D$13="",IF($D$15="",INDEX(orderHistory[shipping_method],SMALL(IF(ISNUMBER(MATCH(orderHistory[status],$D$11,0)),MATCH(ROW(orderHistory[customer]),ROW(orderHistory[customer])),""),ROWS($A$15:A51)+$B$3)),INDEX(orderHistory[shipping_method],SMALL(IF(ISNUMBER(MATCH(orderHistory[status],$D$11,0)*MATCH(YEAR(orderHistory[invoice_date]),$D$15,0)),MATCH(ROW(orderHistory[customer]),ROW(orderHistory[customer])),""),ROWS($A$15:A51)+$B$3))),IF($D$15="",INDEX(orderHistory[shipping_method],SMALL(IF(ISNUMBER(MATCH(orderHistory[status],$D$11,0)*MATCH(orderHistory[order_type],$D$13,0)),MATCH(ROW(orderHistory[customer]),ROW(orderHistory[customer])),""),ROWS($A$15:A51)+$B$3)),INDEX(orderHistory[shipping_method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shipping_method],SMALL(IF(ISNUMBER(MATCH(orderHistory[customer],$D$9,0)),MATCH(ROW(orderHistory[customer]),ROW(orderHistory[customer])),""),ROWS($A$15:A51)+$B$3)),INDEX(orderHistory[shipping_method],SMALL(IF(ISNUMBER(MATCH(orderHistory[customer],$D$9,0)*MATCH(YEAR(orderHistory[invoice_date]),$D$15,0)),MATCH(ROW(orderHistory[customer]),ROW(orderHistory[customer])),""),ROWS($A$15:A51)+$B$3))),IF($D$15="",INDEX(orderHistory[shipping_method],SMALL(IF(ISNUMBER(MATCH(orderHistory[customer],$D$9,0)*MATCH(orderHistory[order_type],$D$13,0)),MATCH(ROW(orderHistory[customer]),ROW(orderHistory[customer])),""),ROWS($A$15:A51)+$B$3)),INDEX(orderHistory[shipping_method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shipping_method],SMALL(IF(ISNUMBER(MATCH(orderHistory[customer],$D$9,0)*MATCH(orderHistory[status],$D$11,0)),MATCH(ROW(orderHistory[customer]),ROW(orderHistory[customer])),""),ROWS($A$15:A51)+$B$3)),INDEX(orderHistory[shipping_method],SMALL(IF(ISNUMBER(MATCH(orderHistory[customer],$D$9,0)*MATCH(orderHistory[status],$D$11,0)*MATCH(YEAR(orderHistory[shipping_method]),$D$15,0)),MATCH(ROW(orderHistory[customer]),ROW(orderHistory[customer])),""),ROWS($A$15:A51)+$B$3))),IF($D$15="",INDEX(orderHistory[shipping_method],SMALL(IF(ISNUMBER(MATCH(orderHistory[customer],$D$9,0)*MATCH(orderHistory[status],$D$11,0)*MATCH(orderHistory[order_type],$D$13,0)),MATCH(ROW(orderHistory[customer]),ROW(orderHistory[customer])),""),ROWS($A$15:A51)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BY ROAD</v>
      </c>
      <c r="V46" s="388" t="str">
        <f t="array" ref="V46">IFERROR(IF($D$9="",IF($D$11="",IF($D$13="",IF($D$15="",INDEX(orderHistory[status],SMALL(MATCH(ROW(orderHistory[customer]),ROW(orderHistory[customer])),ROWS($A$15:A51)+$B$3)),INDEX(orderHistory[status],SMALL(IF(ISNUMBER(MATCH(YEAR(orderHistory[invoice_date]),$D$15,0)),MATCH(ROW(orderHistory[customer]),ROW(orderHistory[customer])),""),ROWS($A$15:A51)+$B$3))),IF($D$15="",INDEX(orderHistory[status],SMALL(IF(ISNUMBER(MATCH(orderHistory[order_type],$D$13,0)),MATCH(ROW(orderHistory[customer]),ROW(orderHistory[customer])),""),ROWS($A$15:A51)+$B$3)),INDEX(orderHistory[status],SMALL(IF(ISNUMBER(MATCH(orderHistory[order_type],$D$13,0)*MATCH(YEAR(orderHistory[invoice_date]),$D$15,0)),MATCH(ROW(orderHistory[customer]),ROW(orderHistory[customer])),""),ROWS($A$15:A51)+$B$3)))),IF($D$13="",IF($D$15="",INDEX(orderHistory[status],SMALL(IF(ISNUMBER(MATCH(orderHistory[status],$D$11,0)),MATCH(ROW(orderHistory[customer]),ROW(orderHistory[customer])),""),ROWS($A$15:A51)+$B$3)),INDEX(orderHistory[status],SMALL(IF(ISNUMBER(MATCH(orderHistory[status],$D$11,0)*MATCH(YEAR(orderHistory[invoice_date]),$D$15,0)),MATCH(ROW(orderHistory[customer]),ROW(orderHistory[customer])),""),ROWS($A$15:A51)+$B$3))),IF($D$15="",INDEX(orderHistory[status],SMALL(IF(ISNUMBER(MATCH(orderHistory[status],$D$11,0)*MATCH(orderHistory[order_type],$D$13,0)),MATCH(ROW(orderHistory[customer]),ROW(orderHistory[customer])),""),ROWS($A$15:A51)+$B$3)),INDEX(orderHistory[status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status],SMALL(IF(ISNUMBER(MATCH(orderHistory[customer],$D$9,0)),MATCH(ROW(orderHistory[customer]),ROW(orderHistory[customer])),""),ROWS($A$15:A51)+$B$3)),INDEX(orderHistory[status],SMALL(IF(ISNUMBER(MATCH(orderHistory[customer],$D$9,0)*MATCH(YEAR(orderHistory[invoice_date]),$D$15,0)),MATCH(ROW(orderHistory[customer]),ROW(orderHistory[customer])),""),ROWS($A$15:A51)+$B$3))),IF($D$15="",INDEX(orderHistory[status],SMALL(IF(ISNUMBER(MATCH(orderHistory[customer],$D$9,0)*MATCH(orderHistory[order_type],$D$13,0)),MATCH(ROW(orderHistory[customer]),ROW(orderHistory[customer])),""),ROWS($A$15:A51)+$B$3)),INDEX(orderHistory[status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status],SMALL(IF(ISNUMBER(MATCH(orderHistory[customer],$D$9,0)*MATCH(orderHistory[status],$D$11,0)),MATCH(ROW(orderHistory[customer]),ROW(orderHistory[customer])),""),ROWS($A$15:A51)+$B$3)),INDEX(orderHistory[status],SMALL(IF(ISNUMBER(MATCH(orderHistory[customer],$D$9,0)*MATCH(orderHistory[status],$D$11,0)*MATCH(YEAR(orderHistory[status]),$D$15,0)),MATCH(ROW(orderHistory[customer]),ROW(orderHistory[customer])),""),ROWS($A$15:A51)+$B$3))),IF($D$15="",INDEX(orderHistory[status],SMALL(IF(ISNUMBER(MATCH(orderHistory[customer],$D$9,0)*MATCH(orderHistory[status],$D$11,0)*MATCH(orderHistory[order_type],$D$13,0)),MATCH(ROW(orderHistory[customer]),ROW(orderHistory[customer])),""),ROWS($A$15:A51)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SHIPPED</v>
      </c>
      <c r="W46" s="547" t="str">
        <f t="array" ref="W46">IFERROR(IF($D$9="",IF($D$11="",IF($D$13="",IF($D$15="",INDEX(orderHistory[custom_docs],SMALL(MATCH(ROW(orderHistory[customer]),ROW(orderHistory[customer])),ROWS($A$15:A51)+$B$3)),INDEX(orderHistory[custom_docs],SMALL(IF(ISNUMBER(MATCH(YEAR(orderHistory[invoice_date]),$D$15,0)),MATCH(ROW(orderHistory[customer]),ROW(orderHistory[customer])),""),ROWS($A$15:A51)+$B$3))),IF($D$15="",INDEX(orderHistory[custom_docs],SMALL(IF(ISNUMBER(MATCH(orderHistory[order_type],$D$13,0)),MATCH(ROW(orderHistory[customer]),ROW(orderHistory[customer])),""),ROWS($A$15:A51)+$B$3)),INDEX(orderHistory[custom_docs],SMALL(IF(ISNUMBER(MATCH(orderHistory[order_type],$D$13,0)*MATCH(YEAR(orderHistory[invoice_date]),$D$15,0)),MATCH(ROW(orderHistory[customer]),ROW(orderHistory[customer])),""),ROWS($A$15:A51)+$B$3)))),IF($D$13="",IF($D$15="",INDEX(orderHistory[custom_docs],SMALL(IF(ISNUMBER(MATCH(orderHistory[status],$D$11,0)),MATCH(ROW(orderHistory[customer]),ROW(orderHistory[customer])),""),ROWS($A$15:A51)+$B$3)),INDEX(orderHistory[custom_docs],SMALL(IF(ISNUMBER(MATCH(orderHistory[status],$D$11,0)*MATCH(YEAR(orderHistory[invoice_date]),$D$15,0)),MATCH(ROW(orderHistory[customer]),ROW(orderHistory[customer])),""),ROWS($A$15:A51)+$B$3))),IF($D$15="",INDEX(orderHistory[custom_docs],SMALL(IF(ISNUMBER(MATCH(orderHistory[status],$D$11,0)*MATCH(orderHistory[order_type],$D$13,0)),MATCH(ROW(orderHistory[customer]),ROW(orderHistory[customer])),""),ROWS($A$15:A51)+$B$3)),INDEX(orderHistory[custom_docs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custom_docs],SMALL(IF(ISNUMBER(MATCH(orderHistory[customer],$D$9,0)),MATCH(ROW(orderHistory[customer]),ROW(orderHistory[customer])),""),ROWS($A$15:A51)+$B$3)),INDEX(orderHistory[custom_docs],SMALL(IF(ISNUMBER(MATCH(orderHistory[customer],$D$9,0)*MATCH(YEAR(orderHistory[invoice_date]),$D$15,0)),MATCH(ROW(orderHistory[customer]),ROW(orderHistory[customer])),""),ROWS($A$15:A51)+$B$3))),IF($D$15="",INDEX(orderHistory[custom_docs],SMALL(IF(ISNUMBER(MATCH(orderHistory[customer],$D$9,0)*MATCH(orderHistory[order_type],$D$13,0)),MATCH(ROW(orderHistory[customer]),ROW(orderHistory[customer])),""),ROWS($A$15:A51)+$B$3)),INDEX(orderHistory[custom_docs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custom_docs],SMALL(IF(ISNUMBER(MATCH(orderHistory[customer],$D$9,0)*MATCH(orderHistory[status],$D$11,0)),MATCH(ROW(orderHistory[customer]),ROW(orderHistory[customer])),""),ROWS($A$15:A51)+$B$3)),INDEX(orderHistory[custom_docs],SMALL(IF(ISNUMBER(MATCH(orderHistory[customer],$D$9,0)*MATCH(orderHistory[status],$D$11,0)*MATCH(YEAR(orderHistory[status]),$D$15,0)),MATCH(ROW(orderHistory[customer]),ROW(orderHistory[customer])),""),ROWS($A$15:A51)+$B$3))),IF($D$15="",INDEX(orderHistory[custom_docs],SMALL(IF(ISNUMBER(MATCH(orderHistory[customer],$D$9,0)*MATCH(orderHistory[status],$D$11,0)*MATCH(orderHistory[order_type],$D$13,0)),MATCH(ROW(orderHistory[customer]),ROW(orderHistory[customer])),""),ROWS($A$15:A51)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OK</v>
      </c>
      <c r="BK46" s="296"/>
      <c r="BL46" s="297"/>
      <c r="BM46" s="298"/>
      <c r="BN46" s="297"/>
      <c r="BO46" s="298"/>
      <c r="BZ46" s="414"/>
      <c r="CA46" s="401" t="str">
        <f>IFERROR(IF(BZ46="","",INDEX(bhpc_data[description],MATCH(BZ46,bhpc_data[sku],0))),"")</f>
        <v/>
      </c>
      <c r="CB46" s="403"/>
      <c r="CC46" s="886"/>
      <c r="CD46" s="411"/>
      <c r="CE46" s="890"/>
      <c r="CF46" s="404"/>
      <c r="CG46" s="405" t="str">
        <f>IFERROR(ROUNDUP(CB46/INDEX(bhpc_data[units_per_carton],MATCH(BZ46,bhpc_data[sku],0)),0),"")</f>
        <v/>
      </c>
      <c r="CH46" s="406" t="str">
        <f>IFERROR(ROUNDUP(CD46/INDEX(bhpc_data[units_per_carton],MATCH(BZ46,bhpc_data[sku],0)),0),"")</f>
        <v/>
      </c>
      <c r="CI46" s="406" t="str">
        <f>IFERROR(ROUNDUP(CF46/INDEX(bhpc_data[units_per_carton],MATCH(BZ46,bhpc_data[sku])),0),"")</f>
        <v/>
      </c>
      <c r="CJ46" s="406" t="str">
        <f>IFERROR(((CB46+CD46+CF46)/INDEX(bhpc_data[units_per_carton],MATCH(BZ46,bhpc_data[sku],0)))*INDEX(bhpc_data[net_weight],MATCH(BZ46,bhpc_data[sku],0)),"")</f>
        <v/>
      </c>
      <c r="CK46" s="406" t="str">
        <f>IFERROR(((CB46+CD46+CF46)/INDEX(bhpc_data[units_per_carton],MATCH(BZ46,bhpc_data[sku],0)))*INDEX(bhpc_data[gross_weight],MATCH(BZ46,bhpc_data[sku],0)),"")</f>
        <v/>
      </c>
      <c r="CL46" s="602" t="str">
        <f>IFERROR((CB46+CD46+CF46)/INDEX(bhpc_data[units_per_carton],MATCH(BZ46,bhpc_data[sku],0))*INDEX(bhpc_data[length],MATCH(BZ46,bhpc_data[sku],0))*INDEX(bhpc_data[width],MATCH(BZ46,bhpc_data[sku],0))*INDEX(bhpc_data[height],MATCH(BZ46,bhpc_data[sku],0))/1000000000,"")</f>
        <v/>
      </c>
      <c r="CM46" s="407" t="str">
        <f>IFERROR(INDEX(bhpc_data[category],MATCH(BZ46,bhpc_data[sku],0)),"")</f>
        <v/>
      </c>
      <c r="CN46" s="407" t="str">
        <f>IFERROR(INDEX(bhpc_data[size],MATCH(BZ46,bhpc_data[sku],0)),"")</f>
        <v/>
      </c>
      <c r="CO46" s="408" t="str">
        <f>IFERROR(INDEX(bhpc_data[hs_code],MATCH(BZ46,bhpc_data[sku],0)),"")</f>
        <v/>
      </c>
      <c r="CP46" s="489" t="str">
        <f>IFERROR(INDEX(bhpc_data[sku_geko],MATCH(BZ46,bhpc_data[sku],0)),"")</f>
        <v/>
      </c>
      <c r="CQ46" s="404"/>
      <c r="CR46" s="517" t="str">
        <f>IFERROR(IF(BZ46="","",IF($BX$15="SALE",INDEX(inventory[COSTO UNITARIO],MATCH(BZ46,inventory[SKU],0)),IF($BX$15="SAMPLING",INDEX(inventory[COSTO UNITARIO],MATCH(BZ46,inventory[SKU],0)),""))),"")</f>
        <v/>
      </c>
      <c r="CS46" s="517" t="str">
        <f t="shared" si="7"/>
        <v/>
      </c>
      <c r="CT46" s="896" t="str">
        <f t="shared" si="8"/>
        <v/>
      </c>
      <c r="CU46" s="469" t="str">
        <f t="shared" si="0"/>
        <v/>
      </c>
      <c r="CV46" s="280"/>
      <c r="CW46" s="361"/>
      <c r="CX46" s="280"/>
      <c r="CY46" s="280"/>
      <c r="CZ46" s="280"/>
      <c r="DA46" s="280"/>
      <c r="DB46" s="280" t="str">
        <f>IFERROR(VLOOKUP(BZ46,bhpc_data[],22,FALSE),"")</f>
        <v/>
      </c>
      <c r="EE46" s="445" t="str" cm="1">
        <f t="array" ref="EE46">IFERROR(IF($EC$9="",IF($EC$11="",IF($EC$13="",INDEX(bhpc_data[sku],SMALL(MATCH(ROW(bhpc_data[sku]),ROW(bhpc_data[sku])),ROWS($A$15:A51)+$B$3)),INDEX(bhpc_data[sku],SMALL(IF(ISNUMBER(MATCH(bhpc_data[size],$EC$13,0)),MATCH(ROW(bhpc_data[sku]),ROW(bhpc_data[sku])),""),ROWS($A$15:A51)+$B$3))),IF($EC$13="",INDEX(bhpc_data[sku],SMALL(IF(ISNUMBER(MATCH(bhpc_data[sex],$EC$11,0)),MATCH(ROW(bhpc_data[sku]),ROW(bhpc_data[sku])),""),ROWS($A$15:A51)+$B$3)),INDEX(bhpc_data[sku],SMALL(IF(ISNUMBER(MATCH(bhpc_data[sex],$EC$11,0)*MATCH(bhpc_data[size],$EC$13,0)),MATCH(ROW(bhpc_data[sku]),ROW(bhpc_data[sku])),""),ROWS($A$15:A51)+$B$3)))),IF($EC$11="",IF($EC$13="",INDEX(bhpc_data[sku],SMALL(IF(ISNUMBER(MATCH(bhpc_data[category],$EC$9,0)),MATCH(ROW(bhpc_data[sku]),ROW(bhpc_data[sku])),""),ROWS($A$15:A51)+$B$3)),INDEX(bhpc_data[sku],SMALL(IF(ISNUMBER(MATCH(bhpc_data[category],$EC$9,0)*MATCH(bhpc_data[size],$EC$13,0)),MATCH(ROW(bhpc_data[sku]),ROW(bhpc_data[sku])),""),ROWS($A$15:A51)+$B$3))),IF($EC$13="",INDEX(bhpc_data[sku],SMALL(IF(ISNUMBER(MATCH(bhpc_data[category],$EC$9,0)*MATCH(bhpc_data[sex],$EC$11,0)),MATCH(ROW(bhpc_data[sku]),ROW(bhpc_data[sku])),""),ROWS($A$15:A51)+$B$3)),INDEX(bhpc_data[sku],SMALL(IF(ISNUMBER(MATCH(bhpc_data[category],$EC$9,0)*MATCH(bhpc_data[sex],$EC$11,0)*MATCH(bhpc_data[size],$EC$13,0)),MATCH(ROW(bhpc_data[sku]),ROW(bhpc_data[sku])),""),ROWS($A$15:A51)+$B$3))))),"")</f>
        <v>P06020</v>
      </c>
      <c r="EF46" s="446" t="str" cm="1">
        <f t="array" ref="EF46">IFERROR(IF($EC$9="",IF($EC$11="",IF($EC$13="",INDEX(bhpc_data[description],SMALL(MATCH(ROW(bhpc_data[sku]),ROW(bhpc_data[sku])),ROWS($A$15:A51)+$B$3)),INDEX(bhpc_data[description],SMALL(IF(ISNUMBER(MATCH(bhpc_data[size],$EC$13,0)),MATCH(ROW(bhpc_data[sku]),ROW(bhpc_data[sku])),""),ROWS($A$15:A51)+$B$3))),IF($EC$13="",INDEX(bhpc_data[description],SMALL(IF(ISNUMBER(MATCH(bhpc_data[sex],$EC$11,0)),MATCH(ROW(bhpc_data[sku]),ROW(bhpc_data[sku])),""),ROWS($A$15:A51)+$B$3)),INDEX(bhpc_data[description],SMALL(IF(ISNUMBER(MATCH(bhpc_data[sex],$EC$11,0)*MATCH(bhpc_data[size],$EC$13,0)),MATCH(ROW(bhpc_data[sku]),ROW(bhpc_data[sku])),""),ROWS($A$15:A51)+$B$3)))),IF($EC$11="",IF($EC$13="",INDEX(bhpc_data[description],SMALL(IF(ISNUMBER(MATCH(bhpc_data[category],$EC$9,0)),MATCH(ROW(bhpc_data[sku]),ROW(bhpc_data[sku])),""),ROWS($A$15:A51)+$B$3)),INDEX(bhpc_data[description],SMALL(IF(ISNUMBER(MATCH(bhpc_data[category],$EC$9,0)*MATCH(bhpc_data[size],$EC$13,0)),MATCH(ROW(bhpc_data[sku]),ROW(bhpc_data[sku])),""),ROWS($A$15:A51)+$B$3))),IF($EC$13="",INDEX(bhpc_data[description],SMALL(IF(ISNUMBER(MATCH(bhpc_data[category],$EC$9,0)*MATCH(bhpc_data[sex],$EC$11,0)),MATCH(ROW(bhpc_data[sku]),ROW(bhpc_data[sku])),""),ROWS($A$15:A51)+$B$3)),INDEX(bhpc_data[description],SMALL(IF(ISNUMBER(MATCH(bhpc_data[category],$EC$9,0)*MATCH(bhpc_data[sex],$EC$11,0)*MATCH(bhpc_data[size],$EC$13,0)),MATCH(ROW(bhpc_data[sku]),ROW(bhpc_data[sku])),""),ROWS($A$15:A51)+$B$3))))),"")</f>
        <v>BHPC PRESTIGE KNIGHT 100ML EDP MEN</v>
      </c>
      <c r="EG46" s="447">
        <f>IFERROR(IF('BHPC MANAGER'!$EE46="","",INDEX(inventory[ESISTENZA],MATCH('BHPC MANAGER'!$EE46,inventory[SKU],0))),0)</f>
        <v>1506</v>
      </c>
      <c r="EH46" s="448">
        <v>-1503</v>
      </c>
      <c r="EI46" s="448">
        <f t="shared" si="1"/>
        <v>3</v>
      </c>
      <c r="EJ46" s="449">
        <v>-2</v>
      </c>
      <c r="EK46" s="450">
        <f t="shared" si="2"/>
        <v>1</v>
      </c>
      <c r="EO46" s="215" t="str">
        <f t="array" ref="EO46">IFERROR(INDEX(orderHistory[order_no],SMALL(IF(ISNUMBER(MATCH(orderHistory[status],$EO$7,0)),MATCH(ROW(orderHistory[order_no]),ROW(orderHistory[order_no])),""),ROWS($A$15:A51))),"")</f>
        <v/>
      </c>
    </row>
    <row r="47" spans="6:228" ht="15" customHeight="1" x14ac:dyDescent="0.35">
      <c r="J47" s="264"/>
      <c r="K47" s="264"/>
      <c r="L47" s="381" t="str">
        <f t="array" ref="L47">IFERROR(IF($D$9="",IF($D$11="",IF($D$13="",IF($D$15="",INDEX(orderHistory[customer],SMALL(MATCH(ROW(orderHistory[customer]),ROW(orderHistory[customer])),ROWS($A$15:A52)+$B$3)),INDEX(orderHistory[customer],SMALL(IF(ISNUMBER(MATCH(YEAR(orderHistory[invoice_date]),$D$15,0)),MATCH(ROW(orderHistory[customer]),ROW(orderHistory[customer])),""),ROWS($A$15:A52)+$B$3))),IF($D$15="",INDEX(orderHistory[customer],SMALL(IF(ISNUMBER(MATCH(orderHistory[order_type],$D$13,0)),MATCH(ROW(orderHistory[customer]),ROW(orderHistory[customer])),""),ROWS($A$15:A52)+$B$3)),INDEX(orderHistory[customer],SMALL(IF(ISNUMBER(MATCH(orderHistory[order_type],$D$13,0)*MATCH(YEAR(orderHistory[invoice_date]),$D$15,0)),MATCH(ROW(orderHistory[customer]),ROW(orderHistory[customer])),""),ROWS($A$15:A52)+$B$3)))),IF($D$13="",IF($D$15="",INDEX(orderHistory[customer],SMALL(IF(ISNUMBER(MATCH(orderHistory[status],$D$11,0)),MATCH(ROW(orderHistory[customer]),ROW(orderHistory[customer])),""),ROWS($A$15:A52)+$B$3)),INDEX(orderHistory[customer],SMALL(IF(ISNUMBER(MATCH(orderHistory[status],$D$11,0)*MATCH(YEAR(orderHistory[invoice_date]),$D$15,0)),MATCH(ROW(orderHistory[customer]),ROW(orderHistory[customer])),""),ROWS($A$15:A52)+$B$3))),IF($D$15="",INDEX(orderHistory[customer],SMALL(IF(ISNUMBER(MATCH(orderHistory[status],$D$11,0)*MATCH(orderHistory[order_type],$D$13,0)),MATCH(ROW(orderHistory[customer]),ROW(orderHistory[customer])),""),ROWS($A$15:A52)+$B$3)),INDEX(orderHistory[customer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customer],SMALL(IF(ISNUMBER(MATCH(orderHistory[customer],$D$9,0)),MATCH(ROW(orderHistory[customer]),ROW(orderHistory[customer])),""),ROWS($A$15:A52)+$B$3)),INDEX(orderHistory[customer],SMALL(IF(ISNUMBER(MATCH(orderHistory[customer],$D$9,0)*MATCH(YEAR(orderHistory[invoice_date]),$D$15,0)),MATCH(ROW(orderHistory[customer]),ROW(orderHistory[customer])),""),ROWS($A$15:A52)+$B$3))),IF($D$15="",INDEX(orderHistory[customer],SMALL(IF(ISNUMBER(MATCH(orderHistory[customer],$D$9,0)*MATCH(orderHistory[order_type],$D$13,0)),MATCH(ROW(orderHistory[customer]),ROW(orderHistory[customer])),""),ROWS($A$15:A52)+$B$3)),INDEX(orderHistory[customer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customer],SMALL(IF(ISNUMBER(MATCH(orderHistory[customer],$D$9,0)*MATCH(orderHistory[status],$D$11,0)),MATCH(ROW(orderHistory[customer]),ROW(orderHistory[customer])),""),ROWS($A$15:A52)+$B$3)),INDEX(orderHistory[customer],SMALL(IF(ISNUMBER(MATCH(orderHistory[customer],$D$9,0)*MATCH(orderHistory[status],$D$11,0)*MATCH(YEAR(orderHistory[invoice_date]),$D$15,0)),MATCH(ROW(orderHistory[customer]),ROW(orderHistory[customer])),""),ROWS($A$15:A52)+$B$3))),IF($D$15="",INDEX(orderHistory[customer],SMALL(IF(ISNUMBER(MATCH(orderHistory[customer],$D$9,0)*MATCH(orderHistory[status],$D$11,0)*MATCH(orderHistory[order_type],$D$13,0)),MATCH(ROW(orderHistory[customer]),ROW(orderHistory[customer])),""),ROWS($A$15:A52)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PRESTIGE BRANDS</v>
      </c>
      <c r="M47" s="382">
        <f t="array" ref="M47">IFERROR(IF($D$9="",IF($D$11="",IF($D$13="",IF($D$15="",INDEX(orderHistory[order_no],SMALL(MATCH(ROW(orderHistory[customer]),ROW(orderHistory[customer])),ROWS($A$15:A52)+$B$3)),INDEX(orderHistory[order_no],SMALL(IF(ISNUMBER(MATCH(YEAR(orderHistory[invoice_date]),$D$15,0)),MATCH(ROW(orderHistory[customer]),ROW(orderHistory[customer])),""),ROWS($A$15:A52)+$B$3))),IF($D$15="",INDEX(orderHistory[order_no],SMALL(IF(ISNUMBER(MATCH(orderHistory[order_type],$D$13,0)),MATCH(ROW(orderHistory[customer]),ROW(orderHistory[customer])),""),ROWS($A$15:A52)+$B$3)),INDEX(orderHistory[order_no],SMALL(IF(ISNUMBER(MATCH(orderHistory[order_type],$D$13,0)*MATCH(YEAR(orderHistory[invoice_date]),$D$15,0)),MATCH(ROW(orderHistory[customer]),ROW(orderHistory[customer])),""),ROWS($A$15:A52)+$B$3)))),IF($D$13="",IF($D$15="",INDEX(orderHistory[order_no],SMALL(IF(ISNUMBER(MATCH(orderHistory[status],$D$11,0)),MATCH(ROW(orderHistory[customer]),ROW(orderHistory[customer])),""),ROWS($A$15:A52)+$B$3)),INDEX(orderHistory[order_no],SMALL(IF(ISNUMBER(MATCH(orderHistory[status],$D$11,0)*MATCH(YEAR(orderHistory[invoice_date]),$D$15,0)),MATCH(ROW(orderHistory[customer]),ROW(orderHistory[customer])),""),ROWS($A$15:A52)+$B$3))),IF($D$15="",INDEX(orderHistory[order_no],SMALL(IF(ISNUMBER(MATCH(orderHistory[status],$D$11,0)*MATCH(orderHistory[order_type],$D$13,0)),MATCH(ROW(orderHistory[customer]),ROW(orderHistory[customer])),""),ROWS($A$15:A52)+$B$3)),INDEX(orderHistory[order_no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order_no],SMALL(IF(ISNUMBER(MATCH(orderHistory[customer],$D$9,0)),MATCH(ROW(orderHistory[customer]),ROW(orderHistory[customer])),""),ROWS($A$15:A52)+$B$3)),INDEX(orderHistory[order_no],SMALL(IF(ISNUMBER(MATCH(orderHistory[customer],$D$9,0)*MATCH(YEAR(orderHistory[invoice_date]),$D$15,0)),MATCH(ROW(orderHistory[customer]),ROW(orderHistory[customer])),""),ROWS($A$15:A52)+$B$3))),IF($D$15="",INDEX(orderHistory[order_no],SMALL(IF(ISNUMBER(MATCH(orderHistory[customer],$D$9,0)*MATCH(orderHistory[order_type],$D$13,0)),MATCH(ROW(orderHistory[customer]),ROW(orderHistory[customer])),""),ROWS($A$15:A52)+$B$3)),INDEX(orderHistory[order_no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order_no],SMALL(IF(ISNUMBER(MATCH(orderHistory[customer],$D$9,0)*MATCH(orderHistory[status],$D$11,0)),MATCH(ROW(orderHistory[customer]),ROW(orderHistory[customer])),""),ROWS($A$15:A52)+$B$3)),INDEX(orderHistory[order_no],SMALL(IF(ISNUMBER(MATCH(orderHistory[customer],$D$9,0)*MATCH(orderHistory[status],$D$11,0)*MATCH(YEAR(orderHistory[invoice_date]),$D$15,0)),MATCH(ROW(orderHistory[customer]),ROW(orderHistory[customer])),""),ROWS($A$15:A52)+$B$3))),IF($D$15="",INDEX(orderHistory[order_no],SMALL(IF(ISNUMBER(MATCH(orderHistory[customer],$D$9,0)*MATCH(orderHistory[status],$D$11,0)*MATCH(orderHistory[order_type],$D$13,0)),MATCH(ROW(orderHistory[customer]),ROW(orderHistory[customer])),""),ROWS($A$15:A52)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10</v>
      </c>
      <c r="N47" s="383" t="str">
        <f t="array" ref="N47">IFERROR(IF($D$9="",IF($D$11="",IF($D$13="",IF($D$15="",INDEX(orderHistory[order_type],SMALL(MATCH(ROW(orderHistory[customer]),ROW(orderHistory[customer])),ROWS($A$15:A52)+$B$3)),INDEX(orderHistory[order_type],SMALL(IF(ISNUMBER(MATCH(YEAR(orderHistory[invoice_date]),$D$15,0)),MATCH(ROW(orderHistory[customer]),ROW(orderHistory[customer])),""),ROWS($A$15:A52)+$B$3))),IF($D$15="",INDEX(orderHistory[order_type],SMALL(IF(ISNUMBER(MATCH(orderHistory[order_type],$D$13,0)),MATCH(ROW(orderHistory[customer]),ROW(orderHistory[customer])),""),ROWS($A$15:A52)+$B$3)),INDEX(orderHistory[order_type],SMALL(IF(ISNUMBER(MATCH(orderHistory[order_type],$D$13,0)*MATCH(YEAR(orderHistory[invoice_date]),$D$15,0)),MATCH(ROW(orderHistory[customer]),ROW(orderHistory[customer])),""),ROWS($A$15:A52)+$B$3)))),IF($D$13="",IF($D$15="",INDEX(orderHistory[order_type],SMALL(IF(ISNUMBER(MATCH(orderHistory[status],$D$11,0)),MATCH(ROW(orderHistory[customer]),ROW(orderHistory[customer])),""),ROWS($A$15:A52)+$B$3)),INDEX(orderHistory[order_type],SMALL(IF(ISNUMBER(MATCH(orderHistory[status],$D$11,0)*MATCH(YEAR(orderHistory[invoice_date]),$D$15,0)),MATCH(ROW(orderHistory[customer]),ROW(orderHistory[customer])),""),ROWS($A$15:A52)+$B$3))),IF($D$15="",INDEX(orderHistory[order_type],SMALL(IF(ISNUMBER(MATCH(orderHistory[status],$D$11,0)*MATCH(orderHistory[order_type],$D$13,0)),MATCH(ROW(orderHistory[customer]),ROW(orderHistory[customer])),""),ROWS($A$15:A52)+$B$3)),INDEX(orderHistory[order_type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order_type],SMALL(IF(ISNUMBER(MATCH(orderHistory[customer],$D$9,0)),MATCH(ROW(orderHistory[customer]),ROW(orderHistory[customer])),""),ROWS($A$15:A52)+$B$3)),INDEX(orderHistory[order_type],SMALL(IF(ISNUMBER(MATCH(orderHistory[customer],$D$9,0)*MATCH(YEAR(orderHistory[invoice_date]),$D$15,0)),MATCH(ROW(orderHistory[customer]),ROW(orderHistory[customer])),""),ROWS($A$15:A52)+$B$3))),IF($D$15="",INDEX(orderHistory[order_type],SMALL(IF(ISNUMBER(MATCH(orderHistory[customer],$D$9,0)*MATCH(orderHistory[order_type],$D$13,0)),MATCH(ROW(orderHistory[customer]),ROW(orderHistory[customer])),""),ROWS($A$15:A52)+$B$3)),INDEX(orderHistory[order_type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order_type],SMALL(IF(ISNUMBER(MATCH(orderHistory[customer],$D$9,0)*MATCH(orderHistory[status],$D$11,0)),MATCH(ROW(orderHistory[customer]),ROW(orderHistory[customer])),""),ROWS($A$15:A52)+$B$3)),INDEX(orderHistory[order_type],SMALL(IF(ISNUMBER(MATCH(orderHistory[customer],$D$9,0)*MATCH(orderHistory[status],$D$11,0)*MATCH(YEAR(orderHistory[invoice_date]),$D$15,0)),MATCH(ROW(orderHistory[customer]),ROW(orderHistory[customer])),""),ROWS($A$15:A52)+$B$3))),IF($D$15="",INDEX(orderHistory[order_type],SMALL(IF(ISNUMBER(MATCH(orderHistory[customer],$D$9,0)*MATCH(orderHistory[status],$D$11,0)*MATCH(orderHistory[order_type],$D$13,0)),MATCH(ROW(orderHistory[customer]),ROW(orderHistory[customer])),""),ROWS($A$15:A52)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SALE</v>
      </c>
      <c r="O47" s="384">
        <f t="array" ref="O47">IFERROR(IF($D$9="",IF($D$11="",IF($D$13="",IF($D$15="",INDEX(orderHistory[order_date],SMALL(MATCH(ROW(orderHistory[customer]),ROW(orderHistory[customer])),ROWS($A$15:A52)+$B$3)),INDEX(orderHistory[order_date],SMALL(IF(ISNUMBER(MATCH(YEAR(orderHistory[invoice_date]),$D$15,0)),MATCH(ROW(orderHistory[customer]),ROW(orderHistory[customer])),""),ROWS($A$15:A52)+$B$3))),IF($D$15="",INDEX(orderHistory[order_date],SMALL(IF(ISNUMBER(MATCH(orderHistory[order_type],$D$13,0)),MATCH(ROW(orderHistory[customer]),ROW(orderHistory[customer])),""),ROWS($A$15:A52)+$B$3)),INDEX(orderHistory[order_date],SMALL(IF(ISNUMBER(MATCH(orderHistory[order_type],$D$13,0)*MATCH(YEAR(orderHistory[invoice_date]),$D$15,0)),MATCH(ROW(orderHistory[customer]),ROW(orderHistory[customer])),""),ROWS($A$15:A52)+$B$3)))),IF($D$13="",IF($D$15="",INDEX(orderHistory[order_date],SMALL(IF(ISNUMBER(MATCH(orderHistory[status],$D$11,0)),MATCH(ROW(orderHistory[customer]),ROW(orderHistory[customer])),""),ROWS($A$15:A52)+$B$3)),INDEX(orderHistory[order_date],SMALL(IF(ISNUMBER(MATCH(orderHistory[status],$D$11,0)*MATCH(YEAR(orderHistory[invoice_date]),$D$15,0)),MATCH(ROW(orderHistory[customer]),ROW(orderHistory[customer])),""),ROWS($A$15:A52)+$B$3))),IF($D$15="",INDEX(orderHistory[order_date],SMALL(IF(ISNUMBER(MATCH(orderHistory[status],$D$11,0)*MATCH(orderHistory[order_type],$D$13,0)),MATCH(ROW(orderHistory[customer]),ROW(orderHistory[customer])),""),ROWS($A$15:A52)+$B$3)),INDEX(orderHistory[order_date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order_date],SMALL(IF(ISNUMBER(MATCH(orderHistory[customer],$D$9,0)),MATCH(ROW(orderHistory[customer]),ROW(orderHistory[customer])),""),ROWS($A$15:A52)+$B$3)),INDEX(orderHistory[order_date],SMALL(IF(ISNUMBER(MATCH(orderHistory[customer],$D$9,0)*MATCH(YEAR(orderHistory[invoice_date]),$D$15,0)),MATCH(ROW(orderHistory[customer]),ROW(orderHistory[customer])),""),ROWS($A$15:A52)+$B$3))),IF($D$15="",INDEX(orderHistory[order_date],SMALL(IF(ISNUMBER(MATCH(orderHistory[customer],$D$9,0)*MATCH(orderHistory[order_type],$D$13,0)),MATCH(ROW(orderHistory[customer]),ROW(orderHistory[customer])),""),ROWS($A$15:A52)+$B$3)),INDEX(orderHistory[order_date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order_date],SMALL(IF(ISNUMBER(MATCH(orderHistory[customer],$D$9,0)*MATCH(orderHistory[status],$D$11,0)),MATCH(ROW(orderHistory[customer]),ROW(orderHistory[customer])),""),ROWS($A$15:A52)+$B$3)),INDEX(orderHistory[order_date],SMALL(IF(ISNUMBER(MATCH(orderHistory[customer],$D$9,0)*MATCH(orderHistory[status],$D$11,0)*MATCH(YEAR(orderHistory[invoice_date]),$D$15,0)),MATCH(ROW(orderHistory[customer]),ROW(orderHistory[customer])),""),ROWS($A$15:A52)+$B$3))),IF($D$15="",INDEX(orderHistory[order_date],SMALL(IF(ISNUMBER(MATCH(orderHistory[customer],$D$9,0)*MATCH(orderHistory[status],$D$11,0)*MATCH(orderHistory[order_type],$D$13,0)),MATCH(ROW(orderHistory[customer]),ROW(orderHistory[customer])),""),ROWS($A$15:A52)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45299</v>
      </c>
      <c r="P47" s="385" t="str">
        <f t="array" ref="P47">IFERROR(IF($D$9="",IF($D$11="",IF($D$13="",IF($D$15="",INDEX(orderHistory[invoice_no],SMALL(MATCH(ROW(orderHistory[customer]),ROW(orderHistory[customer])),ROWS($A$15:A52)+$B$3)),INDEX(orderHistory[invoice_no],SMALL(IF(ISNUMBER(MATCH(YEAR(orderHistory[invoice_date]),$D$15,0)),MATCH(ROW(orderHistory[customer]),ROW(orderHistory[customer])),""),ROWS($A$15:A52)+$B$3))),IF($D$15="",INDEX(orderHistory[invoice_no],SMALL(IF(ISNUMBER(MATCH(orderHistory[order_type],$D$13,0)),MATCH(ROW(orderHistory[customer]),ROW(orderHistory[customer])),""),ROWS($A$15:A52)+$B$3)),INDEX(orderHistory[invoice_no],SMALL(IF(ISNUMBER(MATCH(orderHistory[order_type],$D$13,0)*MATCH(YEAR(orderHistory[invoice_date]),$D$15,0)),MATCH(ROW(orderHistory[customer]),ROW(orderHistory[customer])),""),ROWS($A$15:A52)+$B$3)))),IF($D$13="",IF($D$15="",INDEX(orderHistory[invoice_no],SMALL(IF(ISNUMBER(MATCH(orderHistory[status],$D$11,0)),MATCH(ROW(orderHistory[customer]),ROW(orderHistory[customer])),""),ROWS($A$15:A52)+$B$3)),INDEX(orderHistory[invoice_no],SMALL(IF(ISNUMBER(MATCH(orderHistory[status],$D$11,0)*MATCH(YEAR(orderHistory[invoice_date]),$D$15,0)),MATCH(ROW(orderHistory[customer]),ROW(orderHistory[customer])),""),ROWS($A$15:A52)+$B$3))),IF($D$15="",INDEX(orderHistory[invoice_no],SMALL(IF(ISNUMBER(MATCH(orderHistory[status],$D$11,0)*MATCH(orderHistory[order_type],$D$13,0)),MATCH(ROW(orderHistory[customer]),ROW(orderHistory[customer])),""),ROWS($A$15:A52)+$B$3)),INDEX(orderHistory[invoice_no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invoice_no],SMALL(IF(ISNUMBER(MATCH(orderHistory[customer],$D$9,0)),MATCH(ROW(orderHistory[customer]),ROW(orderHistory[customer])),""),ROWS($A$15:A52)+$B$3)),INDEX(orderHistory[invoice_no],SMALL(IF(ISNUMBER(MATCH(orderHistory[customer],$D$9,0)*MATCH(YEAR(orderHistory[invoice_date]),$D$15,0)),MATCH(ROW(orderHistory[customer]),ROW(orderHistory[customer])),""),ROWS($A$15:A52)+$B$3))),IF($D$15="",INDEX(orderHistory[invoice_no],SMALL(IF(ISNUMBER(MATCH(orderHistory[customer],$D$9,0)*MATCH(orderHistory[order_type],$D$13,0)),MATCH(ROW(orderHistory[customer]),ROW(orderHistory[customer])),""),ROWS($A$15:A52)+$B$3)),INDEX(orderHistory[invoice_no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invoice_no],SMALL(IF(ISNUMBER(MATCH(orderHistory[customer],$D$9,0)*MATCH(orderHistory[status],$D$11,0)),MATCH(ROW(orderHistory[customer]),ROW(orderHistory[customer])),""),ROWS($A$15:A52)+$B$3)),INDEX(orderHistory[invoice_no],SMALL(IF(ISNUMBER(MATCH(orderHistory[customer],$D$9,0)*MATCH(orderHistory[status],$D$11,0)*MATCH(YEAR(orderHistory[invoice_date]),$D$15,0)),MATCH(ROW(orderHistory[customer]),ROW(orderHistory[customer])),""),ROWS($A$15:A52)+$B$3))),IF($D$15="",INDEX(orderHistory[invoice_no],SMALL(IF(ISNUMBER(MATCH(orderHistory[customer],$D$9,0)*MATCH(orderHistory[status],$D$11,0)*MATCH(orderHistory[order_type],$D$13,0)),MATCH(ROW(orderHistory[customer]),ROW(orderHistory[customer])),""),ROWS($A$15:A52)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56</v>
      </c>
      <c r="Q47" s="386">
        <f t="array" ref="Q47">IFERROR(IF($D$9="",IF($D$11="",IF($D$13="",IF($D$15="",INDEX(orderHistory[invoice_date],SMALL(MATCH(ROW(orderHistory[customer]),ROW(orderHistory[customer])),ROWS($A$15:A52)+$B$3)),INDEX(orderHistory[invoice_date],SMALL(IF(ISNUMBER(MATCH(YEAR(orderHistory[invoice_date]),$D$15,0)),MATCH(ROW(orderHistory[customer]),ROW(orderHistory[customer])),""),ROWS($A$15:A52)+$B$3))),IF($D$15="",INDEX(orderHistory[invoice_date],SMALL(IF(ISNUMBER(MATCH(orderHistory[order_type],$D$13,0)),MATCH(ROW(orderHistory[customer]),ROW(orderHistory[customer])),""),ROWS($A$15:A52)+$B$3)),INDEX(orderHistory[invoice_date],SMALL(IF(ISNUMBER(MATCH(orderHistory[order_type],$D$13,0)*MATCH(YEAR(orderHistory[invoice_date]),$D$15,0)),MATCH(ROW(orderHistory[customer]),ROW(orderHistory[customer])),""),ROWS($A$15:A52)+$B$3)))),IF($D$13="",IF($D$15="",INDEX(orderHistory[invoice_date],SMALL(IF(ISNUMBER(MATCH(orderHistory[status],$D$11,0)),MATCH(ROW(orderHistory[customer]),ROW(orderHistory[customer])),""),ROWS($A$15:A52)+$B$3)),INDEX(orderHistory[invoice_date],SMALL(IF(ISNUMBER(MATCH(orderHistory[status],$D$11,0)*MATCH(YEAR(orderHistory[invoice_date]),$D$15,0)),MATCH(ROW(orderHistory[customer]),ROW(orderHistory[customer])),""),ROWS($A$15:A52)+$B$3))),IF($D$15="",INDEX(orderHistory[invoice_date],SMALL(IF(ISNUMBER(MATCH(orderHistory[status],$D$11,0)*MATCH(orderHistory[order_type],$D$13,0)),MATCH(ROW(orderHistory[customer]),ROW(orderHistory[customer])),""),ROWS($A$15:A52)+$B$3)),INDEX(orderHistory[invoice_date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invoice_date],SMALL(IF(ISNUMBER(MATCH(orderHistory[customer],$D$9,0)),MATCH(ROW(orderHistory[customer]),ROW(orderHistory[customer])),""),ROWS($A$15:A52)+$B$3)),INDEX(orderHistory[invoice_date],SMALL(IF(ISNUMBER(MATCH(orderHistory[customer],$D$9,0)*MATCH(YEAR(orderHistory[invoice_date]),$D$15,0)),MATCH(ROW(orderHistory[customer]),ROW(orderHistory[customer])),""),ROWS($A$15:A52)+$B$3))),IF($D$15="",INDEX(orderHistory[invoice_date],SMALL(IF(ISNUMBER(MATCH(orderHistory[customer],$D$9,0)*MATCH(orderHistory[order_type],$D$13,0)),MATCH(ROW(orderHistory[customer]),ROW(orderHistory[customer])),""),ROWS($A$15:A52)+$B$3)),INDEX(orderHistory[invoice_date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invoice_date],SMALL(IF(ISNUMBER(MATCH(orderHistory[customer],$D$9,0)*MATCH(orderHistory[status],$D$11,0)),MATCH(ROW(orderHistory[customer]),ROW(orderHistory[customer])),""),ROWS($A$15:A52)+$B$3)),INDEX(orderHistory[invoice_date],SMALL(IF(ISNUMBER(MATCH(orderHistory[customer],$D$9,0)*MATCH(orderHistory[status],$D$11,0)*MATCH(YEAR(orderHistory[invoice_date]),$D$15,0)),MATCH(ROW(orderHistory[customer]),ROW(orderHistory[customer])),""),ROWS($A$15:A52)+$B$3))),IF($D$15="",INDEX(orderHistory[invoice_date],SMALL(IF(ISNUMBER(MATCH(orderHistory[customer],$D$9,0)*MATCH(orderHistory[status],$D$11,0)*MATCH(orderHistory[order_type],$D$13,0)),MATCH(ROW(orderHistory[customer]),ROW(orderHistory[customer])),""),ROWS($A$15:A52)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45349</v>
      </c>
      <c r="R47" s="387">
        <f t="array" ref="R47">IFERROR(IF($D$9="",IF($D$11="",IF($D$13="",IF($D$15="",INDEX(orderHistory[inv_amount],SMALL(MATCH(ROW(orderHistory[customer]),ROW(orderHistory[customer])),ROWS($A$15:A52)+$B$3)),INDEX(orderHistory[inv_amount],SMALL(IF(ISNUMBER(MATCH(YEAR(orderHistory[invoice_date]),$D$15,0)),MATCH(ROW(orderHistory[customer]),ROW(orderHistory[customer])),""),ROWS($A$15:A52)+$B$3))),IF($D$15="",INDEX(orderHistory[inv_amount],SMALL(IF(ISNUMBER(MATCH(orderHistory[order_type],$D$13,0)),MATCH(ROW(orderHistory[customer]),ROW(orderHistory[customer])),""),ROWS($A$15:A52)+$B$3)),INDEX(orderHistory[inv_amount],SMALL(IF(ISNUMBER(MATCH(orderHistory[order_type],$D$13,0)*MATCH(YEAR(orderHistory[invoice_date]),$D$15,0)),MATCH(ROW(orderHistory[customer]),ROW(orderHistory[customer])),""),ROWS($A$15:A52)+$B$3)))),IF($D$13="",IF($D$15="",INDEX(orderHistory[inv_amount],SMALL(IF(ISNUMBER(MATCH(orderHistory[status],$D$11,0)),MATCH(ROW(orderHistory[customer]),ROW(orderHistory[customer])),""),ROWS($A$15:A52)+$B$3)),INDEX(orderHistory[inv_amount],SMALL(IF(ISNUMBER(MATCH(orderHistory[status],$D$11,0)*MATCH(YEAR(orderHistory[invoice_date]),$D$15,0)),MATCH(ROW(orderHistory[customer]),ROW(orderHistory[customer])),""),ROWS($A$15:A52)+$B$3))),IF($D$15="",INDEX(orderHistory[inv_amount],SMALL(IF(ISNUMBER(MATCH(orderHistory[status],$D$11,0)*MATCH(orderHistory[order_type],$D$13,0)),MATCH(ROW(orderHistory[customer]),ROW(orderHistory[customer])),""),ROWS($A$15:A52)+$B$3)),INDEX(orderHistory[inv_amount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inv_amount],SMALL(IF(ISNUMBER(MATCH(orderHistory[customer],$D$9,0)),MATCH(ROW(orderHistory[customer]),ROW(orderHistory[customer])),""),ROWS($A$15:A52)+$B$3)),INDEX(orderHistory[inv_amount],SMALL(IF(ISNUMBER(MATCH(orderHistory[customer],$D$9,0)*MATCH(YEAR(orderHistory[invoice_date]),$D$15,0)),MATCH(ROW(orderHistory[customer]),ROW(orderHistory[customer])),""),ROWS($A$15:A52)+$B$3))),IF($D$15="",INDEX(orderHistory[inv_amount],SMALL(IF(ISNUMBER(MATCH(orderHistory[customer],$D$9,0)*MATCH(orderHistory[order_type],$D$13,0)),MATCH(ROW(orderHistory[customer]),ROW(orderHistory[customer])),""),ROWS($A$15:A52)+$B$3)),INDEX(orderHistory[inv_amount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inv_amount],SMALL(IF(ISNUMBER(MATCH(orderHistory[customer],$D$9,0)*MATCH(orderHistory[status],$D$11,0)),MATCH(ROW(orderHistory[customer]),ROW(orderHistory[customer])),""),ROWS($A$15:A52)+$B$3)),INDEX(orderHistory[inv_amount],SMALL(IF(ISNUMBER(MATCH(orderHistory[customer],$D$9,0)*MATCH(orderHistory[status],$D$11,0)*MATCH(YEAR(orderHistory[inv_amount]),$D$15,0)),MATCH(ROW(orderHistory[customer]),ROW(orderHistory[customer])),""),ROWS($A$15:A52)+$B$3))),IF($D$15="",INDEX(orderHistory[inv_amount],SMALL(IF(ISNUMBER(MATCH(orderHistory[customer],$D$9,0)*MATCH(orderHistory[status],$D$11,0)*MATCH(orderHistory[order_type],$D$13,0)),MATCH(ROW(orderHistory[customer]),ROW(orderHistory[customer])),""),ROWS($A$15:A52)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5252.8</v>
      </c>
      <c r="S47" s="465" t="str">
        <f t="array" ref="S47">IFERROR(IF($D$9="",IF($D$11="",IF($D$13="",IF($D$15="",INDEX(orderHistory[lock_goods],SMALL(MATCH(ROW(orderHistory[customer]),ROW(orderHistory[customer])),ROWS($A$15:A52)+$B$3)),INDEX(orderHistory[lock_goods],SMALL(IF(ISNUMBER(MATCH(YEAR(orderHistory[invoice_date]),$D$15,0)),MATCH(ROW(orderHistory[customer]),ROW(orderHistory[customer])),""),ROWS($A$15:A52)+$B$3))),IF($D$15="",INDEX(orderHistory[lock_goods],SMALL(IF(ISNUMBER(MATCH(orderHistory[order_type],$D$13,0)),MATCH(ROW(orderHistory[customer]),ROW(orderHistory[customer])),""),ROWS($A$15:A52)+$B$3)),INDEX(orderHistory[lock_goods],SMALL(IF(ISNUMBER(MATCH(orderHistory[order_type],$D$13,0)*MATCH(YEAR(orderHistory[invoice_date]),$D$15,0)),MATCH(ROW(orderHistory[customer]),ROW(orderHistory[customer])),""),ROWS($A$15:A52)+$B$3)))),IF($D$13="",IF($D$15="",INDEX(orderHistory[lock_goods],SMALL(IF(ISNUMBER(MATCH(orderHistory[status],$D$11,0)),MATCH(ROW(orderHistory[customer]),ROW(orderHistory[customer])),""),ROWS($A$15:A52)+$B$3)),INDEX(orderHistory[lock_goods],SMALL(IF(ISNUMBER(MATCH(orderHistory[status],$D$11,0)*MATCH(YEAR(orderHistory[invoice_date]),$D$15,0)),MATCH(ROW(orderHistory[customer]),ROW(orderHistory[customer])),""),ROWS($A$15:A52)+$B$3))),IF($D$15="",INDEX(orderHistory[lock_goods],SMALL(IF(ISNUMBER(MATCH(orderHistory[status],$D$11,0)*MATCH(orderHistory[order_type],$D$13,0)),MATCH(ROW(orderHistory[customer]),ROW(orderHistory[customer])),""),ROWS($A$15:A52)+$B$3)),INDEX(orderHistory[lock_goods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lock_goods],SMALL(IF(ISNUMBER(MATCH(orderHistory[customer],$D$9,0)),MATCH(ROW(orderHistory[customer]),ROW(orderHistory[customer])),""),ROWS($A$15:A52)+$B$3)),INDEX(orderHistory[lock_goods],SMALL(IF(ISNUMBER(MATCH(orderHistory[customer],$D$9,0)*MATCH(YEAR(orderHistory[invoice_date]),$D$15,0)),MATCH(ROW(orderHistory[customer]),ROW(orderHistory[customer])),""),ROWS($A$15:A52)+$B$3))),IF($D$15="",INDEX(orderHistory[lock_goods],SMALL(IF(ISNUMBER(MATCH(orderHistory[customer],$D$9,0)*MATCH(orderHistory[order_type],$D$13,0)),MATCH(ROW(orderHistory[customer]),ROW(orderHistory[customer])),""),ROWS($A$15:A52)+$B$3)),INDEX(orderHistory[lock_goods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lock_goods],SMALL(IF(ISNUMBER(MATCH(orderHistory[customer],$D$9,0)*MATCH(orderHistory[status],$D$11,0)),MATCH(ROW(orderHistory[customer]),ROW(orderHistory[customer])),""),ROWS($A$15:A52)+$B$3)),INDEX(orderHistory[lock_goods],SMALL(IF(ISNUMBER(MATCH(orderHistory[customer],$D$9,0)*MATCH(orderHistory[status],$D$11,0)*MATCH(YEAR(orderHistory[payed]),$D$15,0)),MATCH(ROW(orderHistory[customer]),ROW(orderHistory[customer])),""),ROWS($A$15:A52)+$B$3))),IF($D$15="",INDEX(orderHistory[lock_goods],SMALL(IF(ISNUMBER(MATCH(orderHistory[customer],$D$9,0)*MATCH(orderHistory[status],$D$11,0)*MATCH(orderHistory[order_type],$D$13,0)),MATCH(ROW(orderHistory[customer]),ROW(orderHistory[customer])),""),ROWS($A$15:A52)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GOODS SENT</v>
      </c>
      <c r="T47" s="388" t="b">
        <f t="array" ref="T47">IFERROR(IF($D$9="",IF($D$11="",IF($D$13="",IF($D$15="",INDEX(orderHistory[payed],SMALL(MATCH(ROW(orderHistory[customer]),ROW(orderHistory[customer])),ROWS($A$15:A52)+$B$3)),INDEX(orderHistory[payed],SMALL(IF(ISNUMBER(MATCH(YEAR(orderHistory[invoice_date]),$D$15,0)),MATCH(ROW(orderHistory[customer]),ROW(orderHistory[customer])),""),ROWS($A$15:A52)+$B$3))),IF($D$15="",INDEX(orderHistory[payed],SMALL(IF(ISNUMBER(MATCH(orderHistory[order_type],$D$13,0)),MATCH(ROW(orderHistory[customer]),ROW(orderHistory[customer])),""),ROWS($A$15:A52)+$B$3)),INDEX(orderHistory[payed],SMALL(IF(ISNUMBER(MATCH(orderHistory[order_type],$D$13,0)*MATCH(YEAR(orderHistory[invoice_date]),$D$15,0)),MATCH(ROW(orderHistory[customer]),ROW(orderHistory[customer])),""),ROWS($A$15:A52)+$B$3)))),IF($D$13="",IF($D$15="",INDEX(orderHistory[payed],SMALL(IF(ISNUMBER(MATCH(orderHistory[status],$D$11,0)),MATCH(ROW(orderHistory[customer]),ROW(orderHistory[customer])),""),ROWS($A$15:A52)+$B$3)),INDEX(orderHistory[payed],SMALL(IF(ISNUMBER(MATCH(orderHistory[status],$D$11,0)*MATCH(YEAR(orderHistory[invoice_date]),$D$15,0)),MATCH(ROW(orderHistory[customer]),ROW(orderHistory[customer])),""),ROWS($A$15:A52)+$B$3))),IF($D$15="",INDEX(orderHistory[payed],SMALL(IF(ISNUMBER(MATCH(orderHistory[status],$D$11,0)*MATCH(orderHistory[order_type],$D$13,0)),MATCH(ROW(orderHistory[customer]),ROW(orderHistory[customer])),""),ROWS($A$15:A52)+$B$3)),INDEX(orderHistory[payed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payed],SMALL(IF(ISNUMBER(MATCH(orderHistory[customer],$D$9,0)),MATCH(ROW(orderHistory[customer]),ROW(orderHistory[customer])),""),ROWS($A$15:A52)+$B$3)),INDEX(orderHistory[payed],SMALL(IF(ISNUMBER(MATCH(orderHistory[customer],$D$9,0)*MATCH(YEAR(orderHistory[invoice_date]),$D$15,0)),MATCH(ROW(orderHistory[customer]),ROW(orderHistory[customer])),""),ROWS($A$15:A52)+$B$3))),IF($D$15="",INDEX(orderHistory[payed],SMALL(IF(ISNUMBER(MATCH(orderHistory[customer],$D$9,0)*MATCH(orderHistory[order_type],$D$13,0)),MATCH(ROW(orderHistory[customer]),ROW(orderHistory[customer])),""),ROWS($A$15:A52)+$B$3)),INDEX(orderHistory[payed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payed],SMALL(IF(ISNUMBER(MATCH(orderHistory[customer],$D$9,0)*MATCH(orderHistory[status],$D$11,0)),MATCH(ROW(orderHistory[customer]),ROW(orderHistory[customer])),""),ROWS($A$15:A52)+$B$3)),INDEX(orderHistory[payed],SMALL(IF(ISNUMBER(MATCH(orderHistory[customer],$D$9,0)*MATCH(orderHistory[status],$D$11,0)*MATCH(YEAR(orderHistory[payed]),$D$15,0)),MATCH(ROW(orderHistory[customer]),ROW(orderHistory[customer])),""),ROWS($A$15:A52)+$B$3))),IF($D$15="",INDEX(orderHistory[payed],SMALL(IF(ISNUMBER(MATCH(orderHistory[customer],$D$9,0)*MATCH(orderHistory[status],$D$11,0)*MATCH(orderHistory[order_type],$D$13,0)),MATCH(ROW(orderHistory[customer]),ROW(orderHistory[customer])),""),ROWS($A$15:A52)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1</v>
      </c>
      <c r="U47" s="383" t="str">
        <f t="array" ref="U47">IFERROR(IF($D$9="",IF($D$11="",IF($D$13="",IF($D$15="",INDEX(orderHistory[shipping_method],SMALL(MATCH(ROW(orderHistory[customer]),ROW(orderHistory[customer])),ROWS($A$15:A52)+$B$3)),INDEX(orderHistory[shipping_method],SMALL(IF(ISNUMBER(MATCH(YEAR(orderHistory[invoice_date]),$D$15,0)),MATCH(ROW(orderHistory[customer]),ROW(orderHistory[customer])),""),ROWS($A$15:A52)+$B$3))),IF($D$15="",INDEX(orderHistory[shipping_method],SMALL(IF(ISNUMBER(MATCH(orderHistory[order_type],$D$13,0)),MATCH(ROW(orderHistory[customer]),ROW(orderHistory[customer])),""),ROWS($A$15:A52)+$B$3)),INDEX(orderHistory[shipping_method],SMALL(IF(ISNUMBER(MATCH(orderHistory[order_type],$D$13,0)*MATCH(YEAR(orderHistory[invoice_date]),$D$15,0)),MATCH(ROW(orderHistory[customer]),ROW(orderHistory[customer])),""),ROWS($A$15:A52)+$B$3)))),IF($D$13="",IF($D$15="",INDEX(orderHistory[shipping_method],SMALL(IF(ISNUMBER(MATCH(orderHistory[status],$D$11,0)),MATCH(ROW(orderHistory[customer]),ROW(orderHistory[customer])),""),ROWS($A$15:A52)+$B$3)),INDEX(orderHistory[shipping_method],SMALL(IF(ISNUMBER(MATCH(orderHistory[status],$D$11,0)*MATCH(YEAR(orderHistory[invoice_date]),$D$15,0)),MATCH(ROW(orderHistory[customer]),ROW(orderHistory[customer])),""),ROWS($A$15:A52)+$B$3))),IF($D$15="",INDEX(orderHistory[shipping_method],SMALL(IF(ISNUMBER(MATCH(orderHistory[status],$D$11,0)*MATCH(orderHistory[order_type],$D$13,0)),MATCH(ROW(orderHistory[customer]),ROW(orderHistory[customer])),""),ROWS($A$15:A52)+$B$3)),INDEX(orderHistory[shipping_method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shipping_method],SMALL(IF(ISNUMBER(MATCH(orderHistory[customer],$D$9,0)),MATCH(ROW(orderHistory[customer]),ROW(orderHistory[customer])),""),ROWS($A$15:A52)+$B$3)),INDEX(orderHistory[shipping_method],SMALL(IF(ISNUMBER(MATCH(orderHistory[customer],$D$9,0)*MATCH(YEAR(orderHistory[invoice_date]),$D$15,0)),MATCH(ROW(orderHistory[customer]),ROW(orderHistory[customer])),""),ROWS($A$15:A52)+$B$3))),IF($D$15="",INDEX(orderHistory[shipping_method],SMALL(IF(ISNUMBER(MATCH(orderHistory[customer],$D$9,0)*MATCH(orderHistory[order_type],$D$13,0)),MATCH(ROW(orderHistory[customer]),ROW(orderHistory[customer])),""),ROWS($A$15:A52)+$B$3)),INDEX(orderHistory[shipping_method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shipping_method],SMALL(IF(ISNUMBER(MATCH(orderHistory[customer],$D$9,0)*MATCH(orderHistory[status],$D$11,0)),MATCH(ROW(orderHistory[customer]),ROW(orderHistory[customer])),""),ROWS($A$15:A52)+$B$3)),INDEX(orderHistory[shipping_method],SMALL(IF(ISNUMBER(MATCH(orderHistory[customer],$D$9,0)*MATCH(orderHistory[status],$D$11,0)*MATCH(YEAR(orderHistory[shipping_method]),$D$15,0)),MATCH(ROW(orderHistory[customer]),ROW(orderHistory[customer])),""),ROWS($A$15:A52)+$B$3))),IF($D$15="",INDEX(orderHistory[shipping_method],SMALL(IF(ISNUMBER(MATCH(orderHistory[customer],$D$9,0)*MATCH(orderHistory[status],$D$11,0)*MATCH(orderHistory[order_type],$D$13,0)),MATCH(ROW(orderHistory[customer]),ROW(orderHistory[customer])),""),ROWS($A$15:A52)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BY ROAD</v>
      </c>
      <c r="V47" s="388" t="str">
        <f t="array" ref="V47">IFERROR(IF($D$9="",IF($D$11="",IF($D$13="",IF($D$15="",INDEX(orderHistory[status],SMALL(MATCH(ROW(orderHistory[customer]),ROW(orderHistory[customer])),ROWS($A$15:A52)+$B$3)),INDEX(orderHistory[status],SMALL(IF(ISNUMBER(MATCH(YEAR(orderHistory[invoice_date]),$D$15,0)),MATCH(ROW(orderHistory[customer]),ROW(orderHistory[customer])),""),ROWS($A$15:A52)+$B$3))),IF($D$15="",INDEX(orderHistory[status],SMALL(IF(ISNUMBER(MATCH(orderHistory[order_type],$D$13,0)),MATCH(ROW(orderHistory[customer]),ROW(orderHistory[customer])),""),ROWS($A$15:A52)+$B$3)),INDEX(orderHistory[status],SMALL(IF(ISNUMBER(MATCH(orderHistory[order_type],$D$13,0)*MATCH(YEAR(orderHistory[invoice_date]),$D$15,0)),MATCH(ROW(orderHistory[customer]),ROW(orderHistory[customer])),""),ROWS($A$15:A52)+$B$3)))),IF($D$13="",IF($D$15="",INDEX(orderHistory[status],SMALL(IF(ISNUMBER(MATCH(orderHistory[status],$D$11,0)),MATCH(ROW(orderHistory[customer]),ROW(orderHistory[customer])),""),ROWS($A$15:A52)+$B$3)),INDEX(orderHistory[status],SMALL(IF(ISNUMBER(MATCH(orderHistory[status],$D$11,0)*MATCH(YEAR(orderHistory[invoice_date]),$D$15,0)),MATCH(ROW(orderHistory[customer]),ROW(orderHistory[customer])),""),ROWS($A$15:A52)+$B$3))),IF($D$15="",INDEX(orderHistory[status],SMALL(IF(ISNUMBER(MATCH(orderHistory[status],$D$11,0)*MATCH(orderHistory[order_type],$D$13,0)),MATCH(ROW(orderHistory[customer]),ROW(orderHistory[customer])),""),ROWS($A$15:A52)+$B$3)),INDEX(orderHistory[status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status],SMALL(IF(ISNUMBER(MATCH(orderHistory[customer],$D$9,0)),MATCH(ROW(orderHistory[customer]),ROW(orderHistory[customer])),""),ROWS($A$15:A52)+$B$3)),INDEX(orderHistory[status],SMALL(IF(ISNUMBER(MATCH(orderHistory[customer],$D$9,0)*MATCH(YEAR(orderHistory[invoice_date]),$D$15,0)),MATCH(ROW(orderHistory[customer]),ROW(orderHistory[customer])),""),ROWS($A$15:A52)+$B$3))),IF($D$15="",INDEX(orderHistory[status],SMALL(IF(ISNUMBER(MATCH(orderHistory[customer],$D$9,0)*MATCH(orderHistory[order_type],$D$13,0)),MATCH(ROW(orderHistory[customer]),ROW(orderHistory[customer])),""),ROWS($A$15:A52)+$B$3)),INDEX(orderHistory[status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status],SMALL(IF(ISNUMBER(MATCH(orderHistory[customer],$D$9,0)*MATCH(orderHistory[status],$D$11,0)),MATCH(ROW(orderHistory[customer]),ROW(orderHistory[customer])),""),ROWS($A$15:A52)+$B$3)),INDEX(orderHistory[status],SMALL(IF(ISNUMBER(MATCH(orderHistory[customer],$D$9,0)*MATCH(orderHistory[status],$D$11,0)*MATCH(YEAR(orderHistory[status]),$D$15,0)),MATCH(ROW(orderHistory[customer]),ROW(orderHistory[customer])),""),ROWS($A$15:A52)+$B$3))),IF($D$15="",INDEX(orderHistory[status],SMALL(IF(ISNUMBER(MATCH(orderHistory[customer],$D$9,0)*MATCH(orderHistory[status],$D$11,0)*MATCH(orderHistory[order_type],$D$13,0)),MATCH(ROW(orderHistory[customer]),ROW(orderHistory[customer])),""),ROWS($A$15:A52)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SHIPPED</v>
      </c>
      <c r="W47" s="547" t="str">
        <f t="array" ref="W47">IFERROR(IF($D$9="",IF($D$11="",IF($D$13="",IF($D$15="",INDEX(orderHistory[custom_docs],SMALL(MATCH(ROW(orderHistory[customer]),ROW(orderHistory[customer])),ROWS($A$15:A52)+$B$3)),INDEX(orderHistory[custom_docs],SMALL(IF(ISNUMBER(MATCH(YEAR(orderHistory[invoice_date]),$D$15,0)),MATCH(ROW(orderHistory[customer]),ROW(orderHistory[customer])),""),ROWS($A$15:A52)+$B$3))),IF($D$15="",INDEX(orderHistory[custom_docs],SMALL(IF(ISNUMBER(MATCH(orderHistory[order_type],$D$13,0)),MATCH(ROW(orderHistory[customer]),ROW(orderHistory[customer])),""),ROWS($A$15:A52)+$B$3)),INDEX(orderHistory[custom_docs],SMALL(IF(ISNUMBER(MATCH(orderHistory[order_type],$D$13,0)*MATCH(YEAR(orderHistory[invoice_date]),$D$15,0)),MATCH(ROW(orderHistory[customer]),ROW(orderHistory[customer])),""),ROWS($A$15:A52)+$B$3)))),IF($D$13="",IF($D$15="",INDEX(orderHistory[custom_docs],SMALL(IF(ISNUMBER(MATCH(orderHistory[status],$D$11,0)),MATCH(ROW(orderHistory[customer]),ROW(orderHistory[customer])),""),ROWS($A$15:A52)+$B$3)),INDEX(orderHistory[custom_docs],SMALL(IF(ISNUMBER(MATCH(orderHistory[status],$D$11,0)*MATCH(YEAR(orderHistory[invoice_date]),$D$15,0)),MATCH(ROW(orderHistory[customer]),ROW(orderHistory[customer])),""),ROWS($A$15:A52)+$B$3))),IF($D$15="",INDEX(orderHistory[custom_docs],SMALL(IF(ISNUMBER(MATCH(orderHistory[status],$D$11,0)*MATCH(orderHistory[order_type],$D$13,0)),MATCH(ROW(orderHistory[customer]),ROW(orderHistory[customer])),""),ROWS($A$15:A52)+$B$3)),INDEX(orderHistory[custom_docs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custom_docs],SMALL(IF(ISNUMBER(MATCH(orderHistory[customer],$D$9,0)),MATCH(ROW(orderHistory[customer]),ROW(orderHistory[customer])),""),ROWS($A$15:A52)+$B$3)),INDEX(orderHistory[custom_docs],SMALL(IF(ISNUMBER(MATCH(orderHistory[customer],$D$9,0)*MATCH(YEAR(orderHistory[invoice_date]),$D$15,0)),MATCH(ROW(orderHistory[customer]),ROW(orderHistory[customer])),""),ROWS($A$15:A52)+$B$3))),IF($D$15="",INDEX(orderHistory[custom_docs],SMALL(IF(ISNUMBER(MATCH(orderHistory[customer],$D$9,0)*MATCH(orderHistory[order_type],$D$13,0)),MATCH(ROW(orderHistory[customer]),ROW(orderHistory[customer])),""),ROWS($A$15:A52)+$B$3)),INDEX(orderHistory[custom_docs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custom_docs],SMALL(IF(ISNUMBER(MATCH(orderHistory[customer],$D$9,0)*MATCH(orderHistory[status],$D$11,0)),MATCH(ROW(orderHistory[customer]),ROW(orderHistory[customer])),""),ROWS($A$15:A52)+$B$3)),INDEX(orderHistory[custom_docs],SMALL(IF(ISNUMBER(MATCH(orderHistory[customer],$D$9,0)*MATCH(orderHistory[status],$D$11,0)*MATCH(YEAR(orderHistory[status]),$D$15,0)),MATCH(ROW(orderHistory[customer]),ROW(orderHistory[customer])),""),ROWS($A$15:A52)+$B$3))),IF($D$15="",INDEX(orderHistory[custom_docs],SMALL(IF(ISNUMBER(MATCH(orderHistory[customer],$D$9,0)*MATCH(orderHistory[status],$D$11,0)*MATCH(orderHistory[order_type],$D$13,0)),MATCH(ROW(orderHistory[customer]),ROW(orderHistory[customer])),""),ROWS($A$15:A52)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OK</v>
      </c>
      <c r="BG47" s="215"/>
      <c r="BK47" s="296"/>
      <c r="BL47" s="297"/>
      <c r="BM47" s="298"/>
      <c r="BN47" s="297"/>
      <c r="BO47" s="298"/>
      <c r="BZ47" s="414"/>
      <c r="CA47" s="401" t="str">
        <f>IFERROR(IF(BZ47="","",INDEX(bhpc_data[description],MATCH(BZ47,bhpc_data[sku],0))),"")</f>
        <v/>
      </c>
      <c r="CB47" s="403"/>
      <c r="CC47" s="886"/>
      <c r="CD47" s="411"/>
      <c r="CE47" s="890"/>
      <c r="CF47" s="404"/>
      <c r="CG47" s="405" t="str">
        <f>IFERROR(ROUNDUP(CB47/INDEX(bhpc_data[units_per_carton],MATCH(BZ47,bhpc_data[sku],0)),0),"")</f>
        <v/>
      </c>
      <c r="CH47" s="406" t="str">
        <f>IFERROR(ROUNDUP(CD47/INDEX(bhpc_data[units_per_carton],MATCH(BZ47,bhpc_data[sku],0)),0),"")</f>
        <v/>
      </c>
      <c r="CI47" s="406" t="str">
        <f>IFERROR(ROUNDUP(CF47/INDEX(bhpc_data[units_per_carton],MATCH(BZ47,bhpc_data[sku])),0),"")</f>
        <v/>
      </c>
      <c r="CJ47" s="406" t="str">
        <f>IFERROR(((CB47+CD47+CF47)/INDEX(bhpc_data[units_per_carton],MATCH(BZ47,bhpc_data[sku],0)))*INDEX(bhpc_data[net_weight],MATCH(BZ47,bhpc_data[sku],0)),"")</f>
        <v/>
      </c>
      <c r="CK47" s="406" t="str">
        <f>IFERROR(((CB47+CD47+CF47)/INDEX(bhpc_data[units_per_carton],MATCH(BZ47,bhpc_data[sku],0)))*INDEX(bhpc_data[gross_weight],MATCH(BZ47,bhpc_data[sku],0)),"")</f>
        <v/>
      </c>
      <c r="CL47" s="602" t="str">
        <f>IFERROR((CB47+CD47+CF47)/INDEX(bhpc_data[units_per_carton],MATCH(BZ47,bhpc_data[sku],0))*INDEX(bhpc_data[length],MATCH(BZ47,bhpc_data[sku],0))*INDEX(bhpc_data[width],MATCH(BZ47,bhpc_data[sku],0))*INDEX(bhpc_data[height],MATCH(BZ47,bhpc_data[sku],0))/1000000000,"")</f>
        <v/>
      </c>
      <c r="CM47" s="407" t="str">
        <f>IFERROR(INDEX(bhpc_data[category],MATCH(BZ47,bhpc_data[sku],0)),"")</f>
        <v/>
      </c>
      <c r="CN47" s="407" t="str">
        <f>IFERROR(INDEX(bhpc_data[size],MATCH(BZ47,bhpc_data[sku],0)),"")</f>
        <v/>
      </c>
      <c r="CO47" s="408" t="str">
        <f>IFERROR(INDEX(bhpc_data[hs_code],MATCH(BZ47,bhpc_data[sku],0)),"")</f>
        <v/>
      </c>
      <c r="CP47" s="489" t="str">
        <f>IFERROR(INDEX(bhpc_data[sku_geko],MATCH(BZ47,bhpc_data[sku],0)),"")</f>
        <v/>
      </c>
      <c r="CQ47" s="404"/>
      <c r="CR47" s="517" t="str">
        <f>IFERROR(IF(BZ47="","",IF($BX$15="SALE",INDEX(inventory[COSTO UNITARIO],MATCH(BZ47,inventory[SKU],0)),IF($BX$15="SAMPLING",INDEX(inventory[COSTO UNITARIO],MATCH(BZ47,inventory[SKU],0)),""))),"")</f>
        <v/>
      </c>
      <c r="CS47" s="517" t="str">
        <f t="shared" si="7"/>
        <v/>
      </c>
      <c r="CT47" s="896" t="str">
        <f t="shared" si="8"/>
        <v/>
      </c>
      <c r="CU47" s="469" t="str">
        <f t="shared" si="0"/>
        <v/>
      </c>
      <c r="CV47" s="280"/>
      <c r="CW47" s="280"/>
      <c r="CX47" s="280"/>
      <c r="CY47" s="280"/>
      <c r="CZ47" s="280"/>
      <c r="DA47" s="280"/>
      <c r="DB47" s="280" t="str">
        <f>IFERROR(VLOOKUP(BZ47,bhpc_data[],22,FALSE),"")</f>
        <v/>
      </c>
      <c r="EE47" s="439" t="str" cm="1">
        <f t="array" ref="EE47">IFERROR(IF($EC$9="",IF($EC$11="",IF($EC$13="",INDEX(bhpc_data[sku],SMALL(MATCH(ROW(bhpc_data[sku]),ROW(bhpc_data[sku])),ROWS($A$15:A52)+$B$3)),INDEX(bhpc_data[sku],SMALL(IF(ISNUMBER(MATCH(bhpc_data[size],$EC$13,0)),MATCH(ROW(bhpc_data[sku]),ROW(bhpc_data[sku])),""),ROWS($A$15:A52)+$B$3))),IF($EC$13="",INDEX(bhpc_data[sku],SMALL(IF(ISNUMBER(MATCH(bhpc_data[sex],$EC$11,0)),MATCH(ROW(bhpc_data[sku]),ROW(bhpc_data[sku])),""),ROWS($A$15:A52)+$B$3)),INDEX(bhpc_data[sku],SMALL(IF(ISNUMBER(MATCH(bhpc_data[sex],$EC$11,0)*MATCH(bhpc_data[size],$EC$13,0)),MATCH(ROW(bhpc_data[sku]),ROW(bhpc_data[sku])),""),ROWS($A$15:A52)+$B$3)))),IF($EC$11="",IF($EC$13="",INDEX(bhpc_data[sku],SMALL(IF(ISNUMBER(MATCH(bhpc_data[category],$EC$9,0)),MATCH(ROW(bhpc_data[sku]),ROW(bhpc_data[sku])),""),ROWS($A$15:A52)+$B$3)),INDEX(bhpc_data[sku],SMALL(IF(ISNUMBER(MATCH(bhpc_data[category],$EC$9,0)*MATCH(bhpc_data[size],$EC$13,0)),MATCH(ROW(bhpc_data[sku]),ROW(bhpc_data[sku])),""),ROWS($A$15:A52)+$B$3))),IF($EC$13="",INDEX(bhpc_data[sku],SMALL(IF(ISNUMBER(MATCH(bhpc_data[category],$EC$9,0)*MATCH(bhpc_data[sex],$EC$11,0)),MATCH(ROW(bhpc_data[sku]),ROW(bhpc_data[sku])),""),ROWS($A$15:A52)+$B$3)),INDEX(bhpc_data[sku],SMALL(IF(ISNUMBER(MATCH(bhpc_data[category],$EC$9,0)*MATCH(bhpc_data[sex],$EC$11,0)*MATCH(bhpc_data[size],$EC$13,0)),MATCH(ROW(bhpc_data[sku]),ROW(bhpc_data[sku])),""),ROWS($A$15:A52)+$B$3))))),"")</f>
        <v>P06021</v>
      </c>
      <c r="EF47" s="440" t="str" cm="1">
        <f t="array" ref="EF47">IFERROR(IF($EC$9="",IF($EC$11="",IF($EC$13="",INDEX(bhpc_data[description],SMALL(MATCH(ROW(bhpc_data[sku]),ROW(bhpc_data[sku])),ROWS($A$15:A52)+$B$3)),INDEX(bhpc_data[description],SMALL(IF(ISNUMBER(MATCH(bhpc_data[size],$EC$13,0)),MATCH(ROW(bhpc_data[sku]),ROW(bhpc_data[sku])),""),ROWS($A$15:A52)+$B$3))),IF($EC$13="",INDEX(bhpc_data[description],SMALL(IF(ISNUMBER(MATCH(bhpc_data[sex],$EC$11,0)),MATCH(ROW(bhpc_data[sku]),ROW(bhpc_data[sku])),""),ROWS($A$15:A52)+$B$3)),INDEX(bhpc_data[description],SMALL(IF(ISNUMBER(MATCH(bhpc_data[sex],$EC$11,0)*MATCH(bhpc_data[size],$EC$13,0)),MATCH(ROW(bhpc_data[sku]),ROW(bhpc_data[sku])),""),ROWS($A$15:A52)+$B$3)))),IF($EC$11="",IF($EC$13="",INDEX(bhpc_data[description],SMALL(IF(ISNUMBER(MATCH(bhpc_data[category],$EC$9,0)),MATCH(ROW(bhpc_data[sku]),ROW(bhpc_data[sku])),""),ROWS($A$15:A52)+$B$3)),INDEX(bhpc_data[description],SMALL(IF(ISNUMBER(MATCH(bhpc_data[category],$EC$9,0)*MATCH(bhpc_data[size],$EC$13,0)),MATCH(ROW(bhpc_data[sku]),ROW(bhpc_data[sku])),""),ROWS($A$15:A52)+$B$3))),IF($EC$13="",INDEX(bhpc_data[description],SMALL(IF(ISNUMBER(MATCH(bhpc_data[category],$EC$9,0)*MATCH(bhpc_data[sex],$EC$11,0)),MATCH(ROW(bhpc_data[sku]),ROW(bhpc_data[sku])),""),ROWS($A$15:A52)+$B$3)),INDEX(bhpc_data[description],SMALL(IF(ISNUMBER(MATCH(bhpc_data[category],$EC$9,0)*MATCH(bhpc_data[sex],$EC$11,0)*MATCH(bhpc_data[size],$EC$13,0)),MATCH(ROW(bhpc_data[sku]),ROW(bhpc_data[sku])),""),ROWS($A$15:A52)+$B$3))))),"")</f>
        <v>BHPC PRESTIGE ROYALE 100ML EDP MEN</v>
      </c>
      <c r="EG47" s="441">
        <f>IFERROR(IF('BHPC MANAGER'!$EE47="","",INDEX(inventory[ESISTENZA],MATCH('BHPC MANAGER'!$EE47,inventory[SKU],0))),0)</f>
        <v>1438</v>
      </c>
      <c r="EH47" s="442">
        <v>-1435</v>
      </c>
      <c r="EI47" s="442">
        <f t="shared" si="1"/>
        <v>3</v>
      </c>
      <c r="EJ47" s="443">
        <v>-2</v>
      </c>
      <c r="EK47" s="444">
        <f t="shared" si="2"/>
        <v>1</v>
      </c>
      <c r="EO47" s="215" t="str">
        <f t="array" ref="EO47">IFERROR(INDEX(orderHistory[order_no],SMALL(IF(ISNUMBER(MATCH(orderHistory[status],$EO$7,0)),MATCH(ROW(orderHistory[order_no]),ROW(orderHistory[order_no])),""),ROWS($A$15:A52))),"")</f>
        <v/>
      </c>
    </row>
    <row r="48" spans="6:228" ht="15" customHeight="1" x14ac:dyDescent="0.35">
      <c r="J48" s="264"/>
      <c r="K48" s="264"/>
      <c r="L48" s="381" t="str">
        <f t="array" ref="L48">IFERROR(IF($D$9="",IF($D$11="",IF($D$13="",IF($D$15="",INDEX(orderHistory[customer],SMALL(MATCH(ROW(orderHistory[customer]),ROW(orderHistory[customer])),ROWS($A$15:A53)+$B$3)),INDEX(orderHistory[customer],SMALL(IF(ISNUMBER(MATCH(YEAR(orderHistory[invoice_date]),$D$15,0)),MATCH(ROW(orderHistory[customer]),ROW(orderHistory[customer])),""),ROWS($A$15:A53)+$B$3))),IF($D$15="",INDEX(orderHistory[customer],SMALL(IF(ISNUMBER(MATCH(orderHistory[order_type],$D$13,0)),MATCH(ROW(orderHistory[customer]),ROW(orderHistory[customer])),""),ROWS($A$15:A53)+$B$3)),INDEX(orderHistory[customer],SMALL(IF(ISNUMBER(MATCH(orderHistory[order_type],$D$13,0)*MATCH(YEAR(orderHistory[invoice_date]),$D$15,0)),MATCH(ROW(orderHistory[customer]),ROW(orderHistory[customer])),""),ROWS($A$15:A53)+$B$3)))),IF($D$13="",IF($D$15="",INDEX(orderHistory[customer],SMALL(IF(ISNUMBER(MATCH(orderHistory[status],$D$11,0)),MATCH(ROW(orderHistory[customer]),ROW(orderHistory[customer])),""),ROWS($A$15:A53)+$B$3)),INDEX(orderHistory[customer],SMALL(IF(ISNUMBER(MATCH(orderHistory[status],$D$11,0)*MATCH(YEAR(orderHistory[invoice_date]),$D$15,0)),MATCH(ROW(orderHistory[customer]),ROW(orderHistory[customer])),""),ROWS($A$15:A53)+$B$3))),IF($D$15="",INDEX(orderHistory[customer],SMALL(IF(ISNUMBER(MATCH(orderHistory[status],$D$11,0)*MATCH(orderHistory[order_type],$D$13,0)),MATCH(ROW(orderHistory[customer]),ROW(orderHistory[customer])),""),ROWS($A$15:A53)+$B$3)),INDEX(orderHistory[customer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customer],SMALL(IF(ISNUMBER(MATCH(orderHistory[customer],$D$9,0)),MATCH(ROW(orderHistory[customer]),ROW(orderHistory[customer])),""),ROWS($A$15:A53)+$B$3)),INDEX(orderHistory[customer],SMALL(IF(ISNUMBER(MATCH(orderHistory[customer],$D$9,0)*MATCH(YEAR(orderHistory[invoice_date]),$D$15,0)),MATCH(ROW(orderHistory[customer]),ROW(orderHistory[customer])),""),ROWS($A$15:A53)+$B$3))),IF($D$15="",INDEX(orderHistory[customer],SMALL(IF(ISNUMBER(MATCH(orderHistory[customer],$D$9,0)*MATCH(orderHistory[order_type],$D$13,0)),MATCH(ROW(orderHistory[customer]),ROW(orderHistory[customer])),""),ROWS($A$15:A53)+$B$3)),INDEX(orderHistory[customer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customer],SMALL(IF(ISNUMBER(MATCH(orderHistory[customer],$D$9,0)*MATCH(orderHistory[status],$D$11,0)),MATCH(ROW(orderHistory[customer]),ROW(orderHistory[customer])),""),ROWS($A$15:A53)+$B$3)),INDEX(orderHistory[customer],SMALL(IF(ISNUMBER(MATCH(orderHistory[customer],$D$9,0)*MATCH(orderHistory[status],$D$11,0)*MATCH(YEAR(orderHistory[invoice_date]),$D$15,0)),MATCH(ROW(orderHistory[customer]),ROW(orderHistory[customer])),""),ROWS($A$15:A53)+$B$3))),IF($D$15="",INDEX(orderHistory[customer],SMALL(IF(ISNUMBER(MATCH(orderHistory[customer],$D$9,0)*MATCH(orderHistory[status],$D$11,0)*MATCH(orderHistory[order_type],$D$13,0)),MATCH(ROW(orderHistory[customer]),ROW(orderHistory[customer])),""),ROWS($A$15:A53)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GILMUR COMPANY</v>
      </c>
      <c r="M48" s="382">
        <f t="array" ref="M48">IFERROR(IF($D$9="",IF($D$11="",IF($D$13="",IF($D$15="",INDEX(orderHistory[order_no],SMALL(MATCH(ROW(orderHistory[customer]),ROW(orderHistory[customer])),ROWS($A$15:A53)+$B$3)),INDEX(orderHistory[order_no],SMALL(IF(ISNUMBER(MATCH(YEAR(orderHistory[invoice_date]),$D$15,0)),MATCH(ROW(orderHistory[customer]),ROW(orderHistory[customer])),""),ROWS($A$15:A53)+$B$3))),IF($D$15="",INDEX(orderHistory[order_no],SMALL(IF(ISNUMBER(MATCH(orderHistory[order_type],$D$13,0)),MATCH(ROW(orderHistory[customer]),ROW(orderHistory[customer])),""),ROWS($A$15:A53)+$B$3)),INDEX(orderHistory[order_no],SMALL(IF(ISNUMBER(MATCH(orderHistory[order_type],$D$13,0)*MATCH(YEAR(orderHistory[invoice_date]),$D$15,0)),MATCH(ROW(orderHistory[customer]),ROW(orderHistory[customer])),""),ROWS($A$15:A53)+$B$3)))),IF($D$13="",IF($D$15="",INDEX(orderHistory[order_no],SMALL(IF(ISNUMBER(MATCH(orderHistory[status],$D$11,0)),MATCH(ROW(orderHistory[customer]),ROW(orderHistory[customer])),""),ROWS($A$15:A53)+$B$3)),INDEX(orderHistory[order_no],SMALL(IF(ISNUMBER(MATCH(orderHistory[status],$D$11,0)*MATCH(YEAR(orderHistory[invoice_date]),$D$15,0)),MATCH(ROW(orderHistory[customer]),ROW(orderHistory[customer])),""),ROWS($A$15:A53)+$B$3))),IF($D$15="",INDEX(orderHistory[order_no],SMALL(IF(ISNUMBER(MATCH(orderHistory[status],$D$11,0)*MATCH(orderHistory[order_type],$D$13,0)),MATCH(ROW(orderHistory[customer]),ROW(orderHistory[customer])),""),ROWS($A$15:A53)+$B$3)),INDEX(orderHistory[order_no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order_no],SMALL(IF(ISNUMBER(MATCH(orderHistory[customer],$D$9,0)),MATCH(ROW(orderHistory[customer]),ROW(orderHistory[customer])),""),ROWS($A$15:A53)+$B$3)),INDEX(orderHistory[order_no],SMALL(IF(ISNUMBER(MATCH(orderHistory[customer],$D$9,0)*MATCH(YEAR(orderHistory[invoice_date]),$D$15,0)),MATCH(ROW(orderHistory[customer]),ROW(orderHistory[customer])),""),ROWS($A$15:A53)+$B$3))),IF($D$15="",INDEX(orderHistory[order_no],SMALL(IF(ISNUMBER(MATCH(orderHistory[customer],$D$9,0)*MATCH(orderHistory[order_type],$D$13,0)),MATCH(ROW(orderHistory[customer]),ROW(orderHistory[customer])),""),ROWS($A$15:A53)+$B$3)),INDEX(orderHistory[order_no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order_no],SMALL(IF(ISNUMBER(MATCH(orderHistory[customer],$D$9,0)*MATCH(orderHistory[status],$D$11,0)),MATCH(ROW(orderHistory[customer]),ROW(orderHistory[customer])),""),ROWS($A$15:A53)+$B$3)),INDEX(orderHistory[order_no],SMALL(IF(ISNUMBER(MATCH(orderHistory[customer],$D$9,0)*MATCH(orderHistory[status],$D$11,0)*MATCH(YEAR(orderHistory[invoice_date]),$D$15,0)),MATCH(ROW(orderHistory[customer]),ROW(orderHistory[customer])),""),ROWS($A$15:A53)+$B$3))),IF($D$15="",INDEX(orderHistory[order_no],SMALL(IF(ISNUMBER(MATCH(orderHistory[customer],$D$9,0)*MATCH(orderHistory[status],$D$11,0)*MATCH(orderHistory[order_type],$D$13,0)),MATCH(ROW(orderHistory[customer]),ROW(orderHistory[customer])),""),ROWS($A$15:A53)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9</v>
      </c>
      <c r="N48" s="383" t="str">
        <f t="array" ref="N48">IFERROR(IF($D$9="",IF($D$11="",IF($D$13="",IF($D$15="",INDEX(orderHistory[order_type],SMALL(MATCH(ROW(orderHistory[customer]),ROW(orderHistory[customer])),ROWS($A$15:A53)+$B$3)),INDEX(orderHistory[order_type],SMALL(IF(ISNUMBER(MATCH(YEAR(orderHistory[invoice_date]),$D$15,0)),MATCH(ROW(orderHistory[customer]),ROW(orderHistory[customer])),""),ROWS($A$15:A53)+$B$3))),IF($D$15="",INDEX(orderHistory[order_type],SMALL(IF(ISNUMBER(MATCH(orderHistory[order_type],$D$13,0)),MATCH(ROW(orderHistory[customer]),ROW(orderHistory[customer])),""),ROWS($A$15:A53)+$B$3)),INDEX(orderHistory[order_type],SMALL(IF(ISNUMBER(MATCH(orderHistory[order_type],$D$13,0)*MATCH(YEAR(orderHistory[invoice_date]),$D$15,0)),MATCH(ROW(orderHistory[customer]),ROW(orderHistory[customer])),""),ROWS($A$15:A53)+$B$3)))),IF($D$13="",IF($D$15="",INDEX(orderHistory[order_type],SMALL(IF(ISNUMBER(MATCH(orderHistory[status],$D$11,0)),MATCH(ROW(orderHistory[customer]),ROW(orderHistory[customer])),""),ROWS($A$15:A53)+$B$3)),INDEX(orderHistory[order_type],SMALL(IF(ISNUMBER(MATCH(orderHistory[status],$D$11,0)*MATCH(YEAR(orderHistory[invoice_date]),$D$15,0)),MATCH(ROW(orderHistory[customer]),ROW(orderHistory[customer])),""),ROWS($A$15:A53)+$B$3))),IF($D$15="",INDEX(orderHistory[order_type],SMALL(IF(ISNUMBER(MATCH(orderHistory[status],$D$11,0)*MATCH(orderHistory[order_type],$D$13,0)),MATCH(ROW(orderHistory[customer]),ROW(orderHistory[customer])),""),ROWS($A$15:A53)+$B$3)),INDEX(orderHistory[order_type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order_type],SMALL(IF(ISNUMBER(MATCH(orderHistory[customer],$D$9,0)),MATCH(ROW(orderHistory[customer]),ROW(orderHistory[customer])),""),ROWS($A$15:A53)+$B$3)),INDEX(orderHistory[order_type],SMALL(IF(ISNUMBER(MATCH(orderHistory[customer],$D$9,0)*MATCH(YEAR(orderHistory[invoice_date]),$D$15,0)),MATCH(ROW(orderHistory[customer]),ROW(orderHistory[customer])),""),ROWS($A$15:A53)+$B$3))),IF($D$15="",INDEX(orderHistory[order_type],SMALL(IF(ISNUMBER(MATCH(orderHistory[customer],$D$9,0)*MATCH(orderHistory[order_type],$D$13,0)),MATCH(ROW(orderHistory[customer]),ROW(orderHistory[customer])),""),ROWS($A$15:A53)+$B$3)),INDEX(orderHistory[order_type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order_type],SMALL(IF(ISNUMBER(MATCH(orderHistory[customer],$D$9,0)*MATCH(orderHistory[status],$D$11,0)),MATCH(ROW(orderHistory[customer]),ROW(orderHistory[customer])),""),ROWS($A$15:A53)+$B$3)),INDEX(orderHistory[order_type],SMALL(IF(ISNUMBER(MATCH(orderHistory[customer],$D$9,0)*MATCH(orderHistory[status],$D$11,0)*MATCH(YEAR(orderHistory[invoice_date]),$D$15,0)),MATCH(ROW(orderHistory[customer]),ROW(orderHistory[customer])),""),ROWS($A$15:A53)+$B$3))),IF($D$15="",INDEX(orderHistory[order_type],SMALL(IF(ISNUMBER(MATCH(orderHistory[customer],$D$9,0)*MATCH(orderHistory[status],$D$11,0)*MATCH(orderHistory[order_type],$D$13,0)),MATCH(ROW(orderHistory[customer]),ROW(orderHistory[customer])),""),ROWS($A$15:A53)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SALE</v>
      </c>
      <c r="O48" s="384">
        <f t="array" ref="O48">IFERROR(IF($D$9="",IF($D$11="",IF($D$13="",IF($D$15="",INDEX(orderHistory[order_date],SMALL(MATCH(ROW(orderHistory[customer]),ROW(orderHistory[customer])),ROWS($A$15:A53)+$B$3)),INDEX(orderHistory[order_date],SMALL(IF(ISNUMBER(MATCH(YEAR(orderHistory[invoice_date]),$D$15,0)),MATCH(ROW(orderHistory[customer]),ROW(orderHistory[customer])),""),ROWS($A$15:A53)+$B$3))),IF($D$15="",INDEX(orderHistory[order_date],SMALL(IF(ISNUMBER(MATCH(orderHistory[order_type],$D$13,0)),MATCH(ROW(orderHistory[customer]),ROW(orderHistory[customer])),""),ROWS($A$15:A53)+$B$3)),INDEX(orderHistory[order_date],SMALL(IF(ISNUMBER(MATCH(orderHistory[order_type],$D$13,0)*MATCH(YEAR(orderHistory[invoice_date]),$D$15,0)),MATCH(ROW(orderHistory[customer]),ROW(orderHistory[customer])),""),ROWS($A$15:A53)+$B$3)))),IF($D$13="",IF($D$15="",INDEX(orderHistory[order_date],SMALL(IF(ISNUMBER(MATCH(orderHistory[status],$D$11,0)),MATCH(ROW(orderHistory[customer]),ROW(orderHistory[customer])),""),ROWS($A$15:A53)+$B$3)),INDEX(orderHistory[order_date],SMALL(IF(ISNUMBER(MATCH(orderHistory[status],$D$11,0)*MATCH(YEAR(orderHistory[invoice_date]),$D$15,0)),MATCH(ROW(orderHistory[customer]),ROW(orderHistory[customer])),""),ROWS($A$15:A53)+$B$3))),IF($D$15="",INDEX(orderHistory[order_date],SMALL(IF(ISNUMBER(MATCH(orderHistory[status],$D$11,0)*MATCH(orderHistory[order_type],$D$13,0)),MATCH(ROW(orderHistory[customer]),ROW(orderHistory[customer])),""),ROWS($A$15:A53)+$B$3)),INDEX(orderHistory[order_date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order_date],SMALL(IF(ISNUMBER(MATCH(orderHistory[customer],$D$9,0)),MATCH(ROW(orderHistory[customer]),ROW(orderHistory[customer])),""),ROWS($A$15:A53)+$B$3)),INDEX(orderHistory[order_date],SMALL(IF(ISNUMBER(MATCH(orderHistory[customer],$D$9,0)*MATCH(YEAR(orderHistory[invoice_date]),$D$15,0)),MATCH(ROW(orderHistory[customer]),ROW(orderHistory[customer])),""),ROWS($A$15:A53)+$B$3))),IF($D$15="",INDEX(orderHistory[order_date],SMALL(IF(ISNUMBER(MATCH(orderHistory[customer],$D$9,0)*MATCH(orderHistory[order_type],$D$13,0)),MATCH(ROW(orderHistory[customer]),ROW(orderHistory[customer])),""),ROWS($A$15:A53)+$B$3)),INDEX(orderHistory[order_date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order_date],SMALL(IF(ISNUMBER(MATCH(orderHistory[customer],$D$9,0)*MATCH(orderHistory[status],$D$11,0)),MATCH(ROW(orderHistory[customer]),ROW(orderHistory[customer])),""),ROWS($A$15:A53)+$B$3)),INDEX(orderHistory[order_date],SMALL(IF(ISNUMBER(MATCH(orderHistory[customer],$D$9,0)*MATCH(orderHistory[status],$D$11,0)*MATCH(YEAR(orderHistory[invoice_date]),$D$15,0)),MATCH(ROW(orderHistory[customer]),ROW(orderHistory[customer])),""),ROWS($A$15:A53)+$B$3))),IF($D$15="",INDEX(orderHistory[order_date],SMALL(IF(ISNUMBER(MATCH(orderHistory[customer],$D$9,0)*MATCH(orderHistory[status],$D$11,0)*MATCH(orderHistory[order_type],$D$13,0)),MATCH(ROW(orderHistory[customer]),ROW(orderHistory[customer])),""),ROWS($A$15:A53)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45328</v>
      </c>
      <c r="P48" s="385">
        <f t="array" ref="P48">IFERROR(IF($D$9="",IF($D$11="",IF($D$13="",IF($D$15="",INDEX(orderHistory[invoice_no],SMALL(MATCH(ROW(orderHistory[customer]),ROW(orderHistory[customer])),ROWS($A$15:A53)+$B$3)),INDEX(orderHistory[invoice_no],SMALL(IF(ISNUMBER(MATCH(YEAR(orderHistory[invoice_date]),$D$15,0)),MATCH(ROW(orderHistory[customer]),ROW(orderHistory[customer])),""),ROWS($A$15:A53)+$B$3))),IF($D$15="",INDEX(orderHistory[invoice_no],SMALL(IF(ISNUMBER(MATCH(orderHistory[order_type],$D$13,0)),MATCH(ROW(orderHistory[customer]),ROW(orderHistory[customer])),""),ROWS($A$15:A53)+$B$3)),INDEX(orderHistory[invoice_no],SMALL(IF(ISNUMBER(MATCH(orderHistory[order_type],$D$13,0)*MATCH(YEAR(orderHistory[invoice_date]),$D$15,0)),MATCH(ROW(orderHistory[customer]),ROW(orderHistory[customer])),""),ROWS($A$15:A53)+$B$3)))),IF($D$13="",IF($D$15="",INDEX(orderHistory[invoice_no],SMALL(IF(ISNUMBER(MATCH(orderHistory[status],$D$11,0)),MATCH(ROW(orderHistory[customer]),ROW(orderHistory[customer])),""),ROWS($A$15:A53)+$B$3)),INDEX(orderHistory[invoice_no],SMALL(IF(ISNUMBER(MATCH(orderHistory[status],$D$11,0)*MATCH(YEAR(orderHistory[invoice_date]),$D$15,0)),MATCH(ROW(orderHistory[customer]),ROW(orderHistory[customer])),""),ROWS($A$15:A53)+$B$3))),IF($D$15="",INDEX(orderHistory[invoice_no],SMALL(IF(ISNUMBER(MATCH(orderHistory[status],$D$11,0)*MATCH(orderHistory[order_type],$D$13,0)),MATCH(ROW(orderHistory[customer]),ROW(orderHistory[customer])),""),ROWS($A$15:A53)+$B$3)),INDEX(orderHistory[invoice_no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invoice_no],SMALL(IF(ISNUMBER(MATCH(orderHistory[customer],$D$9,0)),MATCH(ROW(orderHistory[customer]),ROW(orderHistory[customer])),""),ROWS($A$15:A53)+$B$3)),INDEX(orderHistory[invoice_no],SMALL(IF(ISNUMBER(MATCH(orderHistory[customer],$D$9,0)*MATCH(YEAR(orderHistory[invoice_date]),$D$15,0)),MATCH(ROW(orderHistory[customer]),ROW(orderHistory[customer])),""),ROWS($A$15:A53)+$B$3))),IF($D$15="",INDEX(orderHistory[invoice_no],SMALL(IF(ISNUMBER(MATCH(orderHistory[customer],$D$9,0)*MATCH(orderHistory[order_type],$D$13,0)),MATCH(ROW(orderHistory[customer]),ROW(orderHistory[customer])),""),ROWS($A$15:A53)+$B$3)),INDEX(orderHistory[invoice_no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invoice_no],SMALL(IF(ISNUMBER(MATCH(orderHistory[customer],$D$9,0)*MATCH(orderHistory[status],$D$11,0)),MATCH(ROW(orderHistory[customer]),ROW(orderHistory[customer])),""),ROWS($A$15:A53)+$B$3)),INDEX(orderHistory[invoice_no],SMALL(IF(ISNUMBER(MATCH(orderHistory[customer],$D$9,0)*MATCH(orderHistory[status],$D$11,0)*MATCH(YEAR(orderHistory[invoice_date]),$D$15,0)),MATCH(ROW(orderHistory[customer]),ROW(orderHistory[customer])),""),ROWS($A$15:A53)+$B$3))),IF($D$15="",INDEX(orderHistory[invoice_no],SMALL(IF(ISNUMBER(MATCH(orderHistory[customer],$D$9,0)*MATCH(orderHistory[status],$D$11,0)*MATCH(orderHistory[order_type],$D$13,0)),MATCH(ROW(orderHistory[customer]),ROW(orderHistory[customer])),""),ROWS($A$15:A53)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55</v>
      </c>
      <c r="Q48" s="386">
        <f t="array" ref="Q48">IFERROR(IF($D$9="",IF($D$11="",IF($D$13="",IF($D$15="",INDEX(orderHistory[invoice_date],SMALL(MATCH(ROW(orderHistory[customer]),ROW(orderHistory[customer])),ROWS($A$15:A53)+$B$3)),INDEX(orderHistory[invoice_date],SMALL(IF(ISNUMBER(MATCH(YEAR(orderHistory[invoice_date]),$D$15,0)),MATCH(ROW(orderHistory[customer]),ROW(orderHistory[customer])),""),ROWS($A$15:A53)+$B$3))),IF($D$15="",INDEX(orderHistory[invoice_date],SMALL(IF(ISNUMBER(MATCH(orderHistory[order_type],$D$13,0)),MATCH(ROW(orderHistory[customer]),ROW(orderHistory[customer])),""),ROWS($A$15:A53)+$B$3)),INDEX(orderHistory[invoice_date],SMALL(IF(ISNUMBER(MATCH(orderHistory[order_type],$D$13,0)*MATCH(YEAR(orderHistory[invoice_date]),$D$15,0)),MATCH(ROW(orderHistory[customer]),ROW(orderHistory[customer])),""),ROWS($A$15:A53)+$B$3)))),IF($D$13="",IF($D$15="",INDEX(orderHistory[invoice_date],SMALL(IF(ISNUMBER(MATCH(orderHistory[status],$D$11,0)),MATCH(ROW(orderHistory[customer]),ROW(orderHistory[customer])),""),ROWS($A$15:A53)+$B$3)),INDEX(orderHistory[invoice_date],SMALL(IF(ISNUMBER(MATCH(orderHistory[status],$D$11,0)*MATCH(YEAR(orderHistory[invoice_date]),$D$15,0)),MATCH(ROW(orderHistory[customer]),ROW(orderHistory[customer])),""),ROWS($A$15:A53)+$B$3))),IF($D$15="",INDEX(orderHistory[invoice_date],SMALL(IF(ISNUMBER(MATCH(orderHistory[status],$D$11,0)*MATCH(orderHistory[order_type],$D$13,0)),MATCH(ROW(orderHistory[customer]),ROW(orderHistory[customer])),""),ROWS($A$15:A53)+$B$3)),INDEX(orderHistory[invoice_date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invoice_date],SMALL(IF(ISNUMBER(MATCH(orderHistory[customer],$D$9,0)),MATCH(ROW(orderHistory[customer]),ROW(orderHistory[customer])),""),ROWS($A$15:A53)+$B$3)),INDEX(orderHistory[invoice_date],SMALL(IF(ISNUMBER(MATCH(orderHistory[customer],$D$9,0)*MATCH(YEAR(orderHistory[invoice_date]),$D$15,0)),MATCH(ROW(orderHistory[customer]),ROW(orderHistory[customer])),""),ROWS($A$15:A53)+$B$3))),IF($D$15="",INDEX(orderHistory[invoice_date],SMALL(IF(ISNUMBER(MATCH(orderHistory[customer],$D$9,0)*MATCH(orderHistory[order_type],$D$13,0)),MATCH(ROW(orderHistory[customer]),ROW(orderHistory[customer])),""),ROWS($A$15:A53)+$B$3)),INDEX(orderHistory[invoice_date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invoice_date],SMALL(IF(ISNUMBER(MATCH(orderHistory[customer],$D$9,0)*MATCH(orderHistory[status],$D$11,0)),MATCH(ROW(orderHistory[customer]),ROW(orderHistory[customer])),""),ROWS($A$15:A53)+$B$3)),INDEX(orderHistory[invoice_date],SMALL(IF(ISNUMBER(MATCH(orderHistory[customer],$D$9,0)*MATCH(orderHistory[status],$D$11,0)*MATCH(YEAR(orderHistory[invoice_date]),$D$15,0)),MATCH(ROW(orderHistory[customer]),ROW(orderHistory[customer])),""),ROWS($A$15:A53)+$B$3))),IF($D$15="",INDEX(orderHistory[invoice_date],SMALL(IF(ISNUMBER(MATCH(orderHistory[customer],$D$9,0)*MATCH(orderHistory[status],$D$11,0)*MATCH(orderHistory[order_type],$D$13,0)),MATCH(ROW(orderHistory[customer]),ROW(orderHistory[customer])),""),ROWS($A$15:A53)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45349</v>
      </c>
      <c r="R48" s="387">
        <f t="array" ref="R48">IFERROR(IF($D$9="",IF($D$11="",IF($D$13="",IF($D$15="",INDEX(orderHistory[inv_amount],SMALL(MATCH(ROW(orderHistory[customer]),ROW(orderHistory[customer])),ROWS($A$15:A53)+$B$3)),INDEX(orderHistory[inv_amount],SMALL(IF(ISNUMBER(MATCH(YEAR(orderHistory[invoice_date]),$D$15,0)),MATCH(ROW(orderHistory[customer]),ROW(orderHistory[customer])),""),ROWS($A$15:A53)+$B$3))),IF($D$15="",INDEX(orderHistory[inv_amount],SMALL(IF(ISNUMBER(MATCH(orderHistory[order_type],$D$13,0)),MATCH(ROW(orderHistory[customer]),ROW(orderHistory[customer])),""),ROWS($A$15:A53)+$B$3)),INDEX(orderHistory[inv_amount],SMALL(IF(ISNUMBER(MATCH(orderHistory[order_type],$D$13,0)*MATCH(YEAR(orderHistory[invoice_date]),$D$15,0)),MATCH(ROW(orderHistory[customer]),ROW(orderHistory[customer])),""),ROWS($A$15:A53)+$B$3)))),IF($D$13="",IF($D$15="",INDEX(orderHistory[inv_amount],SMALL(IF(ISNUMBER(MATCH(orderHistory[status],$D$11,0)),MATCH(ROW(orderHistory[customer]),ROW(orderHistory[customer])),""),ROWS($A$15:A53)+$B$3)),INDEX(orderHistory[inv_amount],SMALL(IF(ISNUMBER(MATCH(orderHistory[status],$D$11,0)*MATCH(YEAR(orderHistory[invoice_date]),$D$15,0)),MATCH(ROW(orderHistory[customer]),ROW(orderHistory[customer])),""),ROWS($A$15:A53)+$B$3))),IF($D$15="",INDEX(orderHistory[inv_amount],SMALL(IF(ISNUMBER(MATCH(orderHistory[status],$D$11,0)*MATCH(orderHistory[order_type],$D$13,0)),MATCH(ROW(orderHistory[customer]),ROW(orderHistory[customer])),""),ROWS($A$15:A53)+$B$3)),INDEX(orderHistory[inv_amount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inv_amount],SMALL(IF(ISNUMBER(MATCH(orderHistory[customer],$D$9,0)),MATCH(ROW(orderHistory[customer]),ROW(orderHistory[customer])),""),ROWS($A$15:A53)+$B$3)),INDEX(orderHistory[inv_amount],SMALL(IF(ISNUMBER(MATCH(orderHistory[customer],$D$9,0)*MATCH(YEAR(orderHistory[invoice_date]),$D$15,0)),MATCH(ROW(orderHistory[customer]),ROW(orderHistory[customer])),""),ROWS($A$15:A53)+$B$3))),IF($D$15="",INDEX(orderHistory[inv_amount],SMALL(IF(ISNUMBER(MATCH(orderHistory[customer],$D$9,0)*MATCH(orderHistory[order_type],$D$13,0)),MATCH(ROW(orderHistory[customer]),ROW(orderHistory[customer])),""),ROWS($A$15:A53)+$B$3)),INDEX(orderHistory[inv_amount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inv_amount],SMALL(IF(ISNUMBER(MATCH(orderHistory[customer],$D$9,0)*MATCH(orderHistory[status],$D$11,0)),MATCH(ROW(orderHistory[customer]),ROW(orderHistory[customer])),""),ROWS($A$15:A53)+$B$3)),INDEX(orderHistory[inv_amount],SMALL(IF(ISNUMBER(MATCH(orderHistory[customer],$D$9,0)*MATCH(orderHistory[status],$D$11,0)*MATCH(YEAR(orderHistory[inv_amount]),$D$15,0)),MATCH(ROW(orderHistory[customer]),ROW(orderHistory[customer])),""),ROWS($A$15:A53)+$B$3))),IF($D$15="",INDEX(orderHistory[inv_amount],SMALL(IF(ISNUMBER(MATCH(orderHistory[customer],$D$9,0)*MATCH(orderHistory[status],$D$11,0)*MATCH(orderHistory[order_type],$D$13,0)),MATCH(ROW(orderHistory[customer]),ROW(orderHistory[customer])),""),ROWS($A$15:A53)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28778.48</v>
      </c>
      <c r="S48" s="465" t="str">
        <f t="array" ref="S48">IFERROR(IF($D$9="",IF($D$11="",IF($D$13="",IF($D$15="",INDEX(orderHistory[lock_goods],SMALL(MATCH(ROW(orderHistory[customer]),ROW(orderHistory[customer])),ROWS($A$15:A53)+$B$3)),INDEX(orderHistory[lock_goods],SMALL(IF(ISNUMBER(MATCH(YEAR(orderHistory[invoice_date]),$D$15,0)),MATCH(ROW(orderHistory[customer]),ROW(orderHistory[customer])),""),ROWS($A$15:A53)+$B$3))),IF($D$15="",INDEX(orderHistory[lock_goods],SMALL(IF(ISNUMBER(MATCH(orderHistory[order_type],$D$13,0)),MATCH(ROW(orderHistory[customer]),ROW(orderHistory[customer])),""),ROWS($A$15:A53)+$B$3)),INDEX(orderHistory[lock_goods],SMALL(IF(ISNUMBER(MATCH(orderHistory[order_type],$D$13,0)*MATCH(YEAR(orderHistory[invoice_date]),$D$15,0)),MATCH(ROW(orderHistory[customer]),ROW(orderHistory[customer])),""),ROWS($A$15:A53)+$B$3)))),IF($D$13="",IF($D$15="",INDEX(orderHistory[lock_goods],SMALL(IF(ISNUMBER(MATCH(orderHistory[status],$D$11,0)),MATCH(ROW(orderHistory[customer]),ROW(orderHistory[customer])),""),ROWS($A$15:A53)+$B$3)),INDEX(orderHistory[lock_goods],SMALL(IF(ISNUMBER(MATCH(orderHistory[status],$D$11,0)*MATCH(YEAR(orderHistory[invoice_date]),$D$15,0)),MATCH(ROW(orderHistory[customer]),ROW(orderHistory[customer])),""),ROWS($A$15:A53)+$B$3))),IF($D$15="",INDEX(orderHistory[lock_goods],SMALL(IF(ISNUMBER(MATCH(orderHistory[status],$D$11,0)*MATCH(orderHistory[order_type],$D$13,0)),MATCH(ROW(orderHistory[customer]),ROW(orderHistory[customer])),""),ROWS($A$15:A53)+$B$3)),INDEX(orderHistory[lock_goods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lock_goods],SMALL(IF(ISNUMBER(MATCH(orderHistory[customer],$D$9,0)),MATCH(ROW(orderHistory[customer]),ROW(orderHistory[customer])),""),ROWS($A$15:A53)+$B$3)),INDEX(orderHistory[lock_goods],SMALL(IF(ISNUMBER(MATCH(orderHistory[customer],$D$9,0)*MATCH(YEAR(orderHistory[invoice_date]),$D$15,0)),MATCH(ROW(orderHistory[customer]),ROW(orderHistory[customer])),""),ROWS($A$15:A53)+$B$3))),IF($D$15="",INDEX(orderHistory[lock_goods],SMALL(IF(ISNUMBER(MATCH(orderHistory[customer],$D$9,0)*MATCH(orderHistory[order_type],$D$13,0)),MATCH(ROW(orderHistory[customer]),ROW(orderHistory[customer])),""),ROWS($A$15:A53)+$B$3)),INDEX(orderHistory[lock_goods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lock_goods],SMALL(IF(ISNUMBER(MATCH(orderHistory[customer],$D$9,0)*MATCH(orderHistory[status],$D$11,0)),MATCH(ROW(orderHistory[customer]),ROW(orderHistory[customer])),""),ROWS($A$15:A53)+$B$3)),INDEX(orderHistory[lock_goods],SMALL(IF(ISNUMBER(MATCH(orderHistory[customer],$D$9,0)*MATCH(orderHistory[status],$D$11,0)*MATCH(YEAR(orderHistory[payed]),$D$15,0)),MATCH(ROW(orderHistory[customer]),ROW(orderHistory[customer])),""),ROWS($A$15:A53)+$B$3))),IF($D$15="",INDEX(orderHistory[lock_goods],SMALL(IF(ISNUMBER(MATCH(orderHistory[customer],$D$9,0)*MATCH(orderHistory[status],$D$11,0)*MATCH(orderHistory[order_type],$D$13,0)),MATCH(ROW(orderHistory[customer]),ROW(orderHistory[customer])),""),ROWS($A$15:A53)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GOODS SENT</v>
      </c>
      <c r="T48" s="388" t="b">
        <f t="array" ref="T48">IFERROR(IF($D$9="",IF($D$11="",IF($D$13="",IF($D$15="",INDEX(orderHistory[payed],SMALL(MATCH(ROW(orderHistory[customer]),ROW(orderHistory[customer])),ROWS($A$15:A53)+$B$3)),INDEX(orderHistory[payed],SMALL(IF(ISNUMBER(MATCH(YEAR(orderHistory[invoice_date]),$D$15,0)),MATCH(ROW(orderHistory[customer]),ROW(orderHistory[customer])),""),ROWS($A$15:A53)+$B$3))),IF($D$15="",INDEX(orderHistory[payed],SMALL(IF(ISNUMBER(MATCH(orderHistory[order_type],$D$13,0)),MATCH(ROW(orderHistory[customer]),ROW(orderHistory[customer])),""),ROWS($A$15:A53)+$B$3)),INDEX(orderHistory[payed],SMALL(IF(ISNUMBER(MATCH(orderHistory[order_type],$D$13,0)*MATCH(YEAR(orderHistory[invoice_date]),$D$15,0)),MATCH(ROW(orderHistory[customer]),ROW(orderHistory[customer])),""),ROWS($A$15:A53)+$B$3)))),IF($D$13="",IF($D$15="",INDEX(orderHistory[payed],SMALL(IF(ISNUMBER(MATCH(orderHistory[status],$D$11,0)),MATCH(ROW(orderHistory[customer]),ROW(orderHistory[customer])),""),ROWS($A$15:A53)+$B$3)),INDEX(orderHistory[payed],SMALL(IF(ISNUMBER(MATCH(orderHistory[status],$D$11,0)*MATCH(YEAR(orderHistory[invoice_date]),$D$15,0)),MATCH(ROW(orderHistory[customer]),ROW(orderHistory[customer])),""),ROWS($A$15:A53)+$B$3))),IF($D$15="",INDEX(orderHistory[payed],SMALL(IF(ISNUMBER(MATCH(orderHistory[status],$D$11,0)*MATCH(orderHistory[order_type],$D$13,0)),MATCH(ROW(orderHistory[customer]),ROW(orderHistory[customer])),""),ROWS($A$15:A53)+$B$3)),INDEX(orderHistory[payed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payed],SMALL(IF(ISNUMBER(MATCH(orderHistory[customer],$D$9,0)),MATCH(ROW(orderHistory[customer]),ROW(orderHistory[customer])),""),ROWS($A$15:A53)+$B$3)),INDEX(orderHistory[payed],SMALL(IF(ISNUMBER(MATCH(orderHistory[customer],$D$9,0)*MATCH(YEAR(orderHistory[invoice_date]),$D$15,0)),MATCH(ROW(orderHistory[customer]),ROW(orderHistory[customer])),""),ROWS($A$15:A53)+$B$3))),IF($D$15="",INDEX(orderHistory[payed],SMALL(IF(ISNUMBER(MATCH(orderHistory[customer],$D$9,0)*MATCH(orderHistory[order_type],$D$13,0)),MATCH(ROW(orderHistory[customer]),ROW(orderHistory[customer])),""),ROWS($A$15:A53)+$B$3)),INDEX(orderHistory[payed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payed],SMALL(IF(ISNUMBER(MATCH(orderHistory[customer],$D$9,0)*MATCH(orderHistory[status],$D$11,0)),MATCH(ROW(orderHistory[customer]),ROW(orderHistory[customer])),""),ROWS($A$15:A53)+$B$3)),INDEX(orderHistory[payed],SMALL(IF(ISNUMBER(MATCH(orderHistory[customer],$D$9,0)*MATCH(orderHistory[status],$D$11,0)*MATCH(YEAR(orderHistory[payed]),$D$15,0)),MATCH(ROW(orderHistory[customer]),ROW(orderHistory[customer])),""),ROWS($A$15:A53)+$B$3))),IF($D$15="",INDEX(orderHistory[payed],SMALL(IF(ISNUMBER(MATCH(orderHistory[customer],$D$9,0)*MATCH(orderHistory[status],$D$11,0)*MATCH(orderHistory[order_type],$D$13,0)),MATCH(ROW(orderHistory[customer]),ROW(orderHistory[customer])),""),ROWS($A$15:A53)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1</v>
      </c>
      <c r="U48" s="383" t="str">
        <f t="array" ref="U48">IFERROR(IF($D$9="",IF($D$11="",IF($D$13="",IF($D$15="",INDEX(orderHistory[shipping_method],SMALL(MATCH(ROW(orderHistory[customer]),ROW(orderHistory[customer])),ROWS($A$15:A53)+$B$3)),INDEX(orderHistory[shipping_method],SMALL(IF(ISNUMBER(MATCH(YEAR(orderHistory[invoice_date]),$D$15,0)),MATCH(ROW(orderHistory[customer]),ROW(orderHistory[customer])),""),ROWS($A$15:A53)+$B$3))),IF($D$15="",INDEX(orderHistory[shipping_method],SMALL(IF(ISNUMBER(MATCH(orderHistory[order_type],$D$13,0)),MATCH(ROW(orderHistory[customer]),ROW(orderHistory[customer])),""),ROWS($A$15:A53)+$B$3)),INDEX(orderHistory[shipping_method],SMALL(IF(ISNUMBER(MATCH(orderHistory[order_type],$D$13,0)*MATCH(YEAR(orderHistory[invoice_date]),$D$15,0)),MATCH(ROW(orderHistory[customer]),ROW(orderHistory[customer])),""),ROWS($A$15:A53)+$B$3)))),IF($D$13="",IF($D$15="",INDEX(orderHistory[shipping_method],SMALL(IF(ISNUMBER(MATCH(orderHistory[status],$D$11,0)),MATCH(ROW(orderHistory[customer]),ROW(orderHistory[customer])),""),ROWS($A$15:A53)+$B$3)),INDEX(orderHistory[shipping_method],SMALL(IF(ISNUMBER(MATCH(orderHistory[status],$D$11,0)*MATCH(YEAR(orderHistory[invoice_date]),$D$15,0)),MATCH(ROW(orderHistory[customer]),ROW(orderHistory[customer])),""),ROWS($A$15:A53)+$B$3))),IF($D$15="",INDEX(orderHistory[shipping_method],SMALL(IF(ISNUMBER(MATCH(orderHistory[status],$D$11,0)*MATCH(orderHistory[order_type],$D$13,0)),MATCH(ROW(orderHistory[customer]),ROW(orderHistory[customer])),""),ROWS($A$15:A53)+$B$3)),INDEX(orderHistory[shipping_method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shipping_method],SMALL(IF(ISNUMBER(MATCH(orderHistory[customer],$D$9,0)),MATCH(ROW(orderHistory[customer]),ROW(orderHistory[customer])),""),ROWS($A$15:A53)+$B$3)),INDEX(orderHistory[shipping_method],SMALL(IF(ISNUMBER(MATCH(orderHistory[customer],$D$9,0)*MATCH(YEAR(orderHistory[invoice_date]),$D$15,0)),MATCH(ROW(orderHistory[customer]),ROW(orderHistory[customer])),""),ROWS($A$15:A53)+$B$3))),IF($D$15="",INDEX(orderHistory[shipping_method],SMALL(IF(ISNUMBER(MATCH(orderHistory[customer],$D$9,0)*MATCH(orderHistory[order_type],$D$13,0)),MATCH(ROW(orderHistory[customer]),ROW(orderHistory[customer])),""),ROWS($A$15:A53)+$B$3)),INDEX(orderHistory[shipping_method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shipping_method],SMALL(IF(ISNUMBER(MATCH(orderHistory[customer],$D$9,0)*MATCH(orderHistory[status],$D$11,0)),MATCH(ROW(orderHistory[customer]),ROW(orderHistory[customer])),""),ROWS($A$15:A53)+$B$3)),INDEX(orderHistory[shipping_method],SMALL(IF(ISNUMBER(MATCH(orderHistory[customer],$D$9,0)*MATCH(orderHistory[status],$D$11,0)*MATCH(YEAR(orderHistory[shipping_method]),$D$15,0)),MATCH(ROW(orderHistory[customer]),ROW(orderHistory[customer])),""),ROWS($A$15:A53)+$B$3))),IF($D$15="",INDEX(orderHistory[shipping_method],SMALL(IF(ISNUMBER(MATCH(orderHistory[customer],$D$9,0)*MATCH(orderHistory[status],$D$11,0)*MATCH(orderHistory[order_type],$D$13,0)),MATCH(ROW(orderHistory[customer]),ROW(orderHistory[customer])),""),ROWS($A$15:A53)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BY ROAD</v>
      </c>
      <c r="V48" s="388" t="str">
        <f t="array" ref="V48">IFERROR(IF($D$9="",IF($D$11="",IF($D$13="",IF($D$15="",INDEX(orderHistory[status],SMALL(MATCH(ROW(orderHistory[customer]),ROW(orderHistory[customer])),ROWS($A$15:A53)+$B$3)),INDEX(orderHistory[status],SMALL(IF(ISNUMBER(MATCH(YEAR(orderHistory[invoice_date]),$D$15,0)),MATCH(ROW(orderHistory[customer]),ROW(orderHistory[customer])),""),ROWS($A$15:A53)+$B$3))),IF($D$15="",INDEX(orderHistory[status],SMALL(IF(ISNUMBER(MATCH(orderHistory[order_type],$D$13,0)),MATCH(ROW(orderHistory[customer]),ROW(orderHistory[customer])),""),ROWS($A$15:A53)+$B$3)),INDEX(orderHistory[status],SMALL(IF(ISNUMBER(MATCH(orderHistory[order_type],$D$13,0)*MATCH(YEAR(orderHistory[invoice_date]),$D$15,0)),MATCH(ROW(orderHistory[customer]),ROW(orderHistory[customer])),""),ROWS($A$15:A53)+$B$3)))),IF($D$13="",IF($D$15="",INDEX(orderHistory[status],SMALL(IF(ISNUMBER(MATCH(orderHistory[status],$D$11,0)),MATCH(ROW(orderHistory[customer]),ROW(orderHistory[customer])),""),ROWS($A$15:A53)+$B$3)),INDEX(orderHistory[status],SMALL(IF(ISNUMBER(MATCH(orderHistory[status],$D$11,0)*MATCH(YEAR(orderHistory[invoice_date]),$D$15,0)),MATCH(ROW(orderHistory[customer]),ROW(orderHistory[customer])),""),ROWS($A$15:A53)+$B$3))),IF($D$15="",INDEX(orderHistory[status],SMALL(IF(ISNUMBER(MATCH(orderHistory[status],$D$11,0)*MATCH(orderHistory[order_type],$D$13,0)),MATCH(ROW(orderHistory[customer]),ROW(orderHistory[customer])),""),ROWS($A$15:A53)+$B$3)),INDEX(orderHistory[status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status],SMALL(IF(ISNUMBER(MATCH(orderHistory[customer],$D$9,0)),MATCH(ROW(orderHistory[customer]),ROW(orderHistory[customer])),""),ROWS($A$15:A53)+$B$3)),INDEX(orderHistory[status],SMALL(IF(ISNUMBER(MATCH(orderHistory[customer],$D$9,0)*MATCH(YEAR(orderHistory[invoice_date]),$D$15,0)),MATCH(ROW(orderHistory[customer]),ROW(orderHistory[customer])),""),ROWS($A$15:A53)+$B$3))),IF($D$15="",INDEX(orderHistory[status],SMALL(IF(ISNUMBER(MATCH(orderHistory[customer],$D$9,0)*MATCH(orderHistory[order_type],$D$13,0)),MATCH(ROW(orderHistory[customer]),ROW(orderHistory[customer])),""),ROWS($A$15:A53)+$B$3)),INDEX(orderHistory[status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status],SMALL(IF(ISNUMBER(MATCH(orderHistory[customer],$D$9,0)*MATCH(orderHistory[status],$D$11,0)),MATCH(ROW(orderHistory[customer]),ROW(orderHistory[customer])),""),ROWS($A$15:A53)+$B$3)),INDEX(orderHistory[status],SMALL(IF(ISNUMBER(MATCH(orderHistory[customer],$D$9,0)*MATCH(orderHistory[status],$D$11,0)*MATCH(YEAR(orderHistory[status]),$D$15,0)),MATCH(ROW(orderHistory[customer]),ROW(orderHistory[customer])),""),ROWS($A$15:A53)+$B$3))),IF($D$15="",INDEX(orderHistory[status],SMALL(IF(ISNUMBER(MATCH(orderHistory[customer],$D$9,0)*MATCH(orderHistory[status],$D$11,0)*MATCH(orderHistory[order_type],$D$13,0)),MATCH(ROW(orderHistory[customer]),ROW(orderHistory[customer])),""),ROWS($A$15:A53)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SHIPPED</v>
      </c>
      <c r="W48" s="547" t="str">
        <f t="array" ref="W48">IFERROR(IF($D$9="",IF($D$11="",IF($D$13="",IF($D$15="",INDEX(orderHistory[custom_docs],SMALL(MATCH(ROW(orderHistory[customer]),ROW(orderHistory[customer])),ROWS($A$15:A53)+$B$3)),INDEX(orderHistory[custom_docs],SMALL(IF(ISNUMBER(MATCH(YEAR(orderHistory[invoice_date]),$D$15,0)),MATCH(ROW(orderHistory[customer]),ROW(orderHistory[customer])),""),ROWS($A$15:A53)+$B$3))),IF($D$15="",INDEX(orderHistory[custom_docs],SMALL(IF(ISNUMBER(MATCH(orderHistory[order_type],$D$13,0)),MATCH(ROW(orderHistory[customer]),ROW(orderHistory[customer])),""),ROWS($A$15:A53)+$B$3)),INDEX(orderHistory[custom_docs],SMALL(IF(ISNUMBER(MATCH(orderHistory[order_type],$D$13,0)*MATCH(YEAR(orderHistory[invoice_date]),$D$15,0)),MATCH(ROW(orderHistory[customer]),ROW(orderHistory[customer])),""),ROWS($A$15:A53)+$B$3)))),IF($D$13="",IF($D$15="",INDEX(orderHistory[custom_docs],SMALL(IF(ISNUMBER(MATCH(orderHistory[status],$D$11,0)),MATCH(ROW(orderHistory[customer]),ROW(orderHistory[customer])),""),ROWS($A$15:A53)+$B$3)),INDEX(orderHistory[custom_docs],SMALL(IF(ISNUMBER(MATCH(orderHistory[status],$D$11,0)*MATCH(YEAR(orderHistory[invoice_date]),$D$15,0)),MATCH(ROW(orderHistory[customer]),ROW(orderHistory[customer])),""),ROWS($A$15:A53)+$B$3))),IF($D$15="",INDEX(orderHistory[custom_docs],SMALL(IF(ISNUMBER(MATCH(orderHistory[status],$D$11,0)*MATCH(orderHistory[order_type],$D$13,0)),MATCH(ROW(orderHistory[customer]),ROW(orderHistory[customer])),""),ROWS($A$15:A53)+$B$3)),INDEX(orderHistory[custom_docs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custom_docs],SMALL(IF(ISNUMBER(MATCH(orderHistory[customer],$D$9,0)),MATCH(ROW(orderHistory[customer]),ROW(orderHistory[customer])),""),ROWS($A$15:A53)+$B$3)),INDEX(orderHistory[custom_docs],SMALL(IF(ISNUMBER(MATCH(orderHistory[customer],$D$9,0)*MATCH(YEAR(orderHistory[invoice_date]),$D$15,0)),MATCH(ROW(orderHistory[customer]),ROW(orderHistory[customer])),""),ROWS($A$15:A53)+$B$3))),IF($D$15="",INDEX(orderHistory[custom_docs],SMALL(IF(ISNUMBER(MATCH(orderHistory[customer],$D$9,0)*MATCH(orderHistory[order_type],$D$13,0)),MATCH(ROW(orderHistory[customer]),ROW(orderHistory[customer])),""),ROWS($A$15:A53)+$B$3)),INDEX(orderHistory[custom_docs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custom_docs],SMALL(IF(ISNUMBER(MATCH(orderHistory[customer],$D$9,0)*MATCH(orderHistory[status],$D$11,0)),MATCH(ROW(orderHistory[customer]),ROW(orderHistory[customer])),""),ROWS($A$15:A53)+$B$3)),INDEX(orderHistory[custom_docs],SMALL(IF(ISNUMBER(MATCH(orderHistory[customer],$D$9,0)*MATCH(orderHistory[status],$D$11,0)*MATCH(YEAR(orderHistory[status]),$D$15,0)),MATCH(ROW(orderHistory[customer]),ROW(orderHistory[customer])),""),ROWS($A$15:A53)+$B$3))),IF($D$15="",INDEX(orderHistory[custom_docs],SMALL(IF(ISNUMBER(MATCH(orderHistory[customer],$D$9,0)*MATCH(orderHistory[status],$D$11,0)*MATCH(orderHistory[order_type],$D$13,0)),MATCH(ROW(orderHistory[customer]),ROW(orderHistory[customer])),""),ROWS($A$15:A53)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OK</v>
      </c>
      <c r="BG48" s="215"/>
      <c r="BK48" s="296"/>
      <c r="BL48" s="297"/>
      <c r="BM48" s="298"/>
      <c r="BN48" s="297"/>
      <c r="BO48" s="298"/>
      <c r="BZ48" s="412"/>
      <c r="CA48" s="401" t="str">
        <f>IFERROR(IF(BZ48="","",INDEX(bhpc_data[description],MATCH(BZ48,bhpc_data[sku],0))),"")</f>
        <v/>
      </c>
      <c r="CB48" s="403"/>
      <c r="CC48" s="885"/>
      <c r="CD48" s="411"/>
      <c r="CE48" s="890"/>
      <c r="CF48" s="404"/>
      <c r="CG48" s="405" t="str">
        <f>IFERROR(ROUNDUP(CB48/INDEX(bhpc_data[units_per_carton],MATCH(BZ48,bhpc_data[sku],0)),0),"")</f>
        <v/>
      </c>
      <c r="CH48" s="406" t="str">
        <f>IFERROR(ROUNDUP(CD48/INDEX(bhpc_data[units_per_carton],MATCH(BZ48,bhpc_data[sku],0)),0),"")</f>
        <v/>
      </c>
      <c r="CI48" s="406" t="str">
        <f>IFERROR(ROUNDUP(CF48/INDEX(bhpc_data[units_per_carton],MATCH(BZ48,bhpc_data[sku])),0),"")</f>
        <v/>
      </c>
      <c r="CJ48" s="406" t="str">
        <f>IFERROR(((CB48+CD48+CF48)/INDEX(bhpc_data[units_per_carton],MATCH(BZ48,bhpc_data[sku],0)))*INDEX(bhpc_data[net_weight],MATCH(BZ48,bhpc_data[sku],0)),"")</f>
        <v/>
      </c>
      <c r="CK48" s="406" t="str">
        <f>IFERROR(((CB48+CD48+CF48)/INDEX(bhpc_data[units_per_carton],MATCH(BZ48,bhpc_data[sku],0)))*INDEX(bhpc_data[gross_weight],MATCH(BZ48,bhpc_data[sku],0)),"")</f>
        <v/>
      </c>
      <c r="CL48" s="602" t="str">
        <f>IFERROR((CB48+CD48+CF48)/INDEX(bhpc_data[units_per_carton],MATCH(BZ48,bhpc_data[sku],0))*INDEX(bhpc_data[length],MATCH(BZ48,bhpc_data[sku],0))*INDEX(bhpc_data[width],MATCH(BZ48,bhpc_data[sku],0))*INDEX(bhpc_data[height],MATCH(BZ48,bhpc_data[sku],0))/1000000000,"")</f>
        <v/>
      </c>
      <c r="CM48" s="407" t="str">
        <f>IFERROR(INDEX(bhpc_data[category],MATCH(BZ48,bhpc_data[sku],0)),"")</f>
        <v/>
      </c>
      <c r="CN48" s="407" t="str">
        <f>IFERROR(INDEX(bhpc_data[size],MATCH(BZ48,bhpc_data[sku],0)),"")</f>
        <v/>
      </c>
      <c r="CO48" s="408" t="str">
        <f>IFERROR(INDEX(bhpc_data[hs_code],MATCH(BZ48,bhpc_data[sku],0)),"")</f>
        <v/>
      </c>
      <c r="CP48" s="489" t="str">
        <f>IFERROR(INDEX(bhpc_data[sku_geko],MATCH(BZ48,bhpc_data[sku],0)),"")</f>
        <v/>
      </c>
      <c r="CQ48" s="404"/>
      <c r="CR48" s="517" t="str">
        <f>IFERROR(IF(BZ48="","",IF($BX$15="SALE",INDEX(inventory[COSTO UNITARIO],MATCH(BZ48,inventory[SKU],0)),IF($BX$15="SAMPLING",INDEX(inventory[COSTO UNITARIO],MATCH(BZ48,inventory[SKU],0)),""))),"")</f>
        <v/>
      </c>
      <c r="CS48" s="517" t="str">
        <f t="shared" si="7"/>
        <v/>
      </c>
      <c r="CT48" s="896" t="str">
        <f t="shared" si="8"/>
        <v/>
      </c>
      <c r="CU48" s="469" t="str">
        <f t="shared" si="0"/>
        <v/>
      </c>
      <c r="CV48" s="280"/>
      <c r="CW48" s="280"/>
      <c r="CX48" s="280"/>
      <c r="CY48" s="280"/>
      <c r="CZ48" s="280"/>
      <c r="DA48" s="280"/>
      <c r="DB48" s="280" t="str">
        <f>IFERROR(VLOOKUP(BZ48,bhpc_data[],22,FALSE),"")</f>
        <v/>
      </c>
      <c r="EE48" s="445" t="str" cm="1">
        <f t="array" ref="EE48">IFERROR(IF($EC$9="",IF($EC$11="",IF($EC$13="",INDEX(bhpc_data[sku],SMALL(MATCH(ROW(bhpc_data[sku]),ROW(bhpc_data[sku])),ROWS($A$15:A53)+$B$3)),INDEX(bhpc_data[sku],SMALL(IF(ISNUMBER(MATCH(bhpc_data[size],$EC$13,0)),MATCH(ROW(bhpc_data[sku]),ROW(bhpc_data[sku])),""),ROWS($A$15:A53)+$B$3))),IF($EC$13="",INDEX(bhpc_data[sku],SMALL(IF(ISNUMBER(MATCH(bhpc_data[sex],$EC$11,0)),MATCH(ROW(bhpc_data[sku]),ROW(bhpc_data[sku])),""),ROWS($A$15:A53)+$B$3)),INDEX(bhpc_data[sku],SMALL(IF(ISNUMBER(MATCH(bhpc_data[sex],$EC$11,0)*MATCH(bhpc_data[size],$EC$13,0)),MATCH(ROW(bhpc_data[sku]),ROW(bhpc_data[sku])),""),ROWS($A$15:A53)+$B$3)))),IF($EC$11="",IF($EC$13="",INDEX(bhpc_data[sku],SMALL(IF(ISNUMBER(MATCH(bhpc_data[category],$EC$9,0)),MATCH(ROW(bhpc_data[sku]),ROW(bhpc_data[sku])),""),ROWS($A$15:A53)+$B$3)),INDEX(bhpc_data[sku],SMALL(IF(ISNUMBER(MATCH(bhpc_data[category],$EC$9,0)*MATCH(bhpc_data[size],$EC$13,0)),MATCH(ROW(bhpc_data[sku]),ROW(bhpc_data[sku])),""),ROWS($A$15:A53)+$B$3))),IF($EC$13="",INDEX(bhpc_data[sku],SMALL(IF(ISNUMBER(MATCH(bhpc_data[category],$EC$9,0)*MATCH(bhpc_data[sex],$EC$11,0)),MATCH(ROW(bhpc_data[sku]),ROW(bhpc_data[sku])),""),ROWS($A$15:A53)+$B$3)),INDEX(bhpc_data[sku],SMALL(IF(ISNUMBER(MATCH(bhpc_data[category],$EC$9,0)*MATCH(bhpc_data[sex],$EC$11,0)*MATCH(bhpc_data[size],$EC$13,0)),MATCH(ROW(bhpc_data[sku]),ROW(bhpc_data[sku])),""),ROWS($A$15:A53)+$B$3))))),"")</f>
        <v>PSILVER</v>
      </c>
      <c r="EF48" s="446" t="str" cm="1">
        <f t="array" ref="EF48">IFERROR(IF($EC$9="",IF($EC$11="",IF($EC$13="",INDEX(bhpc_data[description],SMALL(MATCH(ROW(bhpc_data[sku]),ROW(bhpc_data[sku])),ROWS($A$15:A53)+$B$3)),INDEX(bhpc_data[description],SMALL(IF(ISNUMBER(MATCH(bhpc_data[size],$EC$13,0)),MATCH(ROW(bhpc_data[sku]),ROW(bhpc_data[sku])),""),ROWS($A$15:A53)+$B$3))),IF($EC$13="",INDEX(bhpc_data[description],SMALL(IF(ISNUMBER(MATCH(bhpc_data[sex],$EC$11,0)),MATCH(ROW(bhpc_data[sku]),ROW(bhpc_data[sku])),""),ROWS($A$15:A53)+$B$3)),INDEX(bhpc_data[description],SMALL(IF(ISNUMBER(MATCH(bhpc_data[sex],$EC$11,0)*MATCH(bhpc_data[size],$EC$13,0)),MATCH(ROW(bhpc_data[sku]),ROW(bhpc_data[sku])),""),ROWS($A$15:A53)+$B$3)))),IF($EC$11="",IF($EC$13="",INDEX(bhpc_data[description],SMALL(IF(ISNUMBER(MATCH(bhpc_data[category],$EC$9,0)),MATCH(ROW(bhpc_data[sku]),ROW(bhpc_data[sku])),""),ROWS($A$15:A53)+$B$3)),INDEX(bhpc_data[description],SMALL(IF(ISNUMBER(MATCH(bhpc_data[category],$EC$9,0)*MATCH(bhpc_data[size],$EC$13,0)),MATCH(ROW(bhpc_data[sku]),ROW(bhpc_data[sku])),""),ROWS($A$15:A53)+$B$3))),IF($EC$13="",INDEX(bhpc_data[description],SMALL(IF(ISNUMBER(MATCH(bhpc_data[category],$EC$9,0)*MATCH(bhpc_data[sex],$EC$11,0)),MATCH(ROW(bhpc_data[sku]),ROW(bhpc_data[sku])),""),ROWS($A$15:A53)+$B$3)),INDEX(bhpc_data[description],SMALL(IF(ISNUMBER(MATCH(bhpc_data[category],$EC$9,0)*MATCH(bhpc_data[sex],$EC$11,0)*MATCH(bhpc_data[size],$EC$13,0)),MATCH(ROW(bhpc_data[sku]),ROW(bhpc_data[sku])),""),ROWS($A$15:A53)+$B$3))))),"")</f>
        <v>BHPC SIGNATURE ED. SILVER 100ML EDP MEN</v>
      </c>
      <c r="EG48" s="447">
        <f>IFERROR(IF('BHPC MANAGER'!$EE48="","",INDEX(inventory[ESISTENZA],MATCH('BHPC MANAGER'!$EE48,inventory[SKU],0))),0)</f>
        <v>0</v>
      </c>
      <c r="EH48" s="448">
        <v>4</v>
      </c>
      <c r="EI48" s="448">
        <f t="shared" si="1"/>
        <v>4</v>
      </c>
      <c r="EJ48" s="449">
        <v>-2</v>
      </c>
      <c r="EK48" s="450">
        <f t="shared" si="2"/>
        <v>2</v>
      </c>
      <c r="EO48" s="215" t="str">
        <f t="array" ref="EO48">IFERROR(INDEX(orderHistory[order_no],SMALL(IF(ISNUMBER(MATCH(orderHistory[status],$EO$7,0)),MATCH(ROW(orderHistory[order_no]),ROW(orderHistory[order_no])),""),ROWS($A$15:A53))),"")</f>
        <v/>
      </c>
    </row>
    <row r="49" spans="10:145" ht="15" customHeight="1" x14ac:dyDescent="0.35">
      <c r="J49" s="264"/>
      <c r="K49" s="264"/>
      <c r="L49" s="381" t="str">
        <f t="array" ref="L49">IFERROR(IF($D$9="",IF($D$11="",IF($D$13="",IF($D$15="",INDEX(orderHistory[customer],SMALL(MATCH(ROW(orderHistory[customer]),ROW(orderHistory[customer])),ROWS($A$15:A54)+$B$3)),INDEX(orderHistory[customer],SMALL(IF(ISNUMBER(MATCH(YEAR(orderHistory[invoice_date]),$D$15,0)),MATCH(ROW(orderHistory[customer]),ROW(orderHistory[customer])),""),ROWS($A$15:A54)+$B$3))),IF($D$15="",INDEX(orderHistory[customer],SMALL(IF(ISNUMBER(MATCH(orderHistory[order_type],$D$13,0)),MATCH(ROW(orderHistory[customer]),ROW(orderHistory[customer])),""),ROWS($A$15:A54)+$B$3)),INDEX(orderHistory[customer],SMALL(IF(ISNUMBER(MATCH(orderHistory[order_type],$D$13,0)*MATCH(YEAR(orderHistory[invoice_date]),$D$15,0)),MATCH(ROW(orderHistory[customer]),ROW(orderHistory[customer])),""),ROWS($A$15:A54)+$B$3)))),IF($D$13="",IF($D$15="",INDEX(orderHistory[customer],SMALL(IF(ISNUMBER(MATCH(orderHistory[status],$D$11,0)),MATCH(ROW(orderHistory[customer]),ROW(orderHistory[customer])),""),ROWS($A$15:A54)+$B$3)),INDEX(orderHistory[customer],SMALL(IF(ISNUMBER(MATCH(orderHistory[status],$D$11,0)*MATCH(YEAR(orderHistory[invoice_date]),$D$15,0)),MATCH(ROW(orderHistory[customer]),ROW(orderHistory[customer])),""),ROWS($A$15:A54)+$B$3))),IF($D$15="",INDEX(orderHistory[customer],SMALL(IF(ISNUMBER(MATCH(orderHistory[status],$D$11,0)*MATCH(orderHistory[order_type],$D$13,0)),MATCH(ROW(orderHistory[customer]),ROW(orderHistory[customer])),""),ROWS($A$15:A54)+$B$3)),INDEX(orderHistory[customer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customer],SMALL(IF(ISNUMBER(MATCH(orderHistory[customer],$D$9,0)),MATCH(ROW(orderHistory[customer]),ROW(orderHistory[customer])),""),ROWS($A$15:A54)+$B$3)),INDEX(orderHistory[customer],SMALL(IF(ISNUMBER(MATCH(orderHistory[customer],$D$9,0)*MATCH(YEAR(orderHistory[invoice_date]),$D$15,0)),MATCH(ROW(orderHistory[customer]),ROW(orderHistory[customer])),""),ROWS($A$15:A54)+$B$3))),IF($D$15="",INDEX(orderHistory[customer],SMALL(IF(ISNUMBER(MATCH(orderHistory[customer],$D$9,0)*MATCH(orderHistory[order_type],$D$13,0)),MATCH(ROW(orderHistory[customer]),ROW(orderHistory[customer])),""),ROWS($A$15:A54)+$B$3)),INDEX(orderHistory[customer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customer],SMALL(IF(ISNUMBER(MATCH(orderHistory[customer],$D$9,0)*MATCH(orderHistory[status],$D$11,0)),MATCH(ROW(orderHistory[customer]),ROW(orderHistory[customer])),""),ROWS($A$15:A54)+$B$3)),INDEX(orderHistory[customer],SMALL(IF(ISNUMBER(MATCH(orderHistory[customer],$D$9,0)*MATCH(orderHistory[status],$D$11,0)*MATCH(YEAR(orderHistory[invoice_date]),$D$15,0)),MATCH(ROW(orderHistory[customer]),ROW(orderHistory[customer])),""),ROWS($A$15:A54)+$B$3))),IF($D$15="",INDEX(orderHistory[customer],SMALL(IF(ISNUMBER(MATCH(orderHistory[customer],$D$9,0)*MATCH(orderHistory[status],$D$11,0)*MATCH(orderHistory[order_type],$D$13,0)),MATCH(ROW(orderHistory[customer]),ROW(orderHistory[customer])),""),ROWS($A$15:A54)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CIELOMED</v>
      </c>
      <c r="M49" s="382">
        <f t="array" ref="M49">IFERROR(IF($D$9="",IF($D$11="",IF($D$13="",IF($D$15="",INDEX(orderHistory[order_no],SMALL(MATCH(ROW(orderHistory[customer]),ROW(orderHistory[customer])),ROWS($A$15:A54)+$B$3)),INDEX(orderHistory[order_no],SMALL(IF(ISNUMBER(MATCH(YEAR(orderHistory[invoice_date]),$D$15,0)),MATCH(ROW(orderHistory[customer]),ROW(orderHistory[customer])),""),ROWS($A$15:A54)+$B$3))),IF($D$15="",INDEX(orderHistory[order_no],SMALL(IF(ISNUMBER(MATCH(orderHistory[order_type],$D$13,0)),MATCH(ROW(orderHistory[customer]),ROW(orderHistory[customer])),""),ROWS($A$15:A54)+$B$3)),INDEX(orderHistory[order_no],SMALL(IF(ISNUMBER(MATCH(orderHistory[order_type],$D$13,0)*MATCH(YEAR(orderHistory[invoice_date]),$D$15,0)),MATCH(ROW(orderHistory[customer]),ROW(orderHistory[customer])),""),ROWS($A$15:A54)+$B$3)))),IF($D$13="",IF($D$15="",INDEX(orderHistory[order_no],SMALL(IF(ISNUMBER(MATCH(orderHistory[status],$D$11,0)),MATCH(ROW(orderHistory[customer]),ROW(orderHistory[customer])),""),ROWS($A$15:A54)+$B$3)),INDEX(orderHistory[order_no],SMALL(IF(ISNUMBER(MATCH(orderHistory[status],$D$11,0)*MATCH(YEAR(orderHistory[invoice_date]),$D$15,0)),MATCH(ROW(orderHistory[customer]),ROW(orderHistory[customer])),""),ROWS($A$15:A54)+$B$3))),IF($D$15="",INDEX(orderHistory[order_no],SMALL(IF(ISNUMBER(MATCH(orderHistory[status],$D$11,0)*MATCH(orderHistory[order_type],$D$13,0)),MATCH(ROW(orderHistory[customer]),ROW(orderHistory[customer])),""),ROWS($A$15:A54)+$B$3)),INDEX(orderHistory[order_no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order_no],SMALL(IF(ISNUMBER(MATCH(orderHistory[customer],$D$9,0)),MATCH(ROW(orderHistory[customer]),ROW(orderHistory[customer])),""),ROWS($A$15:A54)+$B$3)),INDEX(orderHistory[order_no],SMALL(IF(ISNUMBER(MATCH(orderHistory[customer],$D$9,0)*MATCH(YEAR(orderHistory[invoice_date]),$D$15,0)),MATCH(ROW(orderHistory[customer]),ROW(orderHistory[customer])),""),ROWS($A$15:A54)+$B$3))),IF($D$15="",INDEX(orderHistory[order_no],SMALL(IF(ISNUMBER(MATCH(orderHistory[customer],$D$9,0)*MATCH(orderHistory[order_type],$D$13,0)),MATCH(ROW(orderHistory[customer]),ROW(orderHistory[customer])),""),ROWS($A$15:A54)+$B$3)),INDEX(orderHistory[order_no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order_no],SMALL(IF(ISNUMBER(MATCH(orderHistory[customer],$D$9,0)*MATCH(orderHistory[status],$D$11,0)),MATCH(ROW(orderHistory[customer]),ROW(orderHistory[customer])),""),ROWS($A$15:A54)+$B$3)),INDEX(orderHistory[order_no],SMALL(IF(ISNUMBER(MATCH(orderHistory[customer],$D$9,0)*MATCH(orderHistory[status],$D$11,0)*MATCH(YEAR(orderHistory[invoice_date]),$D$15,0)),MATCH(ROW(orderHistory[customer]),ROW(orderHistory[customer])),""),ROWS($A$15:A54)+$B$3))),IF($D$15="",INDEX(orderHistory[order_no],SMALL(IF(ISNUMBER(MATCH(orderHistory[customer],$D$9,0)*MATCH(orderHistory[status],$D$11,0)*MATCH(orderHistory[order_type],$D$13,0)),MATCH(ROW(orderHistory[customer]),ROW(orderHistory[customer])),""),ROWS($A$15:A54)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8</v>
      </c>
      <c r="N49" s="383" t="str">
        <f t="array" ref="N49">IFERROR(IF($D$9="",IF($D$11="",IF($D$13="",IF($D$15="",INDEX(orderHistory[order_type],SMALL(MATCH(ROW(orderHistory[customer]),ROW(orderHistory[customer])),ROWS($A$15:A54)+$B$3)),INDEX(orderHistory[order_type],SMALL(IF(ISNUMBER(MATCH(YEAR(orderHistory[invoice_date]),$D$15,0)),MATCH(ROW(orderHistory[customer]),ROW(orderHistory[customer])),""),ROWS($A$15:A54)+$B$3))),IF($D$15="",INDEX(orderHistory[order_type],SMALL(IF(ISNUMBER(MATCH(orderHistory[order_type],$D$13,0)),MATCH(ROW(orderHistory[customer]),ROW(orderHistory[customer])),""),ROWS($A$15:A54)+$B$3)),INDEX(orderHistory[order_type],SMALL(IF(ISNUMBER(MATCH(orderHistory[order_type],$D$13,0)*MATCH(YEAR(orderHistory[invoice_date]),$D$15,0)),MATCH(ROW(orderHistory[customer]),ROW(orderHistory[customer])),""),ROWS($A$15:A54)+$B$3)))),IF($D$13="",IF($D$15="",INDEX(orderHistory[order_type],SMALL(IF(ISNUMBER(MATCH(orderHistory[status],$D$11,0)),MATCH(ROW(orderHistory[customer]),ROW(orderHistory[customer])),""),ROWS($A$15:A54)+$B$3)),INDEX(orderHistory[order_type],SMALL(IF(ISNUMBER(MATCH(orderHistory[status],$D$11,0)*MATCH(YEAR(orderHistory[invoice_date]),$D$15,0)),MATCH(ROW(orderHistory[customer]),ROW(orderHistory[customer])),""),ROWS($A$15:A54)+$B$3))),IF($D$15="",INDEX(orderHistory[order_type],SMALL(IF(ISNUMBER(MATCH(orderHistory[status],$D$11,0)*MATCH(orderHistory[order_type],$D$13,0)),MATCH(ROW(orderHistory[customer]),ROW(orderHistory[customer])),""),ROWS($A$15:A54)+$B$3)),INDEX(orderHistory[order_type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order_type],SMALL(IF(ISNUMBER(MATCH(orderHistory[customer],$D$9,0)),MATCH(ROW(orderHistory[customer]),ROW(orderHistory[customer])),""),ROWS($A$15:A54)+$B$3)),INDEX(orderHistory[order_type],SMALL(IF(ISNUMBER(MATCH(orderHistory[customer],$D$9,0)*MATCH(YEAR(orderHistory[invoice_date]),$D$15,0)),MATCH(ROW(orderHistory[customer]),ROW(orderHistory[customer])),""),ROWS($A$15:A54)+$B$3))),IF($D$15="",INDEX(orderHistory[order_type],SMALL(IF(ISNUMBER(MATCH(orderHistory[customer],$D$9,0)*MATCH(orderHistory[order_type],$D$13,0)),MATCH(ROW(orderHistory[customer]),ROW(orderHistory[customer])),""),ROWS($A$15:A54)+$B$3)),INDEX(orderHistory[order_type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order_type],SMALL(IF(ISNUMBER(MATCH(orderHistory[customer],$D$9,0)*MATCH(orderHistory[status],$D$11,0)),MATCH(ROW(orderHistory[customer]),ROW(orderHistory[customer])),""),ROWS($A$15:A54)+$B$3)),INDEX(orderHistory[order_type],SMALL(IF(ISNUMBER(MATCH(orderHistory[customer],$D$9,0)*MATCH(orderHistory[status],$D$11,0)*MATCH(YEAR(orderHistory[invoice_date]),$D$15,0)),MATCH(ROW(orderHistory[customer]),ROW(orderHistory[customer])),""),ROWS($A$15:A54)+$B$3))),IF($D$15="",INDEX(orderHistory[order_type],SMALL(IF(ISNUMBER(MATCH(orderHistory[customer],$D$9,0)*MATCH(orderHistory[status],$D$11,0)*MATCH(orderHistory[order_type],$D$13,0)),MATCH(ROW(orderHistory[customer]),ROW(orderHistory[customer])),""),ROWS($A$15:A54)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SALE</v>
      </c>
      <c r="O49" s="384">
        <f t="array" ref="O49">IFERROR(IF($D$9="",IF($D$11="",IF($D$13="",IF($D$15="",INDEX(orderHistory[order_date],SMALL(MATCH(ROW(orderHistory[customer]),ROW(orderHistory[customer])),ROWS($A$15:A54)+$B$3)),INDEX(orderHistory[order_date],SMALL(IF(ISNUMBER(MATCH(YEAR(orderHistory[invoice_date]),$D$15,0)),MATCH(ROW(orderHistory[customer]),ROW(orderHistory[customer])),""),ROWS($A$15:A54)+$B$3))),IF($D$15="",INDEX(orderHistory[order_date],SMALL(IF(ISNUMBER(MATCH(orderHistory[order_type],$D$13,0)),MATCH(ROW(orderHistory[customer]),ROW(orderHistory[customer])),""),ROWS($A$15:A54)+$B$3)),INDEX(orderHistory[order_date],SMALL(IF(ISNUMBER(MATCH(orderHistory[order_type],$D$13,0)*MATCH(YEAR(orderHistory[invoice_date]),$D$15,0)),MATCH(ROW(orderHistory[customer]),ROW(orderHistory[customer])),""),ROWS($A$15:A54)+$B$3)))),IF($D$13="",IF($D$15="",INDEX(orderHistory[order_date],SMALL(IF(ISNUMBER(MATCH(orderHistory[status],$D$11,0)),MATCH(ROW(orderHistory[customer]),ROW(orderHistory[customer])),""),ROWS($A$15:A54)+$B$3)),INDEX(orderHistory[order_date],SMALL(IF(ISNUMBER(MATCH(orderHistory[status],$D$11,0)*MATCH(YEAR(orderHistory[invoice_date]),$D$15,0)),MATCH(ROW(orderHistory[customer]),ROW(orderHistory[customer])),""),ROWS($A$15:A54)+$B$3))),IF($D$15="",INDEX(orderHistory[order_date],SMALL(IF(ISNUMBER(MATCH(orderHistory[status],$D$11,0)*MATCH(orderHistory[order_type],$D$13,0)),MATCH(ROW(orderHistory[customer]),ROW(orderHistory[customer])),""),ROWS($A$15:A54)+$B$3)),INDEX(orderHistory[order_date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order_date],SMALL(IF(ISNUMBER(MATCH(orderHistory[customer],$D$9,0)),MATCH(ROW(orderHistory[customer]),ROW(orderHistory[customer])),""),ROWS($A$15:A54)+$B$3)),INDEX(orderHistory[order_date],SMALL(IF(ISNUMBER(MATCH(orderHistory[customer],$D$9,0)*MATCH(YEAR(orderHistory[invoice_date]),$D$15,0)),MATCH(ROW(orderHistory[customer]),ROW(orderHistory[customer])),""),ROWS($A$15:A54)+$B$3))),IF($D$15="",INDEX(orderHistory[order_date],SMALL(IF(ISNUMBER(MATCH(orderHistory[customer],$D$9,0)*MATCH(orderHistory[order_type],$D$13,0)),MATCH(ROW(orderHistory[customer]),ROW(orderHistory[customer])),""),ROWS($A$15:A54)+$B$3)),INDEX(orderHistory[order_date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order_date],SMALL(IF(ISNUMBER(MATCH(orderHistory[customer],$D$9,0)*MATCH(orderHistory[status],$D$11,0)),MATCH(ROW(orderHistory[customer]),ROW(orderHistory[customer])),""),ROWS($A$15:A54)+$B$3)),INDEX(orderHistory[order_date],SMALL(IF(ISNUMBER(MATCH(orderHistory[customer],$D$9,0)*MATCH(orderHistory[status],$D$11,0)*MATCH(YEAR(orderHistory[invoice_date]),$D$15,0)),MATCH(ROW(orderHistory[customer]),ROW(orderHistory[customer])),""),ROWS($A$15:A54)+$B$3))),IF($D$15="",INDEX(orderHistory[order_date],SMALL(IF(ISNUMBER(MATCH(orderHistory[customer],$D$9,0)*MATCH(orderHistory[status],$D$11,0)*MATCH(orderHistory[order_type],$D$13,0)),MATCH(ROW(orderHistory[customer]),ROW(orderHistory[customer])),""),ROWS($A$15:A54)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45344</v>
      </c>
      <c r="P49" s="385" t="str">
        <f t="array" ref="P49">IFERROR(IF($D$9="",IF($D$11="",IF($D$13="",IF($D$15="",INDEX(orderHistory[invoice_no],SMALL(MATCH(ROW(orderHistory[customer]),ROW(orderHistory[customer])),ROWS($A$15:A54)+$B$3)),INDEX(orderHistory[invoice_no],SMALL(IF(ISNUMBER(MATCH(YEAR(orderHistory[invoice_date]),$D$15,0)),MATCH(ROW(orderHistory[customer]),ROW(orderHistory[customer])),""),ROWS($A$15:A54)+$B$3))),IF($D$15="",INDEX(orderHistory[invoice_no],SMALL(IF(ISNUMBER(MATCH(orderHistory[order_type],$D$13,0)),MATCH(ROW(orderHistory[customer]),ROW(orderHistory[customer])),""),ROWS($A$15:A54)+$B$3)),INDEX(orderHistory[invoice_no],SMALL(IF(ISNUMBER(MATCH(orderHistory[order_type],$D$13,0)*MATCH(YEAR(orderHistory[invoice_date]),$D$15,0)),MATCH(ROW(orderHistory[customer]),ROW(orderHistory[customer])),""),ROWS($A$15:A54)+$B$3)))),IF($D$13="",IF($D$15="",INDEX(orderHistory[invoice_no],SMALL(IF(ISNUMBER(MATCH(orderHistory[status],$D$11,0)),MATCH(ROW(orderHistory[customer]),ROW(orderHistory[customer])),""),ROWS($A$15:A54)+$B$3)),INDEX(orderHistory[invoice_no],SMALL(IF(ISNUMBER(MATCH(orderHistory[status],$D$11,0)*MATCH(YEAR(orderHistory[invoice_date]),$D$15,0)),MATCH(ROW(orderHistory[customer]),ROW(orderHistory[customer])),""),ROWS($A$15:A54)+$B$3))),IF($D$15="",INDEX(orderHistory[invoice_no],SMALL(IF(ISNUMBER(MATCH(orderHistory[status],$D$11,0)*MATCH(orderHistory[order_type],$D$13,0)),MATCH(ROW(orderHistory[customer]),ROW(orderHistory[customer])),""),ROWS($A$15:A54)+$B$3)),INDEX(orderHistory[invoice_no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invoice_no],SMALL(IF(ISNUMBER(MATCH(orderHistory[customer],$D$9,0)),MATCH(ROW(orderHistory[customer]),ROW(orderHistory[customer])),""),ROWS($A$15:A54)+$B$3)),INDEX(orderHistory[invoice_no],SMALL(IF(ISNUMBER(MATCH(orderHistory[customer],$D$9,0)*MATCH(YEAR(orderHistory[invoice_date]),$D$15,0)),MATCH(ROW(orderHistory[customer]),ROW(orderHistory[customer])),""),ROWS($A$15:A54)+$B$3))),IF($D$15="",INDEX(orderHistory[invoice_no],SMALL(IF(ISNUMBER(MATCH(orderHistory[customer],$D$9,0)*MATCH(orderHistory[order_type],$D$13,0)),MATCH(ROW(orderHistory[customer]),ROW(orderHistory[customer])),""),ROWS($A$15:A54)+$B$3)),INDEX(orderHistory[invoice_no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invoice_no],SMALL(IF(ISNUMBER(MATCH(orderHistory[customer],$D$9,0)*MATCH(orderHistory[status],$D$11,0)),MATCH(ROW(orderHistory[customer]),ROW(orderHistory[customer])),""),ROWS($A$15:A54)+$B$3)),INDEX(orderHistory[invoice_no],SMALL(IF(ISNUMBER(MATCH(orderHistory[customer],$D$9,0)*MATCH(orderHistory[status],$D$11,0)*MATCH(YEAR(orderHistory[invoice_date]),$D$15,0)),MATCH(ROW(orderHistory[customer]),ROW(orderHistory[customer])),""),ROWS($A$15:A54)+$B$3))),IF($D$15="",INDEX(orderHistory[invoice_no],SMALL(IF(ISNUMBER(MATCH(orderHistory[customer],$D$9,0)*MATCH(orderHistory[status],$D$11,0)*MATCH(orderHistory[order_type],$D$13,0)),MATCH(ROW(orderHistory[customer]),ROW(orderHistory[customer])),""),ROWS($A$15:A54)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50</v>
      </c>
      <c r="Q49" s="386">
        <f t="array" ref="Q49">IFERROR(IF($D$9="",IF($D$11="",IF($D$13="",IF($D$15="",INDEX(orderHistory[invoice_date],SMALL(MATCH(ROW(orderHistory[customer]),ROW(orderHistory[customer])),ROWS($A$15:A54)+$B$3)),INDEX(orderHistory[invoice_date],SMALL(IF(ISNUMBER(MATCH(YEAR(orderHistory[invoice_date]),$D$15,0)),MATCH(ROW(orderHistory[customer]),ROW(orderHistory[customer])),""),ROWS($A$15:A54)+$B$3))),IF($D$15="",INDEX(orderHistory[invoice_date],SMALL(IF(ISNUMBER(MATCH(orderHistory[order_type],$D$13,0)),MATCH(ROW(orderHistory[customer]),ROW(orderHistory[customer])),""),ROWS($A$15:A54)+$B$3)),INDEX(orderHistory[invoice_date],SMALL(IF(ISNUMBER(MATCH(orderHistory[order_type],$D$13,0)*MATCH(YEAR(orderHistory[invoice_date]),$D$15,0)),MATCH(ROW(orderHistory[customer]),ROW(orderHistory[customer])),""),ROWS($A$15:A54)+$B$3)))),IF($D$13="",IF($D$15="",INDEX(orderHistory[invoice_date],SMALL(IF(ISNUMBER(MATCH(orderHistory[status],$D$11,0)),MATCH(ROW(orderHistory[customer]),ROW(orderHistory[customer])),""),ROWS($A$15:A54)+$B$3)),INDEX(orderHistory[invoice_date],SMALL(IF(ISNUMBER(MATCH(orderHistory[status],$D$11,0)*MATCH(YEAR(orderHistory[invoice_date]),$D$15,0)),MATCH(ROW(orderHistory[customer]),ROW(orderHistory[customer])),""),ROWS($A$15:A54)+$B$3))),IF($D$15="",INDEX(orderHistory[invoice_date],SMALL(IF(ISNUMBER(MATCH(orderHistory[status],$D$11,0)*MATCH(orderHistory[order_type],$D$13,0)),MATCH(ROW(orderHistory[customer]),ROW(orderHistory[customer])),""),ROWS($A$15:A54)+$B$3)),INDEX(orderHistory[invoice_date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invoice_date],SMALL(IF(ISNUMBER(MATCH(orderHistory[customer],$D$9,0)),MATCH(ROW(orderHistory[customer]),ROW(orderHistory[customer])),""),ROWS($A$15:A54)+$B$3)),INDEX(orderHistory[invoice_date],SMALL(IF(ISNUMBER(MATCH(orderHistory[customer],$D$9,0)*MATCH(YEAR(orderHistory[invoice_date]),$D$15,0)),MATCH(ROW(orderHistory[customer]),ROW(orderHistory[customer])),""),ROWS($A$15:A54)+$B$3))),IF($D$15="",INDEX(orderHistory[invoice_date],SMALL(IF(ISNUMBER(MATCH(orderHistory[customer],$D$9,0)*MATCH(orderHistory[order_type],$D$13,0)),MATCH(ROW(orderHistory[customer]),ROW(orderHistory[customer])),""),ROWS($A$15:A54)+$B$3)),INDEX(orderHistory[invoice_date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invoice_date],SMALL(IF(ISNUMBER(MATCH(orderHistory[customer],$D$9,0)*MATCH(orderHistory[status],$D$11,0)),MATCH(ROW(orderHistory[customer]),ROW(orderHistory[customer])),""),ROWS($A$15:A54)+$B$3)),INDEX(orderHistory[invoice_date],SMALL(IF(ISNUMBER(MATCH(orderHistory[customer],$D$9,0)*MATCH(orderHistory[status],$D$11,0)*MATCH(YEAR(orderHistory[invoice_date]),$D$15,0)),MATCH(ROW(orderHistory[customer]),ROW(orderHistory[customer])),""),ROWS($A$15:A54)+$B$3))),IF($D$15="",INDEX(orderHistory[invoice_date],SMALL(IF(ISNUMBER(MATCH(orderHistory[customer],$D$9,0)*MATCH(orderHistory[status],$D$11,0)*MATCH(orderHistory[order_type],$D$13,0)),MATCH(ROW(orderHistory[customer]),ROW(orderHistory[customer])),""),ROWS($A$15:A54)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45344</v>
      </c>
      <c r="R49" s="387">
        <f t="array" ref="R49">IFERROR(IF($D$9="",IF($D$11="",IF($D$13="",IF($D$15="",INDEX(orderHistory[inv_amount],SMALL(MATCH(ROW(orderHistory[customer]),ROW(orderHistory[customer])),ROWS($A$15:A54)+$B$3)),INDEX(orderHistory[inv_amount],SMALL(IF(ISNUMBER(MATCH(YEAR(orderHistory[invoice_date]),$D$15,0)),MATCH(ROW(orderHistory[customer]),ROW(orderHistory[customer])),""),ROWS($A$15:A54)+$B$3))),IF($D$15="",INDEX(orderHistory[inv_amount],SMALL(IF(ISNUMBER(MATCH(orderHistory[order_type],$D$13,0)),MATCH(ROW(orderHistory[customer]),ROW(orderHistory[customer])),""),ROWS($A$15:A54)+$B$3)),INDEX(orderHistory[inv_amount],SMALL(IF(ISNUMBER(MATCH(orderHistory[order_type],$D$13,0)*MATCH(YEAR(orderHistory[invoice_date]),$D$15,0)),MATCH(ROW(orderHistory[customer]),ROW(orderHistory[customer])),""),ROWS($A$15:A54)+$B$3)))),IF($D$13="",IF($D$15="",INDEX(orderHistory[inv_amount],SMALL(IF(ISNUMBER(MATCH(orderHistory[status],$D$11,0)),MATCH(ROW(orderHistory[customer]),ROW(orderHistory[customer])),""),ROWS($A$15:A54)+$B$3)),INDEX(orderHistory[inv_amount],SMALL(IF(ISNUMBER(MATCH(orderHistory[status],$D$11,0)*MATCH(YEAR(orderHistory[invoice_date]),$D$15,0)),MATCH(ROW(orderHistory[customer]),ROW(orderHistory[customer])),""),ROWS($A$15:A54)+$B$3))),IF($D$15="",INDEX(orderHistory[inv_amount],SMALL(IF(ISNUMBER(MATCH(orderHistory[status],$D$11,0)*MATCH(orderHistory[order_type],$D$13,0)),MATCH(ROW(orderHistory[customer]),ROW(orderHistory[customer])),""),ROWS($A$15:A54)+$B$3)),INDEX(orderHistory[inv_amount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inv_amount],SMALL(IF(ISNUMBER(MATCH(orderHistory[customer],$D$9,0)),MATCH(ROW(orderHistory[customer]),ROW(orderHistory[customer])),""),ROWS($A$15:A54)+$B$3)),INDEX(orderHistory[inv_amount],SMALL(IF(ISNUMBER(MATCH(orderHistory[customer],$D$9,0)*MATCH(YEAR(orderHistory[invoice_date]),$D$15,0)),MATCH(ROW(orderHistory[customer]),ROW(orderHistory[customer])),""),ROWS($A$15:A54)+$B$3))),IF($D$15="",INDEX(orderHistory[inv_amount],SMALL(IF(ISNUMBER(MATCH(orderHistory[customer],$D$9,0)*MATCH(orderHistory[order_type],$D$13,0)),MATCH(ROW(orderHistory[customer]),ROW(orderHistory[customer])),""),ROWS($A$15:A54)+$B$3)),INDEX(orderHistory[inv_amount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inv_amount],SMALL(IF(ISNUMBER(MATCH(orderHistory[customer],$D$9,0)*MATCH(orderHistory[status],$D$11,0)),MATCH(ROW(orderHistory[customer]),ROW(orderHistory[customer])),""),ROWS($A$15:A54)+$B$3)),INDEX(orderHistory[inv_amount],SMALL(IF(ISNUMBER(MATCH(orderHistory[customer],$D$9,0)*MATCH(orderHistory[status],$D$11,0)*MATCH(YEAR(orderHistory[inv_amount]),$D$15,0)),MATCH(ROW(orderHistory[customer]),ROW(orderHistory[customer])),""),ROWS($A$15:A54)+$B$3))),IF($D$15="",INDEX(orderHistory[inv_amount],SMALL(IF(ISNUMBER(MATCH(orderHistory[customer],$D$9,0)*MATCH(orderHistory[status],$D$11,0)*MATCH(orderHistory[order_type],$D$13,0)),MATCH(ROW(orderHistory[customer]),ROW(orderHistory[customer])),""),ROWS($A$15:A54)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3495.96</v>
      </c>
      <c r="S49" s="465" t="str">
        <f t="array" ref="S49">IFERROR(IF($D$9="",IF($D$11="",IF($D$13="",IF($D$15="",INDEX(orderHistory[lock_goods],SMALL(MATCH(ROW(orderHistory[customer]),ROW(orderHistory[customer])),ROWS($A$15:A54)+$B$3)),INDEX(orderHistory[lock_goods],SMALL(IF(ISNUMBER(MATCH(YEAR(orderHistory[invoice_date]),$D$15,0)),MATCH(ROW(orderHistory[customer]),ROW(orderHistory[customer])),""),ROWS($A$15:A54)+$B$3))),IF($D$15="",INDEX(orderHistory[lock_goods],SMALL(IF(ISNUMBER(MATCH(orderHistory[order_type],$D$13,0)),MATCH(ROW(orderHistory[customer]),ROW(orderHistory[customer])),""),ROWS($A$15:A54)+$B$3)),INDEX(orderHistory[lock_goods],SMALL(IF(ISNUMBER(MATCH(orderHistory[order_type],$D$13,0)*MATCH(YEAR(orderHistory[invoice_date]),$D$15,0)),MATCH(ROW(orderHistory[customer]),ROW(orderHistory[customer])),""),ROWS($A$15:A54)+$B$3)))),IF($D$13="",IF($D$15="",INDEX(orderHistory[lock_goods],SMALL(IF(ISNUMBER(MATCH(orderHistory[status],$D$11,0)),MATCH(ROW(orderHistory[customer]),ROW(orderHistory[customer])),""),ROWS($A$15:A54)+$B$3)),INDEX(orderHistory[lock_goods],SMALL(IF(ISNUMBER(MATCH(orderHistory[status],$D$11,0)*MATCH(YEAR(orderHistory[invoice_date]),$D$15,0)),MATCH(ROW(orderHistory[customer]),ROW(orderHistory[customer])),""),ROWS($A$15:A54)+$B$3))),IF($D$15="",INDEX(orderHistory[lock_goods],SMALL(IF(ISNUMBER(MATCH(orderHistory[status],$D$11,0)*MATCH(orderHistory[order_type],$D$13,0)),MATCH(ROW(orderHistory[customer]),ROW(orderHistory[customer])),""),ROWS($A$15:A54)+$B$3)),INDEX(orderHistory[lock_goods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lock_goods],SMALL(IF(ISNUMBER(MATCH(orderHistory[customer],$D$9,0)),MATCH(ROW(orderHistory[customer]),ROW(orderHistory[customer])),""),ROWS($A$15:A54)+$B$3)),INDEX(orderHistory[lock_goods],SMALL(IF(ISNUMBER(MATCH(orderHistory[customer],$D$9,0)*MATCH(YEAR(orderHistory[invoice_date]),$D$15,0)),MATCH(ROW(orderHistory[customer]),ROW(orderHistory[customer])),""),ROWS($A$15:A54)+$B$3))),IF($D$15="",INDEX(orderHistory[lock_goods],SMALL(IF(ISNUMBER(MATCH(orderHistory[customer],$D$9,0)*MATCH(orderHistory[order_type],$D$13,0)),MATCH(ROW(orderHistory[customer]),ROW(orderHistory[customer])),""),ROWS($A$15:A54)+$B$3)),INDEX(orderHistory[lock_goods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lock_goods],SMALL(IF(ISNUMBER(MATCH(orderHistory[customer],$D$9,0)*MATCH(orderHistory[status],$D$11,0)),MATCH(ROW(orderHistory[customer]),ROW(orderHistory[customer])),""),ROWS($A$15:A54)+$B$3)),INDEX(orderHistory[lock_goods],SMALL(IF(ISNUMBER(MATCH(orderHistory[customer],$D$9,0)*MATCH(orderHistory[status],$D$11,0)*MATCH(YEAR(orderHistory[payed]),$D$15,0)),MATCH(ROW(orderHistory[customer]),ROW(orderHistory[customer])),""),ROWS($A$15:A54)+$B$3))),IF($D$15="",INDEX(orderHistory[lock_goods],SMALL(IF(ISNUMBER(MATCH(orderHistory[customer],$D$9,0)*MATCH(orderHistory[status],$D$11,0)*MATCH(orderHistory[order_type],$D$13,0)),MATCH(ROW(orderHistory[customer]),ROW(orderHistory[customer])),""),ROWS($A$15:A54)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GOODS SENT</v>
      </c>
      <c r="T49" s="388" t="b">
        <f t="array" ref="T49">IFERROR(IF($D$9="",IF($D$11="",IF($D$13="",IF($D$15="",INDEX(orderHistory[payed],SMALL(MATCH(ROW(orderHistory[customer]),ROW(orderHistory[customer])),ROWS($A$15:A54)+$B$3)),INDEX(orderHistory[payed],SMALL(IF(ISNUMBER(MATCH(YEAR(orderHistory[invoice_date]),$D$15,0)),MATCH(ROW(orderHistory[customer]),ROW(orderHistory[customer])),""),ROWS($A$15:A54)+$B$3))),IF($D$15="",INDEX(orderHistory[payed],SMALL(IF(ISNUMBER(MATCH(orderHistory[order_type],$D$13,0)),MATCH(ROW(orderHistory[customer]),ROW(orderHistory[customer])),""),ROWS($A$15:A54)+$B$3)),INDEX(orderHistory[payed],SMALL(IF(ISNUMBER(MATCH(orderHistory[order_type],$D$13,0)*MATCH(YEAR(orderHistory[invoice_date]),$D$15,0)),MATCH(ROW(orderHistory[customer]),ROW(orderHistory[customer])),""),ROWS($A$15:A54)+$B$3)))),IF($D$13="",IF($D$15="",INDEX(orderHistory[payed],SMALL(IF(ISNUMBER(MATCH(orderHistory[status],$D$11,0)),MATCH(ROW(orderHistory[customer]),ROW(orderHistory[customer])),""),ROWS($A$15:A54)+$B$3)),INDEX(orderHistory[payed],SMALL(IF(ISNUMBER(MATCH(orderHistory[status],$D$11,0)*MATCH(YEAR(orderHistory[invoice_date]),$D$15,0)),MATCH(ROW(orderHistory[customer]),ROW(orderHistory[customer])),""),ROWS($A$15:A54)+$B$3))),IF($D$15="",INDEX(orderHistory[payed],SMALL(IF(ISNUMBER(MATCH(orderHistory[status],$D$11,0)*MATCH(orderHistory[order_type],$D$13,0)),MATCH(ROW(orderHistory[customer]),ROW(orderHistory[customer])),""),ROWS($A$15:A54)+$B$3)),INDEX(orderHistory[payed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payed],SMALL(IF(ISNUMBER(MATCH(orderHistory[customer],$D$9,0)),MATCH(ROW(orderHistory[customer]),ROW(orderHistory[customer])),""),ROWS($A$15:A54)+$B$3)),INDEX(orderHistory[payed],SMALL(IF(ISNUMBER(MATCH(orderHistory[customer],$D$9,0)*MATCH(YEAR(orderHistory[invoice_date]),$D$15,0)),MATCH(ROW(orderHistory[customer]),ROW(orderHistory[customer])),""),ROWS($A$15:A54)+$B$3))),IF($D$15="",INDEX(orderHistory[payed],SMALL(IF(ISNUMBER(MATCH(orderHistory[customer],$D$9,0)*MATCH(orderHistory[order_type],$D$13,0)),MATCH(ROW(orderHistory[customer]),ROW(orderHistory[customer])),""),ROWS($A$15:A54)+$B$3)),INDEX(orderHistory[payed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payed],SMALL(IF(ISNUMBER(MATCH(orderHistory[customer],$D$9,0)*MATCH(orderHistory[status],$D$11,0)),MATCH(ROW(orderHistory[customer]),ROW(orderHistory[customer])),""),ROWS($A$15:A54)+$B$3)),INDEX(orderHistory[payed],SMALL(IF(ISNUMBER(MATCH(orderHistory[customer],$D$9,0)*MATCH(orderHistory[status],$D$11,0)*MATCH(YEAR(orderHistory[payed]),$D$15,0)),MATCH(ROW(orderHistory[customer]),ROW(orderHistory[customer])),""),ROWS($A$15:A54)+$B$3))),IF($D$15="",INDEX(orderHistory[payed],SMALL(IF(ISNUMBER(MATCH(orderHistory[customer],$D$9,0)*MATCH(orderHistory[status],$D$11,0)*MATCH(orderHistory[order_type],$D$13,0)),MATCH(ROW(orderHistory[customer]),ROW(orderHistory[customer])),""),ROWS($A$15:A54)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1</v>
      </c>
      <c r="U49" s="383" t="str">
        <f t="array" ref="U49">IFERROR(IF($D$9="",IF($D$11="",IF($D$13="",IF($D$15="",INDEX(orderHistory[shipping_method],SMALL(MATCH(ROW(orderHistory[customer]),ROW(orderHistory[customer])),ROWS($A$15:A54)+$B$3)),INDEX(orderHistory[shipping_method],SMALL(IF(ISNUMBER(MATCH(YEAR(orderHistory[invoice_date]),$D$15,0)),MATCH(ROW(orderHistory[customer]),ROW(orderHistory[customer])),""),ROWS($A$15:A54)+$B$3))),IF($D$15="",INDEX(orderHistory[shipping_method],SMALL(IF(ISNUMBER(MATCH(orderHistory[order_type],$D$13,0)),MATCH(ROW(orderHistory[customer]),ROW(orderHistory[customer])),""),ROWS($A$15:A54)+$B$3)),INDEX(orderHistory[shipping_method],SMALL(IF(ISNUMBER(MATCH(orderHistory[order_type],$D$13,0)*MATCH(YEAR(orderHistory[invoice_date]),$D$15,0)),MATCH(ROW(orderHistory[customer]),ROW(orderHistory[customer])),""),ROWS($A$15:A54)+$B$3)))),IF($D$13="",IF($D$15="",INDEX(orderHistory[shipping_method],SMALL(IF(ISNUMBER(MATCH(orderHistory[status],$D$11,0)),MATCH(ROW(orderHistory[customer]),ROW(orderHistory[customer])),""),ROWS($A$15:A54)+$B$3)),INDEX(orderHistory[shipping_method],SMALL(IF(ISNUMBER(MATCH(orderHistory[status],$D$11,0)*MATCH(YEAR(orderHistory[invoice_date]),$D$15,0)),MATCH(ROW(orderHistory[customer]),ROW(orderHistory[customer])),""),ROWS($A$15:A54)+$B$3))),IF($D$15="",INDEX(orderHistory[shipping_method],SMALL(IF(ISNUMBER(MATCH(orderHistory[status],$D$11,0)*MATCH(orderHistory[order_type],$D$13,0)),MATCH(ROW(orderHistory[customer]),ROW(orderHistory[customer])),""),ROWS($A$15:A54)+$B$3)),INDEX(orderHistory[shipping_method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shipping_method],SMALL(IF(ISNUMBER(MATCH(orderHistory[customer],$D$9,0)),MATCH(ROW(orderHistory[customer]),ROW(orderHistory[customer])),""),ROWS($A$15:A54)+$B$3)),INDEX(orderHistory[shipping_method],SMALL(IF(ISNUMBER(MATCH(orderHistory[customer],$D$9,0)*MATCH(YEAR(orderHistory[invoice_date]),$D$15,0)),MATCH(ROW(orderHistory[customer]),ROW(orderHistory[customer])),""),ROWS($A$15:A54)+$B$3))),IF($D$15="",INDEX(orderHistory[shipping_method],SMALL(IF(ISNUMBER(MATCH(orderHistory[customer],$D$9,0)*MATCH(orderHistory[order_type],$D$13,0)),MATCH(ROW(orderHistory[customer]),ROW(orderHistory[customer])),""),ROWS($A$15:A54)+$B$3)),INDEX(orderHistory[shipping_method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shipping_method],SMALL(IF(ISNUMBER(MATCH(orderHistory[customer],$D$9,0)*MATCH(orderHistory[status],$D$11,0)),MATCH(ROW(orderHistory[customer]),ROW(orderHistory[customer])),""),ROWS($A$15:A54)+$B$3)),INDEX(orderHistory[shipping_method],SMALL(IF(ISNUMBER(MATCH(orderHistory[customer],$D$9,0)*MATCH(orderHistory[status],$D$11,0)*MATCH(YEAR(orderHistory[shipping_method]),$D$15,0)),MATCH(ROW(orderHistory[customer]),ROW(orderHistory[customer])),""),ROWS($A$15:A54)+$B$3))),IF($D$15="",INDEX(orderHistory[shipping_method],SMALL(IF(ISNUMBER(MATCH(orderHistory[customer],$D$9,0)*MATCH(orderHistory[status],$D$11,0)*MATCH(orderHistory[order_type],$D$13,0)),MATCH(ROW(orderHistory[customer]),ROW(orderHistory[customer])),""),ROWS($A$15:A54)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BY ROAD</v>
      </c>
      <c r="V49" s="388" t="str">
        <f t="array" ref="V49">IFERROR(IF($D$9="",IF($D$11="",IF($D$13="",IF($D$15="",INDEX(orderHistory[status],SMALL(MATCH(ROW(orderHistory[customer]),ROW(orderHistory[customer])),ROWS($A$15:A54)+$B$3)),INDEX(orderHistory[status],SMALL(IF(ISNUMBER(MATCH(YEAR(orderHistory[invoice_date]),$D$15,0)),MATCH(ROW(orderHistory[customer]),ROW(orderHistory[customer])),""),ROWS($A$15:A54)+$B$3))),IF($D$15="",INDEX(orderHistory[status],SMALL(IF(ISNUMBER(MATCH(orderHistory[order_type],$D$13,0)),MATCH(ROW(orderHistory[customer]),ROW(orderHistory[customer])),""),ROWS($A$15:A54)+$B$3)),INDEX(orderHistory[status],SMALL(IF(ISNUMBER(MATCH(orderHistory[order_type],$D$13,0)*MATCH(YEAR(orderHistory[invoice_date]),$D$15,0)),MATCH(ROW(orderHistory[customer]),ROW(orderHistory[customer])),""),ROWS($A$15:A54)+$B$3)))),IF($D$13="",IF($D$15="",INDEX(orderHistory[status],SMALL(IF(ISNUMBER(MATCH(orderHistory[status],$D$11,0)),MATCH(ROW(orderHistory[customer]),ROW(orderHistory[customer])),""),ROWS($A$15:A54)+$B$3)),INDEX(orderHistory[status],SMALL(IF(ISNUMBER(MATCH(orderHistory[status],$D$11,0)*MATCH(YEAR(orderHistory[invoice_date]),$D$15,0)),MATCH(ROW(orderHistory[customer]),ROW(orderHistory[customer])),""),ROWS($A$15:A54)+$B$3))),IF($D$15="",INDEX(orderHistory[status],SMALL(IF(ISNUMBER(MATCH(orderHistory[status],$D$11,0)*MATCH(orderHistory[order_type],$D$13,0)),MATCH(ROW(orderHistory[customer]),ROW(orderHistory[customer])),""),ROWS($A$15:A54)+$B$3)),INDEX(orderHistory[status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status],SMALL(IF(ISNUMBER(MATCH(orderHistory[customer],$D$9,0)),MATCH(ROW(orderHistory[customer]),ROW(orderHistory[customer])),""),ROWS($A$15:A54)+$B$3)),INDEX(orderHistory[status],SMALL(IF(ISNUMBER(MATCH(orderHistory[customer],$D$9,0)*MATCH(YEAR(orderHistory[invoice_date]),$D$15,0)),MATCH(ROW(orderHistory[customer]),ROW(orderHistory[customer])),""),ROWS($A$15:A54)+$B$3))),IF($D$15="",INDEX(orderHistory[status],SMALL(IF(ISNUMBER(MATCH(orderHistory[customer],$D$9,0)*MATCH(orderHistory[order_type],$D$13,0)),MATCH(ROW(orderHistory[customer]),ROW(orderHistory[customer])),""),ROWS($A$15:A54)+$B$3)),INDEX(orderHistory[status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status],SMALL(IF(ISNUMBER(MATCH(orderHistory[customer],$D$9,0)*MATCH(orderHistory[status],$D$11,0)),MATCH(ROW(orderHistory[customer]),ROW(orderHistory[customer])),""),ROWS($A$15:A54)+$B$3)),INDEX(orderHistory[status],SMALL(IF(ISNUMBER(MATCH(orderHistory[customer],$D$9,0)*MATCH(orderHistory[status],$D$11,0)*MATCH(YEAR(orderHistory[status]),$D$15,0)),MATCH(ROW(orderHistory[customer]),ROW(orderHistory[customer])),""),ROWS($A$15:A54)+$B$3))),IF($D$15="",INDEX(orderHistory[status],SMALL(IF(ISNUMBER(MATCH(orderHistory[customer],$D$9,0)*MATCH(orderHistory[status],$D$11,0)*MATCH(orderHistory[order_type],$D$13,0)),MATCH(ROW(orderHistory[customer]),ROW(orderHistory[customer])),""),ROWS($A$15:A54)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SHIPPED</v>
      </c>
      <c r="W49" s="547" t="str">
        <f t="array" ref="W49">IFERROR(IF($D$9="",IF($D$11="",IF($D$13="",IF($D$15="",INDEX(orderHistory[custom_docs],SMALL(MATCH(ROW(orderHistory[customer]),ROW(orderHistory[customer])),ROWS($A$15:A54)+$B$3)),INDEX(orderHistory[custom_docs],SMALL(IF(ISNUMBER(MATCH(YEAR(orderHistory[invoice_date]),$D$15,0)),MATCH(ROW(orderHistory[customer]),ROW(orderHistory[customer])),""),ROWS($A$15:A54)+$B$3))),IF($D$15="",INDEX(orderHistory[custom_docs],SMALL(IF(ISNUMBER(MATCH(orderHistory[order_type],$D$13,0)),MATCH(ROW(orderHistory[customer]),ROW(orderHistory[customer])),""),ROWS($A$15:A54)+$B$3)),INDEX(orderHistory[custom_docs],SMALL(IF(ISNUMBER(MATCH(orderHistory[order_type],$D$13,0)*MATCH(YEAR(orderHistory[invoice_date]),$D$15,0)),MATCH(ROW(orderHistory[customer]),ROW(orderHistory[customer])),""),ROWS($A$15:A54)+$B$3)))),IF($D$13="",IF($D$15="",INDEX(orderHistory[custom_docs],SMALL(IF(ISNUMBER(MATCH(orderHistory[status],$D$11,0)),MATCH(ROW(orderHistory[customer]),ROW(orderHistory[customer])),""),ROWS($A$15:A54)+$B$3)),INDEX(orderHistory[custom_docs],SMALL(IF(ISNUMBER(MATCH(orderHistory[status],$D$11,0)*MATCH(YEAR(orderHistory[invoice_date]),$D$15,0)),MATCH(ROW(orderHistory[customer]),ROW(orderHistory[customer])),""),ROWS($A$15:A54)+$B$3))),IF($D$15="",INDEX(orderHistory[custom_docs],SMALL(IF(ISNUMBER(MATCH(orderHistory[status],$D$11,0)*MATCH(orderHistory[order_type],$D$13,0)),MATCH(ROW(orderHistory[customer]),ROW(orderHistory[customer])),""),ROWS($A$15:A54)+$B$3)),INDEX(orderHistory[custom_docs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custom_docs],SMALL(IF(ISNUMBER(MATCH(orderHistory[customer],$D$9,0)),MATCH(ROW(orderHistory[customer]),ROW(orderHistory[customer])),""),ROWS($A$15:A54)+$B$3)),INDEX(orderHistory[custom_docs],SMALL(IF(ISNUMBER(MATCH(orderHistory[customer],$D$9,0)*MATCH(YEAR(orderHistory[invoice_date]),$D$15,0)),MATCH(ROW(orderHistory[customer]),ROW(orderHistory[customer])),""),ROWS($A$15:A54)+$B$3))),IF($D$15="",INDEX(orderHistory[custom_docs],SMALL(IF(ISNUMBER(MATCH(orderHistory[customer],$D$9,0)*MATCH(orderHistory[order_type],$D$13,0)),MATCH(ROW(orderHistory[customer]),ROW(orderHistory[customer])),""),ROWS($A$15:A54)+$B$3)),INDEX(orderHistory[custom_docs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custom_docs],SMALL(IF(ISNUMBER(MATCH(orderHistory[customer],$D$9,0)*MATCH(orderHistory[status],$D$11,0)),MATCH(ROW(orderHistory[customer]),ROW(orderHistory[customer])),""),ROWS($A$15:A54)+$B$3)),INDEX(orderHistory[custom_docs],SMALL(IF(ISNUMBER(MATCH(orderHistory[customer],$D$9,0)*MATCH(orderHistory[status],$D$11,0)*MATCH(YEAR(orderHistory[status]),$D$15,0)),MATCH(ROW(orderHistory[customer]),ROW(orderHistory[customer])),""),ROWS($A$15:A54)+$B$3))),IF($D$15="",INDEX(orderHistory[custom_docs],SMALL(IF(ISNUMBER(MATCH(orderHistory[customer],$D$9,0)*MATCH(orderHistory[status],$D$11,0)*MATCH(orderHistory[order_type],$D$13,0)),MATCH(ROW(orderHistory[customer]),ROW(orderHistory[customer])),""),ROWS($A$15:A54)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OK</v>
      </c>
      <c r="BG49" s="215"/>
      <c r="BK49" s="296"/>
      <c r="BL49" s="297"/>
      <c r="BM49" s="298"/>
      <c r="BN49" s="297"/>
      <c r="BO49" s="298"/>
      <c r="BZ49" s="412"/>
      <c r="CA49" s="401" t="str">
        <f>IFERROR(IF(BZ49="","",INDEX(bhpc_data[description],MATCH(BZ49,bhpc_data[sku],0))),"")</f>
        <v/>
      </c>
      <c r="CB49" s="403"/>
      <c r="CC49" s="885"/>
      <c r="CD49" s="411"/>
      <c r="CE49" s="890"/>
      <c r="CF49" s="404"/>
      <c r="CG49" s="405" t="str">
        <f>IFERROR(ROUNDUP(CB49/INDEX(bhpc_data[units_per_carton],MATCH(BZ49,bhpc_data[sku],0)),0),"")</f>
        <v/>
      </c>
      <c r="CH49" s="406" t="str">
        <f>IFERROR(ROUNDUP(CD49/INDEX(bhpc_data[units_per_carton],MATCH(BZ49,bhpc_data[sku],0)),0),"")</f>
        <v/>
      </c>
      <c r="CI49" s="406" t="str">
        <f>IFERROR(ROUNDUP(CF49/INDEX(bhpc_data[units_per_carton],MATCH(BZ49,bhpc_data[sku])),0),"")</f>
        <v/>
      </c>
      <c r="CJ49" s="406" t="str">
        <f>IFERROR(((CB49+CD49+CF49)/INDEX(bhpc_data[units_per_carton],MATCH(BZ49,bhpc_data[sku],0)))*INDEX(bhpc_data[net_weight],MATCH(BZ49,bhpc_data[sku],0)),"")</f>
        <v/>
      </c>
      <c r="CK49" s="406" t="str">
        <f>IFERROR(((CB49+CD49+CF49)/INDEX(bhpc_data[units_per_carton],MATCH(BZ49,bhpc_data[sku],0)))*INDEX(bhpc_data[gross_weight],MATCH(BZ49,bhpc_data[sku],0)),"")</f>
        <v/>
      </c>
      <c r="CL49" s="602" t="str">
        <f>IFERROR((CB49+CD49+CF49)/INDEX(bhpc_data[units_per_carton],MATCH(BZ49,bhpc_data[sku],0))*INDEX(bhpc_data[length],MATCH(BZ49,bhpc_data[sku],0))*INDEX(bhpc_data[width],MATCH(BZ49,bhpc_data[sku],0))*INDEX(bhpc_data[height],MATCH(BZ49,bhpc_data[sku],0))/1000000000,"")</f>
        <v/>
      </c>
      <c r="CM49" s="407" t="str">
        <f>IFERROR(INDEX(bhpc_data[category],MATCH(BZ49,bhpc_data[sku],0)),"")</f>
        <v/>
      </c>
      <c r="CN49" s="407" t="str">
        <f>IFERROR(INDEX(bhpc_data[size],MATCH(BZ49,bhpc_data[sku],0)),"")</f>
        <v/>
      </c>
      <c r="CO49" s="408" t="str">
        <f>IFERROR(INDEX(bhpc_data[hs_code],MATCH(BZ49,bhpc_data[sku],0)),"")</f>
        <v/>
      </c>
      <c r="CP49" s="489" t="str">
        <f>IFERROR(INDEX(bhpc_data[sku_geko],MATCH(BZ49,bhpc_data[sku],0)),"")</f>
        <v/>
      </c>
      <c r="CQ49" s="404"/>
      <c r="CR49" s="516" t="str">
        <f>IFERROR(IF(BZ49="","",IF($BX$15="SALE",INDEX(inventory[COSTO UNITARIO],MATCH(BZ49,inventory[SKU],0)),IF($BX$15="SAMPLING",INDEX(inventory[COSTO UNITARIO],MATCH(BZ49,inventory[SKU],0)),""))),"")</f>
        <v/>
      </c>
      <c r="CS49" s="516" t="str">
        <f t="shared" si="7"/>
        <v/>
      </c>
      <c r="CT49" s="896" t="str">
        <f t="shared" si="8"/>
        <v/>
      </c>
      <c r="CU49" s="469" t="str">
        <f t="shared" si="0"/>
        <v/>
      </c>
      <c r="CV49" s="280"/>
      <c r="CW49" s="280"/>
      <c r="CX49" s="280"/>
      <c r="CY49" s="280"/>
      <c r="CZ49" s="280"/>
      <c r="DA49" s="280"/>
      <c r="DB49" s="280" t="str">
        <f>IFERROR(VLOOKUP(BZ49,bhpc_data[],22,FALSE),"")</f>
        <v/>
      </c>
      <c r="EE49" s="439" t="str" cm="1">
        <f t="array" ref="EE49">IFERROR(IF($EC$9="",IF($EC$11="",IF($EC$13="",INDEX(bhpc_data[sku],SMALL(MATCH(ROW(bhpc_data[sku]),ROW(bhpc_data[sku])),ROWS($A$15:A54)+$B$3)),INDEX(bhpc_data[sku],SMALL(IF(ISNUMBER(MATCH(bhpc_data[size],$EC$13,0)),MATCH(ROW(bhpc_data[sku]),ROW(bhpc_data[sku])),""),ROWS($A$15:A54)+$B$3))),IF($EC$13="",INDEX(bhpc_data[sku],SMALL(IF(ISNUMBER(MATCH(bhpc_data[sex],$EC$11,0)),MATCH(ROW(bhpc_data[sku]),ROW(bhpc_data[sku])),""),ROWS($A$15:A54)+$B$3)),INDEX(bhpc_data[sku],SMALL(IF(ISNUMBER(MATCH(bhpc_data[sex],$EC$11,0)*MATCH(bhpc_data[size],$EC$13,0)),MATCH(ROW(bhpc_data[sku]),ROW(bhpc_data[sku])),""),ROWS($A$15:A54)+$B$3)))),IF($EC$11="",IF($EC$13="",INDEX(bhpc_data[sku],SMALL(IF(ISNUMBER(MATCH(bhpc_data[category],$EC$9,0)),MATCH(ROW(bhpc_data[sku]),ROW(bhpc_data[sku])),""),ROWS($A$15:A54)+$B$3)),INDEX(bhpc_data[sku],SMALL(IF(ISNUMBER(MATCH(bhpc_data[category],$EC$9,0)*MATCH(bhpc_data[size],$EC$13,0)),MATCH(ROW(bhpc_data[sku]),ROW(bhpc_data[sku])),""),ROWS($A$15:A54)+$B$3))),IF($EC$13="",INDEX(bhpc_data[sku],SMALL(IF(ISNUMBER(MATCH(bhpc_data[category],$EC$9,0)*MATCH(bhpc_data[sex],$EC$11,0)),MATCH(ROW(bhpc_data[sku]),ROW(bhpc_data[sku])),""),ROWS($A$15:A54)+$B$3)),INDEX(bhpc_data[sku],SMALL(IF(ISNUMBER(MATCH(bhpc_data[category],$EC$9,0)*MATCH(bhpc_data[sex],$EC$11,0)*MATCH(bhpc_data[size],$EC$13,0)),MATCH(ROW(bhpc_data[sku]),ROW(bhpc_data[sku])),""),ROWS($A$15:A54)+$B$3))))),"")</f>
        <v>P0GOLD</v>
      </c>
      <c r="EF49" s="440" t="str" cm="1">
        <f t="array" ref="EF49">IFERROR(IF($EC$9="",IF($EC$11="",IF($EC$13="",INDEX(bhpc_data[description],SMALL(MATCH(ROW(bhpc_data[sku]),ROW(bhpc_data[sku])),ROWS($A$15:A54)+$B$3)),INDEX(bhpc_data[description],SMALL(IF(ISNUMBER(MATCH(bhpc_data[size],$EC$13,0)),MATCH(ROW(bhpc_data[sku]),ROW(bhpc_data[sku])),""),ROWS($A$15:A54)+$B$3))),IF($EC$13="",INDEX(bhpc_data[description],SMALL(IF(ISNUMBER(MATCH(bhpc_data[sex],$EC$11,0)),MATCH(ROW(bhpc_data[sku]),ROW(bhpc_data[sku])),""),ROWS($A$15:A54)+$B$3)),INDEX(bhpc_data[description],SMALL(IF(ISNUMBER(MATCH(bhpc_data[sex],$EC$11,0)*MATCH(bhpc_data[size],$EC$13,0)),MATCH(ROW(bhpc_data[sku]),ROW(bhpc_data[sku])),""),ROWS($A$15:A54)+$B$3)))),IF($EC$11="",IF($EC$13="",INDEX(bhpc_data[description],SMALL(IF(ISNUMBER(MATCH(bhpc_data[category],$EC$9,0)),MATCH(ROW(bhpc_data[sku]),ROW(bhpc_data[sku])),""),ROWS($A$15:A54)+$B$3)),INDEX(bhpc_data[description],SMALL(IF(ISNUMBER(MATCH(bhpc_data[category],$EC$9,0)*MATCH(bhpc_data[size],$EC$13,0)),MATCH(ROW(bhpc_data[sku]),ROW(bhpc_data[sku])),""),ROWS($A$15:A54)+$B$3))),IF($EC$13="",INDEX(bhpc_data[description],SMALL(IF(ISNUMBER(MATCH(bhpc_data[category],$EC$9,0)*MATCH(bhpc_data[sex],$EC$11,0)),MATCH(ROW(bhpc_data[sku]),ROW(bhpc_data[sku])),""),ROWS($A$15:A54)+$B$3)),INDEX(bhpc_data[description],SMALL(IF(ISNUMBER(MATCH(bhpc_data[category],$EC$9,0)*MATCH(bhpc_data[sex],$EC$11,0)*MATCH(bhpc_data[size],$EC$13,0)),MATCH(ROW(bhpc_data[sku]),ROW(bhpc_data[sku])),""),ROWS($A$15:A54)+$B$3))))),"")</f>
        <v>BHPC SIGNATURE ED. GOLD 100ML EDP MEN</v>
      </c>
      <c r="EG49" s="441">
        <f>IFERROR(IF('BHPC MANAGER'!$EE49="","",INDEX(inventory[ESISTENZA],MATCH('BHPC MANAGER'!$EE49,inventory[SKU],0))),0)</f>
        <v>0</v>
      </c>
      <c r="EH49" s="442">
        <v>3</v>
      </c>
      <c r="EI49" s="442">
        <f t="shared" si="1"/>
        <v>3</v>
      </c>
      <c r="EJ49" s="443">
        <v>-2</v>
      </c>
      <c r="EK49" s="444">
        <f t="shared" si="2"/>
        <v>1</v>
      </c>
      <c r="EO49" s="215" t="str">
        <f t="array" ref="EO49">IFERROR(INDEX(orderHistory[order_no],SMALL(IF(ISNUMBER(MATCH(orderHistory[status],$EO$7,0)),MATCH(ROW(orderHistory[order_no]),ROW(orderHistory[order_no])),""),ROWS($A$15:A54))),"")</f>
        <v/>
      </c>
    </row>
    <row r="50" spans="10:145" ht="15" customHeight="1" x14ac:dyDescent="0.35">
      <c r="J50" s="264"/>
      <c r="K50" s="264"/>
      <c r="L50" s="381" t="str">
        <f t="array" ref="L50">IFERROR(IF($D$9="",IF($D$11="",IF($D$13="",IF($D$15="",INDEX(orderHistory[customer],SMALL(MATCH(ROW(orderHistory[customer]),ROW(orderHistory[customer])),ROWS($A$15:A55)+$B$3)),INDEX(orderHistory[customer],SMALL(IF(ISNUMBER(MATCH(YEAR(orderHistory[invoice_date]),$D$15,0)),MATCH(ROW(orderHistory[customer]),ROW(orderHistory[customer])),""),ROWS($A$15:A55)+$B$3))),IF($D$15="",INDEX(orderHistory[customer],SMALL(IF(ISNUMBER(MATCH(orderHistory[order_type],$D$13,0)),MATCH(ROW(orderHistory[customer]),ROW(orderHistory[customer])),""),ROWS($A$15:A55)+$B$3)),INDEX(orderHistory[customer],SMALL(IF(ISNUMBER(MATCH(orderHistory[order_type],$D$13,0)*MATCH(YEAR(orderHistory[invoice_date]),$D$15,0)),MATCH(ROW(orderHistory[customer]),ROW(orderHistory[customer])),""),ROWS($A$15:A55)+$B$3)))),IF($D$13="",IF($D$15="",INDEX(orderHistory[customer],SMALL(IF(ISNUMBER(MATCH(orderHistory[status],$D$11,0)),MATCH(ROW(orderHistory[customer]),ROW(orderHistory[customer])),""),ROWS($A$15:A55)+$B$3)),INDEX(orderHistory[customer],SMALL(IF(ISNUMBER(MATCH(orderHistory[status],$D$11,0)*MATCH(YEAR(orderHistory[invoice_date]),$D$15,0)),MATCH(ROW(orderHistory[customer]),ROW(orderHistory[customer])),""),ROWS($A$15:A55)+$B$3))),IF($D$15="",INDEX(orderHistory[customer],SMALL(IF(ISNUMBER(MATCH(orderHistory[status],$D$11,0)*MATCH(orderHistory[order_type],$D$13,0)),MATCH(ROW(orderHistory[customer]),ROW(orderHistory[customer])),""),ROWS($A$15:A55)+$B$3)),INDEX(orderHistory[customer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customer],SMALL(IF(ISNUMBER(MATCH(orderHistory[customer],$D$9,0)),MATCH(ROW(orderHistory[customer]),ROW(orderHistory[customer])),""),ROWS($A$15:A55)+$B$3)),INDEX(orderHistory[customer],SMALL(IF(ISNUMBER(MATCH(orderHistory[customer],$D$9,0)*MATCH(YEAR(orderHistory[invoice_date]),$D$15,0)),MATCH(ROW(orderHistory[customer]),ROW(orderHistory[customer])),""),ROWS($A$15:A55)+$B$3))),IF($D$15="",INDEX(orderHistory[customer],SMALL(IF(ISNUMBER(MATCH(orderHistory[customer],$D$9,0)*MATCH(orderHistory[order_type],$D$13,0)),MATCH(ROW(orderHistory[customer]),ROW(orderHistory[customer])),""),ROWS($A$15:A55)+$B$3)),INDEX(orderHistory[customer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customer],SMALL(IF(ISNUMBER(MATCH(orderHistory[customer],$D$9,0)*MATCH(orderHistory[status],$D$11,0)),MATCH(ROW(orderHistory[customer]),ROW(orderHistory[customer])),""),ROWS($A$15:A55)+$B$3)),INDEX(orderHistory[customer],SMALL(IF(ISNUMBER(MATCH(orderHistory[customer],$D$9,0)*MATCH(orderHistory[status],$D$11,0)*MATCH(YEAR(orderHistory[invoice_date]),$D$15,0)),MATCH(ROW(orderHistory[customer]),ROW(orderHistory[customer])),""),ROWS($A$15:A55)+$B$3))),IF($D$15="",INDEX(orderHistory[customer],SMALL(IF(ISNUMBER(MATCH(orderHistory[customer],$D$9,0)*MATCH(orderHistory[status],$D$11,0)*MATCH(orderHistory[order_type],$D$13,0)),MATCH(ROW(orderHistory[customer]),ROW(orderHistory[customer])),""),ROWS($A$15:A55)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LUXUM BEAUTY - HAMBURG</v>
      </c>
      <c r="M50" s="382">
        <f t="array" ref="M50">IFERROR(IF($D$9="",IF($D$11="",IF($D$13="",IF($D$15="",INDEX(orderHistory[order_no],SMALL(MATCH(ROW(orderHistory[customer]),ROW(orderHistory[customer])),ROWS($A$15:A55)+$B$3)),INDEX(orderHistory[order_no],SMALL(IF(ISNUMBER(MATCH(YEAR(orderHistory[invoice_date]),$D$15,0)),MATCH(ROW(orderHistory[customer]),ROW(orderHistory[customer])),""),ROWS($A$15:A55)+$B$3))),IF($D$15="",INDEX(orderHistory[order_no],SMALL(IF(ISNUMBER(MATCH(orderHistory[order_type],$D$13,0)),MATCH(ROW(orderHistory[customer]),ROW(orderHistory[customer])),""),ROWS($A$15:A55)+$B$3)),INDEX(orderHistory[order_no],SMALL(IF(ISNUMBER(MATCH(orderHistory[order_type],$D$13,0)*MATCH(YEAR(orderHistory[invoice_date]),$D$15,0)),MATCH(ROW(orderHistory[customer]),ROW(orderHistory[customer])),""),ROWS($A$15:A55)+$B$3)))),IF($D$13="",IF($D$15="",INDEX(orderHistory[order_no],SMALL(IF(ISNUMBER(MATCH(orderHistory[status],$D$11,0)),MATCH(ROW(orderHistory[customer]),ROW(orderHistory[customer])),""),ROWS($A$15:A55)+$B$3)),INDEX(orderHistory[order_no],SMALL(IF(ISNUMBER(MATCH(orderHistory[status],$D$11,0)*MATCH(YEAR(orderHistory[invoice_date]),$D$15,0)),MATCH(ROW(orderHistory[customer]),ROW(orderHistory[customer])),""),ROWS($A$15:A55)+$B$3))),IF($D$15="",INDEX(orderHistory[order_no],SMALL(IF(ISNUMBER(MATCH(orderHistory[status],$D$11,0)*MATCH(orderHistory[order_type],$D$13,0)),MATCH(ROW(orderHistory[customer]),ROW(orderHistory[customer])),""),ROWS($A$15:A55)+$B$3)),INDEX(orderHistory[order_no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order_no],SMALL(IF(ISNUMBER(MATCH(orderHistory[customer],$D$9,0)),MATCH(ROW(orderHistory[customer]),ROW(orderHistory[customer])),""),ROWS($A$15:A55)+$B$3)),INDEX(orderHistory[order_no],SMALL(IF(ISNUMBER(MATCH(orderHistory[customer],$D$9,0)*MATCH(YEAR(orderHistory[invoice_date]),$D$15,0)),MATCH(ROW(orderHistory[customer]),ROW(orderHistory[customer])),""),ROWS($A$15:A55)+$B$3))),IF($D$15="",INDEX(orderHistory[order_no],SMALL(IF(ISNUMBER(MATCH(orderHistory[customer],$D$9,0)*MATCH(orderHistory[order_type],$D$13,0)),MATCH(ROW(orderHistory[customer]),ROW(orderHistory[customer])),""),ROWS($A$15:A55)+$B$3)),INDEX(orderHistory[order_no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order_no],SMALL(IF(ISNUMBER(MATCH(orderHistory[customer],$D$9,0)*MATCH(orderHistory[status],$D$11,0)),MATCH(ROW(orderHistory[customer]),ROW(orderHistory[customer])),""),ROWS($A$15:A55)+$B$3)),INDEX(orderHistory[order_no],SMALL(IF(ISNUMBER(MATCH(orderHistory[customer],$D$9,0)*MATCH(orderHistory[status],$D$11,0)*MATCH(YEAR(orderHistory[invoice_date]),$D$15,0)),MATCH(ROW(orderHistory[customer]),ROW(orderHistory[customer])),""),ROWS($A$15:A55)+$B$3))),IF($D$15="",INDEX(orderHistory[order_no],SMALL(IF(ISNUMBER(MATCH(orderHistory[customer],$D$9,0)*MATCH(orderHistory[status],$D$11,0)*MATCH(orderHistory[order_type],$D$13,0)),MATCH(ROW(orderHistory[customer]),ROW(orderHistory[customer])),""),ROWS($A$15:A55)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7</v>
      </c>
      <c r="N50" s="383" t="str">
        <f t="array" ref="N50">IFERROR(IF($D$9="",IF($D$11="",IF($D$13="",IF($D$15="",INDEX(orderHistory[order_type],SMALL(MATCH(ROW(orderHistory[customer]),ROW(orderHistory[customer])),ROWS($A$15:A55)+$B$3)),INDEX(orderHistory[order_type],SMALL(IF(ISNUMBER(MATCH(YEAR(orderHistory[invoice_date]),$D$15,0)),MATCH(ROW(orderHistory[customer]),ROW(orderHistory[customer])),""),ROWS($A$15:A55)+$B$3))),IF($D$15="",INDEX(orderHistory[order_type],SMALL(IF(ISNUMBER(MATCH(orderHistory[order_type],$D$13,0)),MATCH(ROW(orderHistory[customer]),ROW(orderHistory[customer])),""),ROWS($A$15:A55)+$B$3)),INDEX(orderHistory[order_type],SMALL(IF(ISNUMBER(MATCH(orderHistory[order_type],$D$13,0)*MATCH(YEAR(orderHistory[invoice_date]),$D$15,0)),MATCH(ROW(orderHistory[customer]),ROW(orderHistory[customer])),""),ROWS($A$15:A55)+$B$3)))),IF($D$13="",IF($D$15="",INDEX(orderHistory[order_type],SMALL(IF(ISNUMBER(MATCH(orderHistory[status],$D$11,0)),MATCH(ROW(orderHistory[customer]),ROW(orderHistory[customer])),""),ROWS($A$15:A55)+$B$3)),INDEX(orderHistory[order_type],SMALL(IF(ISNUMBER(MATCH(orderHistory[status],$D$11,0)*MATCH(YEAR(orderHistory[invoice_date]),$D$15,0)),MATCH(ROW(orderHistory[customer]),ROW(orderHistory[customer])),""),ROWS($A$15:A55)+$B$3))),IF($D$15="",INDEX(orderHistory[order_type],SMALL(IF(ISNUMBER(MATCH(orderHistory[status],$D$11,0)*MATCH(orderHistory[order_type],$D$13,0)),MATCH(ROW(orderHistory[customer]),ROW(orderHistory[customer])),""),ROWS($A$15:A55)+$B$3)),INDEX(orderHistory[order_type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order_type],SMALL(IF(ISNUMBER(MATCH(orderHistory[customer],$D$9,0)),MATCH(ROW(orderHistory[customer]),ROW(orderHistory[customer])),""),ROWS($A$15:A55)+$B$3)),INDEX(orderHistory[order_type],SMALL(IF(ISNUMBER(MATCH(orderHistory[customer],$D$9,0)*MATCH(YEAR(orderHistory[invoice_date]),$D$15,0)),MATCH(ROW(orderHistory[customer]),ROW(orderHistory[customer])),""),ROWS($A$15:A55)+$B$3))),IF($D$15="",INDEX(orderHistory[order_type],SMALL(IF(ISNUMBER(MATCH(orderHistory[customer],$D$9,0)*MATCH(orderHistory[order_type],$D$13,0)),MATCH(ROW(orderHistory[customer]),ROW(orderHistory[customer])),""),ROWS($A$15:A55)+$B$3)),INDEX(orderHistory[order_type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order_type],SMALL(IF(ISNUMBER(MATCH(orderHistory[customer],$D$9,0)*MATCH(orderHistory[status],$D$11,0)),MATCH(ROW(orderHistory[customer]),ROW(orderHistory[customer])),""),ROWS($A$15:A55)+$B$3)),INDEX(orderHistory[order_type],SMALL(IF(ISNUMBER(MATCH(orderHistory[customer],$D$9,0)*MATCH(orderHistory[status],$D$11,0)*MATCH(YEAR(orderHistory[invoice_date]),$D$15,0)),MATCH(ROW(orderHistory[customer]),ROW(orderHistory[customer])),""),ROWS($A$15:A55)+$B$3))),IF($D$15="",INDEX(orderHistory[order_type],SMALL(IF(ISNUMBER(MATCH(orderHistory[customer],$D$9,0)*MATCH(orderHistory[status],$D$11,0)*MATCH(orderHistory[order_type],$D$13,0)),MATCH(ROW(orderHistory[customer]),ROW(orderHistory[customer])),""),ROWS($A$15:A55)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SALE</v>
      </c>
      <c r="O50" s="384">
        <f t="array" ref="O50">IFERROR(IF($D$9="",IF($D$11="",IF($D$13="",IF($D$15="",INDEX(orderHistory[order_date],SMALL(MATCH(ROW(orderHistory[customer]),ROW(orderHistory[customer])),ROWS($A$15:A55)+$B$3)),INDEX(orderHistory[order_date],SMALL(IF(ISNUMBER(MATCH(YEAR(orderHistory[invoice_date]),$D$15,0)),MATCH(ROW(orderHistory[customer]),ROW(orderHistory[customer])),""),ROWS($A$15:A55)+$B$3))),IF($D$15="",INDEX(orderHistory[order_date],SMALL(IF(ISNUMBER(MATCH(orderHistory[order_type],$D$13,0)),MATCH(ROW(orderHistory[customer]),ROW(orderHistory[customer])),""),ROWS($A$15:A55)+$B$3)),INDEX(orderHistory[order_date],SMALL(IF(ISNUMBER(MATCH(orderHistory[order_type],$D$13,0)*MATCH(YEAR(orderHistory[invoice_date]),$D$15,0)),MATCH(ROW(orderHistory[customer]),ROW(orderHistory[customer])),""),ROWS($A$15:A55)+$B$3)))),IF($D$13="",IF($D$15="",INDEX(orderHistory[order_date],SMALL(IF(ISNUMBER(MATCH(orderHistory[status],$D$11,0)),MATCH(ROW(orderHistory[customer]),ROW(orderHistory[customer])),""),ROWS($A$15:A55)+$B$3)),INDEX(orderHistory[order_date],SMALL(IF(ISNUMBER(MATCH(orderHistory[status],$D$11,0)*MATCH(YEAR(orderHistory[invoice_date]),$D$15,0)),MATCH(ROW(orderHistory[customer]),ROW(orderHistory[customer])),""),ROWS($A$15:A55)+$B$3))),IF($D$15="",INDEX(orderHistory[order_date],SMALL(IF(ISNUMBER(MATCH(orderHistory[status],$D$11,0)*MATCH(orderHistory[order_type],$D$13,0)),MATCH(ROW(orderHistory[customer]),ROW(orderHistory[customer])),""),ROWS($A$15:A55)+$B$3)),INDEX(orderHistory[order_date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order_date],SMALL(IF(ISNUMBER(MATCH(orderHistory[customer],$D$9,0)),MATCH(ROW(orderHistory[customer]),ROW(orderHistory[customer])),""),ROWS($A$15:A55)+$B$3)),INDEX(orderHistory[order_date],SMALL(IF(ISNUMBER(MATCH(orderHistory[customer],$D$9,0)*MATCH(YEAR(orderHistory[invoice_date]),$D$15,0)),MATCH(ROW(orderHistory[customer]),ROW(orderHistory[customer])),""),ROWS($A$15:A55)+$B$3))),IF($D$15="",INDEX(orderHistory[order_date],SMALL(IF(ISNUMBER(MATCH(orderHistory[customer],$D$9,0)*MATCH(orderHistory[order_type],$D$13,0)),MATCH(ROW(orderHistory[customer]),ROW(orderHistory[customer])),""),ROWS($A$15:A55)+$B$3)),INDEX(orderHistory[order_date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order_date],SMALL(IF(ISNUMBER(MATCH(orderHistory[customer],$D$9,0)*MATCH(orderHistory[status],$D$11,0)),MATCH(ROW(orderHistory[customer]),ROW(orderHistory[customer])),""),ROWS($A$15:A55)+$B$3)),INDEX(orderHistory[order_date],SMALL(IF(ISNUMBER(MATCH(orderHistory[customer],$D$9,0)*MATCH(orderHistory[status],$D$11,0)*MATCH(YEAR(orderHistory[invoice_date]),$D$15,0)),MATCH(ROW(orderHistory[customer]),ROW(orderHistory[customer])),""),ROWS($A$15:A55)+$B$3))),IF($D$15="",INDEX(orderHistory[order_date],SMALL(IF(ISNUMBER(MATCH(orderHistory[customer],$D$9,0)*MATCH(orderHistory[status],$D$11,0)*MATCH(orderHistory[order_type],$D$13,0)),MATCH(ROW(orderHistory[customer]),ROW(orderHistory[customer])),""),ROWS($A$15:A55)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45343</v>
      </c>
      <c r="P50" s="385" t="str">
        <f t="array" ref="P50">IFERROR(IF($D$9="",IF($D$11="",IF($D$13="",IF($D$15="",INDEX(orderHistory[invoice_no],SMALL(MATCH(ROW(orderHistory[customer]),ROW(orderHistory[customer])),ROWS($A$15:A55)+$B$3)),INDEX(orderHistory[invoice_no],SMALL(IF(ISNUMBER(MATCH(YEAR(orderHistory[invoice_date]),$D$15,0)),MATCH(ROW(orderHistory[customer]),ROW(orderHistory[customer])),""),ROWS($A$15:A55)+$B$3))),IF($D$15="",INDEX(orderHistory[invoice_no],SMALL(IF(ISNUMBER(MATCH(orderHistory[order_type],$D$13,0)),MATCH(ROW(orderHistory[customer]),ROW(orderHistory[customer])),""),ROWS($A$15:A55)+$B$3)),INDEX(orderHistory[invoice_no],SMALL(IF(ISNUMBER(MATCH(orderHistory[order_type],$D$13,0)*MATCH(YEAR(orderHistory[invoice_date]),$D$15,0)),MATCH(ROW(orderHistory[customer]),ROW(orderHistory[customer])),""),ROWS($A$15:A55)+$B$3)))),IF($D$13="",IF($D$15="",INDEX(orderHistory[invoice_no],SMALL(IF(ISNUMBER(MATCH(orderHistory[status],$D$11,0)),MATCH(ROW(orderHistory[customer]),ROW(orderHistory[customer])),""),ROWS($A$15:A55)+$B$3)),INDEX(orderHistory[invoice_no],SMALL(IF(ISNUMBER(MATCH(orderHistory[status],$D$11,0)*MATCH(YEAR(orderHistory[invoice_date]),$D$15,0)),MATCH(ROW(orderHistory[customer]),ROW(orderHistory[customer])),""),ROWS($A$15:A55)+$B$3))),IF($D$15="",INDEX(orderHistory[invoice_no],SMALL(IF(ISNUMBER(MATCH(orderHistory[status],$D$11,0)*MATCH(orderHistory[order_type],$D$13,0)),MATCH(ROW(orderHistory[customer]),ROW(orderHistory[customer])),""),ROWS($A$15:A55)+$B$3)),INDEX(orderHistory[invoice_no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invoice_no],SMALL(IF(ISNUMBER(MATCH(orderHistory[customer],$D$9,0)),MATCH(ROW(orderHistory[customer]),ROW(orderHistory[customer])),""),ROWS($A$15:A55)+$B$3)),INDEX(orderHistory[invoice_no],SMALL(IF(ISNUMBER(MATCH(orderHistory[customer],$D$9,0)*MATCH(YEAR(orderHistory[invoice_date]),$D$15,0)),MATCH(ROW(orderHistory[customer]),ROW(orderHistory[customer])),""),ROWS($A$15:A55)+$B$3))),IF($D$15="",INDEX(orderHistory[invoice_no],SMALL(IF(ISNUMBER(MATCH(orderHistory[customer],$D$9,0)*MATCH(orderHistory[order_type],$D$13,0)),MATCH(ROW(orderHistory[customer]),ROW(orderHistory[customer])),""),ROWS($A$15:A55)+$B$3)),INDEX(orderHistory[invoice_no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invoice_no],SMALL(IF(ISNUMBER(MATCH(orderHistory[customer],$D$9,0)*MATCH(orderHistory[status],$D$11,0)),MATCH(ROW(orderHistory[customer]),ROW(orderHistory[customer])),""),ROWS($A$15:A55)+$B$3)),INDEX(orderHistory[invoice_no],SMALL(IF(ISNUMBER(MATCH(orderHistory[customer],$D$9,0)*MATCH(orderHistory[status],$D$11,0)*MATCH(YEAR(orderHistory[invoice_date]),$D$15,0)),MATCH(ROW(orderHistory[customer]),ROW(orderHistory[customer])),""),ROWS($A$15:A55)+$B$3))),IF($D$15="",INDEX(orderHistory[invoice_no],SMALL(IF(ISNUMBER(MATCH(orderHistory[customer],$D$9,0)*MATCH(orderHistory[status],$D$11,0)*MATCH(orderHistory[order_type],$D$13,0)),MATCH(ROW(orderHistory[customer]),ROW(orderHistory[customer])),""),ROWS($A$15:A55)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49</v>
      </c>
      <c r="Q50" s="386">
        <f t="array" ref="Q50">IFERROR(IF($D$9="",IF($D$11="",IF($D$13="",IF($D$15="",INDEX(orderHistory[invoice_date],SMALL(MATCH(ROW(orderHistory[customer]),ROW(orderHistory[customer])),ROWS($A$15:A55)+$B$3)),INDEX(orderHistory[invoice_date],SMALL(IF(ISNUMBER(MATCH(YEAR(orderHistory[invoice_date]),$D$15,0)),MATCH(ROW(orderHistory[customer]),ROW(orderHistory[customer])),""),ROWS($A$15:A55)+$B$3))),IF($D$15="",INDEX(orderHistory[invoice_date],SMALL(IF(ISNUMBER(MATCH(orderHistory[order_type],$D$13,0)),MATCH(ROW(orderHistory[customer]),ROW(orderHistory[customer])),""),ROWS($A$15:A55)+$B$3)),INDEX(orderHistory[invoice_date],SMALL(IF(ISNUMBER(MATCH(orderHistory[order_type],$D$13,0)*MATCH(YEAR(orderHistory[invoice_date]),$D$15,0)),MATCH(ROW(orderHistory[customer]),ROW(orderHistory[customer])),""),ROWS($A$15:A55)+$B$3)))),IF($D$13="",IF($D$15="",INDEX(orderHistory[invoice_date],SMALL(IF(ISNUMBER(MATCH(orderHistory[status],$D$11,0)),MATCH(ROW(orderHistory[customer]),ROW(orderHistory[customer])),""),ROWS($A$15:A55)+$B$3)),INDEX(orderHistory[invoice_date],SMALL(IF(ISNUMBER(MATCH(orderHistory[status],$D$11,0)*MATCH(YEAR(orderHistory[invoice_date]),$D$15,0)),MATCH(ROW(orderHistory[customer]),ROW(orderHistory[customer])),""),ROWS($A$15:A55)+$B$3))),IF($D$15="",INDEX(orderHistory[invoice_date],SMALL(IF(ISNUMBER(MATCH(orderHistory[status],$D$11,0)*MATCH(orderHistory[order_type],$D$13,0)),MATCH(ROW(orderHistory[customer]),ROW(orderHistory[customer])),""),ROWS($A$15:A55)+$B$3)),INDEX(orderHistory[invoice_date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invoice_date],SMALL(IF(ISNUMBER(MATCH(orderHistory[customer],$D$9,0)),MATCH(ROW(orderHistory[customer]),ROW(orderHistory[customer])),""),ROWS($A$15:A55)+$B$3)),INDEX(orderHistory[invoice_date],SMALL(IF(ISNUMBER(MATCH(orderHistory[customer],$D$9,0)*MATCH(YEAR(orderHistory[invoice_date]),$D$15,0)),MATCH(ROW(orderHistory[customer]),ROW(orderHistory[customer])),""),ROWS($A$15:A55)+$B$3))),IF($D$15="",INDEX(orderHistory[invoice_date],SMALL(IF(ISNUMBER(MATCH(orderHistory[customer],$D$9,0)*MATCH(orderHistory[order_type],$D$13,0)),MATCH(ROW(orderHistory[customer]),ROW(orderHistory[customer])),""),ROWS($A$15:A55)+$B$3)),INDEX(orderHistory[invoice_date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invoice_date],SMALL(IF(ISNUMBER(MATCH(orderHistory[customer],$D$9,0)*MATCH(orderHistory[status],$D$11,0)),MATCH(ROW(orderHistory[customer]),ROW(orderHistory[customer])),""),ROWS($A$15:A55)+$B$3)),INDEX(orderHistory[invoice_date],SMALL(IF(ISNUMBER(MATCH(orderHistory[customer],$D$9,0)*MATCH(orderHistory[status],$D$11,0)*MATCH(YEAR(orderHistory[invoice_date]),$D$15,0)),MATCH(ROW(orderHistory[customer]),ROW(orderHistory[customer])),""),ROWS($A$15:A55)+$B$3))),IF($D$15="",INDEX(orderHistory[invoice_date],SMALL(IF(ISNUMBER(MATCH(orderHistory[customer],$D$9,0)*MATCH(orderHistory[status],$D$11,0)*MATCH(orderHistory[order_type],$D$13,0)),MATCH(ROW(orderHistory[customer]),ROW(orderHistory[customer])),""),ROWS($A$15:A55)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45343</v>
      </c>
      <c r="R50" s="387">
        <f t="array" ref="R50">IFERROR(IF($D$9="",IF($D$11="",IF($D$13="",IF($D$15="",INDEX(orderHistory[inv_amount],SMALL(MATCH(ROW(orderHistory[customer]),ROW(orderHistory[customer])),ROWS($A$15:A55)+$B$3)),INDEX(orderHistory[inv_amount],SMALL(IF(ISNUMBER(MATCH(YEAR(orderHistory[invoice_date]),$D$15,0)),MATCH(ROW(orderHistory[customer]),ROW(orderHistory[customer])),""),ROWS($A$15:A55)+$B$3))),IF($D$15="",INDEX(orderHistory[inv_amount],SMALL(IF(ISNUMBER(MATCH(orderHistory[order_type],$D$13,0)),MATCH(ROW(orderHistory[customer]),ROW(orderHistory[customer])),""),ROWS($A$15:A55)+$B$3)),INDEX(orderHistory[inv_amount],SMALL(IF(ISNUMBER(MATCH(orderHistory[order_type],$D$13,0)*MATCH(YEAR(orderHistory[invoice_date]),$D$15,0)),MATCH(ROW(orderHistory[customer]),ROW(orderHistory[customer])),""),ROWS($A$15:A55)+$B$3)))),IF($D$13="",IF($D$15="",INDEX(orderHistory[inv_amount],SMALL(IF(ISNUMBER(MATCH(orderHistory[status],$D$11,0)),MATCH(ROW(orderHistory[customer]),ROW(orderHistory[customer])),""),ROWS($A$15:A55)+$B$3)),INDEX(orderHistory[inv_amount],SMALL(IF(ISNUMBER(MATCH(orderHistory[status],$D$11,0)*MATCH(YEAR(orderHistory[invoice_date]),$D$15,0)),MATCH(ROW(orderHistory[customer]),ROW(orderHistory[customer])),""),ROWS($A$15:A55)+$B$3))),IF($D$15="",INDEX(orderHistory[inv_amount],SMALL(IF(ISNUMBER(MATCH(orderHistory[status],$D$11,0)*MATCH(orderHistory[order_type],$D$13,0)),MATCH(ROW(orderHistory[customer]),ROW(orderHistory[customer])),""),ROWS($A$15:A55)+$B$3)),INDEX(orderHistory[inv_amount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inv_amount],SMALL(IF(ISNUMBER(MATCH(orderHistory[customer],$D$9,0)),MATCH(ROW(orderHistory[customer]),ROW(orderHistory[customer])),""),ROWS($A$15:A55)+$B$3)),INDEX(orderHistory[inv_amount],SMALL(IF(ISNUMBER(MATCH(orderHistory[customer],$D$9,0)*MATCH(YEAR(orderHistory[invoice_date]),$D$15,0)),MATCH(ROW(orderHistory[customer]),ROW(orderHistory[customer])),""),ROWS($A$15:A55)+$B$3))),IF($D$15="",INDEX(orderHistory[inv_amount],SMALL(IF(ISNUMBER(MATCH(orderHistory[customer],$D$9,0)*MATCH(orderHistory[order_type],$D$13,0)),MATCH(ROW(orderHistory[customer]),ROW(orderHistory[customer])),""),ROWS($A$15:A55)+$B$3)),INDEX(orderHistory[inv_amount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inv_amount],SMALL(IF(ISNUMBER(MATCH(orderHistory[customer],$D$9,0)*MATCH(orderHistory[status],$D$11,0)),MATCH(ROW(orderHistory[customer]),ROW(orderHistory[customer])),""),ROWS($A$15:A55)+$B$3)),INDEX(orderHistory[inv_amount],SMALL(IF(ISNUMBER(MATCH(orderHistory[customer],$D$9,0)*MATCH(orderHistory[status],$D$11,0)*MATCH(YEAR(orderHistory[inv_amount]),$D$15,0)),MATCH(ROW(orderHistory[customer]),ROW(orderHistory[customer])),""),ROWS($A$15:A55)+$B$3))),IF($D$15="",INDEX(orderHistory[inv_amount],SMALL(IF(ISNUMBER(MATCH(orderHistory[customer],$D$9,0)*MATCH(orderHistory[status],$D$11,0)*MATCH(orderHistory[order_type],$D$13,0)),MATCH(ROW(orderHistory[customer]),ROW(orderHistory[customer])),""),ROWS($A$15:A55)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13787.5</v>
      </c>
      <c r="S50" s="465" t="str">
        <f t="array" ref="S50">IFERROR(IF($D$9="",IF($D$11="",IF($D$13="",IF($D$15="",INDEX(orderHistory[lock_goods],SMALL(MATCH(ROW(orderHistory[customer]),ROW(orderHistory[customer])),ROWS($A$15:A55)+$B$3)),INDEX(orderHistory[lock_goods],SMALL(IF(ISNUMBER(MATCH(YEAR(orderHistory[invoice_date]),$D$15,0)),MATCH(ROW(orderHistory[customer]),ROW(orderHistory[customer])),""),ROWS($A$15:A55)+$B$3))),IF($D$15="",INDEX(orderHistory[lock_goods],SMALL(IF(ISNUMBER(MATCH(orderHistory[order_type],$D$13,0)),MATCH(ROW(orderHistory[customer]),ROW(orderHistory[customer])),""),ROWS($A$15:A55)+$B$3)),INDEX(orderHistory[lock_goods],SMALL(IF(ISNUMBER(MATCH(orderHistory[order_type],$D$13,0)*MATCH(YEAR(orderHistory[invoice_date]),$D$15,0)),MATCH(ROW(orderHistory[customer]),ROW(orderHistory[customer])),""),ROWS($A$15:A55)+$B$3)))),IF($D$13="",IF($D$15="",INDEX(orderHistory[lock_goods],SMALL(IF(ISNUMBER(MATCH(orderHistory[status],$D$11,0)),MATCH(ROW(orderHistory[customer]),ROW(orderHistory[customer])),""),ROWS($A$15:A55)+$B$3)),INDEX(orderHistory[lock_goods],SMALL(IF(ISNUMBER(MATCH(orderHistory[status],$D$11,0)*MATCH(YEAR(orderHistory[invoice_date]),$D$15,0)),MATCH(ROW(orderHistory[customer]),ROW(orderHistory[customer])),""),ROWS($A$15:A55)+$B$3))),IF($D$15="",INDEX(orderHistory[lock_goods],SMALL(IF(ISNUMBER(MATCH(orderHistory[status],$D$11,0)*MATCH(orderHistory[order_type],$D$13,0)),MATCH(ROW(orderHistory[customer]),ROW(orderHistory[customer])),""),ROWS($A$15:A55)+$B$3)),INDEX(orderHistory[lock_goods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lock_goods],SMALL(IF(ISNUMBER(MATCH(orderHistory[customer],$D$9,0)),MATCH(ROW(orderHistory[customer]),ROW(orderHistory[customer])),""),ROWS($A$15:A55)+$B$3)),INDEX(orderHistory[lock_goods],SMALL(IF(ISNUMBER(MATCH(orderHistory[customer],$D$9,0)*MATCH(YEAR(orderHistory[invoice_date]),$D$15,0)),MATCH(ROW(orderHistory[customer]),ROW(orderHistory[customer])),""),ROWS($A$15:A55)+$B$3))),IF($D$15="",INDEX(orderHistory[lock_goods],SMALL(IF(ISNUMBER(MATCH(orderHistory[customer],$D$9,0)*MATCH(orderHistory[order_type],$D$13,0)),MATCH(ROW(orderHistory[customer]),ROW(orderHistory[customer])),""),ROWS($A$15:A55)+$B$3)),INDEX(orderHistory[lock_goods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lock_goods],SMALL(IF(ISNUMBER(MATCH(orderHistory[customer],$D$9,0)*MATCH(orderHistory[status],$D$11,0)),MATCH(ROW(orderHistory[customer]),ROW(orderHistory[customer])),""),ROWS($A$15:A55)+$B$3)),INDEX(orderHistory[lock_goods],SMALL(IF(ISNUMBER(MATCH(orderHistory[customer],$D$9,0)*MATCH(orderHistory[status],$D$11,0)*MATCH(YEAR(orderHistory[payed]),$D$15,0)),MATCH(ROW(orderHistory[customer]),ROW(orderHistory[customer])),""),ROWS($A$15:A55)+$B$3))),IF($D$15="",INDEX(orderHistory[lock_goods],SMALL(IF(ISNUMBER(MATCH(orderHistory[customer],$D$9,0)*MATCH(orderHistory[status],$D$11,0)*MATCH(orderHistory[order_type],$D$13,0)),MATCH(ROW(orderHistory[customer]),ROW(orderHistory[customer])),""),ROWS($A$15:A55)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GOODS SENT</v>
      </c>
      <c r="T50" s="388" t="b">
        <f t="array" ref="T50">IFERROR(IF($D$9="",IF($D$11="",IF($D$13="",IF($D$15="",INDEX(orderHistory[payed],SMALL(MATCH(ROW(orderHistory[customer]),ROW(orderHistory[customer])),ROWS($A$15:A55)+$B$3)),INDEX(orderHistory[payed],SMALL(IF(ISNUMBER(MATCH(YEAR(orderHistory[invoice_date]),$D$15,0)),MATCH(ROW(orderHistory[customer]),ROW(orderHistory[customer])),""),ROWS($A$15:A55)+$B$3))),IF($D$15="",INDEX(orderHistory[payed],SMALL(IF(ISNUMBER(MATCH(orderHistory[order_type],$D$13,0)),MATCH(ROW(orderHistory[customer]),ROW(orderHistory[customer])),""),ROWS($A$15:A55)+$B$3)),INDEX(orderHistory[payed],SMALL(IF(ISNUMBER(MATCH(orderHistory[order_type],$D$13,0)*MATCH(YEAR(orderHistory[invoice_date]),$D$15,0)),MATCH(ROW(orderHistory[customer]),ROW(orderHistory[customer])),""),ROWS($A$15:A55)+$B$3)))),IF($D$13="",IF($D$15="",INDEX(orderHistory[payed],SMALL(IF(ISNUMBER(MATCH(orderHistory[status],$D$11,0)),MATCH(ROW(orderHistory[customer]),ROW(orderHistory[customer])),""),ROWS($A$15:A55)+$B$3)),INDEX(orderHistory[payed],SMALL(IF(ISNUMBER(MATCH(orderHistory[status],$D$11,0)*MATCH(YEAR(orderHistory[invoice_date]),$D$15,0)),MATCH(ROW(orderHistory[customer]),ROW(orderHistory[customer])),""),ROWS($A$15:A55)+$B$3))),IF($D$15="",INDEX(orderHistory[payed],SMALL(IF(ISNUMBER(MATCH(orderHistory[status],$D$11,0)*MATCH(orderHistory[order_type],$D$13,0)),MATCH(ROW(orderHistory[customer]),ROW(orderHistory[customer])),""),ROWS($A$15:A55)+$B$3)),INDEX(orderHistory[payed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payed],SMALL(IF(ISNUMBER(MATCH(orderHistory[customer],$D$9,0)),MATCH(ROW(orderHistory[customer]),ROW(orderHistory[customer])),""),ROWS($A$15:A55)+$B$3)),INDEX(orderHistory[payed],SMALL(IF(ISNUMBER(MATCH(orderHistory[customer],$D$9,0)*MATCH(YEAR(orderHistory[invoice_date]),$D$15,0)),MATCH(ROW(orderHistory[customer]),ROW(orderHistory[customer])),""),ROWS($A$15:A55)+$B$3))),IF($D$15="",INDEX(orderHistory[payed],SMALL(IF(ISNUMBER(MATCH(orderHistory[customer],$D$9,0)*MATCH(orderHistory[order_type],$D$13,0)),MATCH(ROW(orderHistory[customer]),ROW(orderHistory[customer])),""),ROWS($A$15:A55)+$B$3)),INDEX(orderHistory[payed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payed],SMALL(IF(ISNUMBER(MATCH(orderHistory[customer],$D$9,0)*MATCH(orderHistory[status],$D$11,0)),MATCH(ROW(orderHistory[customer]),ROW(orderHistory[customer])),""),ROWS($A$15:A55)+$B$3)),INDEX(orderHistory[payed],SMALL(IF(ISNUMBER(MATCH(orderHistory[customer],$D$9,0)*MATCH(orderHistory[status],$D$11,0)*MATCH(YEAR(orderHistory[payed]),$D$15,0)),MATCH(ROW(orderHistory[customer]),ROW(orderHistory[customer])),""),ROWS($A$15:A55)+$B$3))),IF($D$15="",INDEX(orderHistory[payed],SMALL(IF(ISNUMBER(MATCH(orderHistory[customer],$D$9,0)*MATCH(orderHistory[status],$D$11,0)*MATCH(orderHistory[order_type],$D$13,0)),MATCH(ROW(orderHistory[customer]),ROW(orderHistory[customer])),""),ROWS($A$15:A55)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1</v>
      </c>
      <c r="U50" s="383" t="str">
        <f t="array" ref="U50">IFERROR(IF($D$9="",IF($D$11="",IF($D$13="",IF($D$15="",INDEX(orderHistory[shipping_method],SMALL(MATCH(ROW(orderHistory[customer]),ROW(orderHistory[customer])),ROWS($A$15:A55)+$B$3)),INDEX(orderHistory[shipping_method],SMALL(IF(ISNUMBER(MATCH(YEAR(orderHistory[invoice_date]),$D$15,0)),MATCH(ROW(orderHistory[customer]),ROW(orderHistory[customer])),""),ROWS($A$15:A55)+$B$3))),IF($D$15="",INDEX(orderHistory[shipping_method],SMALL(IF(ISNUMBER(MATCH(orderHistory[order_type],$D$13,0)),MATCH(ROW(orderHistory[customer]),ROW(orderHistory[customer])),""),ROWS($A$15:A55)+$B$3)),INDEX(orderHistory[shipping_method],SMALL(IF(ISNUMBER(MATCH(orderHistory[order_type],$D$13,0)*MATCH(YEAR(orderHistory[invoice_date]),$D$15,0)),MATCH(ROW(orderHistory[customer]),ROW(orderHistory[customer])),""),ROWS($A$15:A55)+$B$3)))),IF($D$13="",IF($D$15="",INDEX(orderHistory[shipping_method],SMALL(IF(ISNUMBER(MATCH(orderHistory[status],$D$11,0)),MATCH(ROW(orderHistory[customer]),ROW(orderHistory[customer])),""),ROWS($A$15:A55)+$B$3)),INDEX(orderHistory[shipping_method],SMALL(IF(ISNUMBER(MATCH(orderHistory[status],$D$11,0)*MATCH(YEAR(orderHistory[invoice_date]),$D$15,0)),MATCH(ROW(orderHistory[customer]),ROW(orderHistory[customer])),""),ROWS($A$15:A55)+$B$3))),IF($D$15="",INDEX(orderHistory[shipping_method],SMALL(IF(ISNUMBER(MATCH(orderHistory[status],$D$11,0)*MATCH(orderHistory[order_type],$D$13,0)),MATCH(ROW(orderHistory[customer]),ROW(orderHistory[customer])),""),ROWS($A$15:A55)+$B$3)),INDEX(orderHistory[shipping_method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shipping_method],SMALL(IF(ISNUMBER(MATCH(orderHistory[customer],$D$9,0)),MATCH(ROW(orderHistory[customer]),ROW(orderHistory[customer])),""),ROWS($A$15:A55)+$B$3)),INDEX(orderHistory[shipping_method],SMALL(IF(ISNUMBER(MATCH(orderHistory[customer],$D$9,0)*MATCH(YEAR(orderHistory[invoice_date]),$D$15,0)),MATCH(ROW(orderHistory[customer]),ROW(orderHistory[customer])),""),ROWS($A$15:A55)+$B$3))),IF($D$15="",INDEX(orderHistory[shipping_method],SMALL(IF(ISNUMBER(MATCH(orderHistory[customer],$D$9,0)*MATCH(orderHistory[order_type],$D$13,0)),MATCH(ROW(orderHistory[customer]),ROW(orderHistory[customer])),""),ROWS($A$15:A55)+$B$3)),INDEX(orderHistory[shipping_method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shipping_method],SMALL(IF(ISNUMBER(MATCH(orderHistory[customer],$D$9,0)*MATCH(orderHistory[status],$D$11,0)),MATCH(ROW(orderHistory[customer]),ROW(orderHistory[customer])),""),ROWS($A$15:A55)+$B$3)),INDEX(orderHistory[shipping_method],SMALL(IF(ISNUMBER(MATCH(orderHistory[customer],$D$9,0)*MATCH(orderHistory[status],$D$11,0)*MATCH(YEAR(orderHistory[shipping_method]),$D$15,0)),MATCH(ROW(orderHistory[customer]),ROW(orderHistory[customer])),""),ROWS($A$15:A55)+$B$3))),IF($D$15="",INDEX(orderHistory[shipping_method],SMALL(IF(ISNUMBER(MATCH(orderHistory[customer],$D$9,0)*MATCH(orderHistory[status],$D$11,0)*MATCH(orderHistory[order_type],$D$13,0)),MATCH(ROW(orderHistory[customer]),ROW(orderHistory[customer])),""),ROWS($A$15:A55)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BY ROAD</v>
      </c>
      <c r="V50" s="388" t="str">
        <f t="array" ref="V50">IFERROR(IF($D$9="",IF($D$11="",IF($D$13="",IF($D$15="",INDEX(orderHistory[status],SMALL(MATCH(ROW(orderHistory[customer]),ROW(orderHistory[customer])),ROWS($A$15:A55)+$B$3)),INDEX(orderHistory[status],SMALL(IF(ISNUMBER(MATCH(YEAR(orderHistory[invoice_date]),$D$15,0)),MATCH(ROW(orderHistory[customer]),ROW(orderHistory[customer])),""),ROWS($A$15:A55)+$B$3))),IF($D$15="",INDEX(orderHistory[status],SMALL(IF(ISNUMBER(MATCH(orderHistory[order_type],$D$13,0)),MATCH(ROW(orderHistory[customer]),ROW(orderHistory[customer])),""),ROWS($A$15:A55)+$B$3)),INDEX(orderHistory[status],SMALL(IF(ISNUMBER(MATCH(orderHistory[order_type],$D$13,0)*MATCH(YEAR(orderHistory[invoice_date]),$D$15,0)),MATCH(ROW(orderHistory[customer]),ROW(orderHistory[customer])),""),ROWS($A$15:A55)+$B$3)))),IF($D$13="",IF($D$15="",INDEX(orderHistory[status],SMALL(IF(ISNUMBER(MATCH(orderHistory[status],$D$11,0)),MATCH(ROW(orderHistory[customer]),ROW(orderHistory[customer])),""),ROWS($A$15:A55)+$B$3)),INDEX(orderHistory[status],SMALL(IF(ISNUMBER(MATCH(orderHistory[status],$D$11,0)*MATCH(YEAR(orderHistory[invoice_date]),$D$15,0)),MATCH(ROW(orderHistory[customer]),ROW(orderHistory[customer])),""),ROWS($A$15:A55)+$B$3))),IF($D$15="",INDEX(orderHistory[status],SMALL(IF(ISNUMBER(MATCH(orderHistory[status],$D$11,0)*MATCH(orderHistory[order_type],$D$13,0)),MATCH(ROW(orderHistory[customer]),ROW(orderHistory[customer])),""),ROWS($A$15:A55)+$B$3)),INDEX(orderHistory[status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status],SMALL(IF(ISNUMBER(MATCH(orderHistory[customer],$D$9,0)),MATCH(ROW(orderHistory[customer]),ROW(orderHistory[customer])),""),ROWS($A$15:A55)+$B$3)),INDEX(orderHistory[status],SMALL(IF(ISNUMBER(MATCH(orderHistory[customer],$D$9,0)*MATCH(YEAR(orderHistory[invoice_date]),$D$15,0)),MATCH(ROW(orderHistory[customer]),ROW(orderHistory[customer])),""),ROWS($A$15:A55)+$B$3))),IF($D$15="",INDEX(orderHistory[status],SMALL(IF(ISNUMBER(MATCH(orderHistory[customer],$D$9,0)*MATCH(orderHistory[order_type],$D$13,0)),MATCH(ROW(orderHistory[customer]),ROW(orderHistory[customer])),""),ROWS($A$15:A55)+$B$3)),INDEX(orderHistory[status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status],SMALL(IF(ISNUMBER(MATCH(orderHistory[customer],$D$9,0)*MATCH(orderHistory[status],$D$11,0)),MATCH(ROW(orderHistory[customer]),ROW(orderHistory[customer])),""),ROWS($A$15:A55)+$B$3)),INDEX(orderHistory[status],SMALL(IF(ISNUMBER(MATCH(orderHistory[customer],$D$9,0)*MATCH(orderHistory[status],$D$11,0)*MATCH(YEAR(orderHistory[status]),$D$15,0)),MATCH(ROW(orderHistory[customer]),ROW(orderHistory[customer])),""),ROWS($A$15:A55)+$B$3))),IF($D$15="",INDEX(orderHistory[status],SMALL(IF(ISNUMBER(MATCH(orderHistory[customer],$D$9,0)*MATCH(orderHistory[status],$D$11,0)*MATCH(orderHistory[order_type],$D$13,0)),MATCH(ROW(orderHistory[customer]),ROW(orderHistory[customer])),""),ROWS($A$15:A55)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SHIPPED</v>
      </c>
      <c r="W50" s="547" t="str">
        <f t="array" ref="W50">IFERROR(IF($D$9="",IF($D$11="",IF($D$13="",IF($D$15="",INDEX(orderHistory[custom_docs],SMALL(MATCH(ROW(orderHistory[customer]),ROW(orderHistory[customer])),ROWS($A$15:A55)+$B$3)),INDEX(orderHistory[custom_docs],SMALL(IF(ISNUMBER(MATCH(YEAR(orderHistory[invoice_date]),$D$15,0)),MATCH(ROW(orderHistory[customer]),ROW(orderHistory[customer])),""),ROWS($A$15:A55)+$B$3))),IF($D$15="",INDEX(orderHistory[custom_docs],SMALL(IF(ISNUMBER(MATCH(orderHistory[order_type],$D$13,0)),MATCH(ROW(orderHistory[customer]),ROW(orderHistory[customer])),""),ROWS($A$15:A55)+$B$3)),INDEX(orderHistory[custom_docs],SMALL(IF(ISNUMBER(MATCH(orderHistory[order_type],$D$13,0)*MATCH(YEAR(orderHistory[invoice_date]),$D$15,0)),MATCH(ROW(orderHistory[customer]),ROW(orderHistory[customer])),""),ROWS($A$15:A55)+$B$3)))),IF($D$13="",IF($D$15="",INDEX(orderHistory[custom_docs],SMALL(IF(ISNUMBER(MATCH(orderHistory[status],$D$11,0)),MATCH(ROW(orderHistory[customer]),ROW(orderHistory[customer])),""),ROWS($A$15:A55)+$B$3)),INDEX(orderHistory[custom_docs],SMALL(IF(ISNUMBER(MATCH(orderHistory[status],$D$11,0)*MATCH(YEAR(orderHistory[invoice_date]),$D$15,0)),MATCH(ROW(orderHistory[customer]),ROW(orderHistory[customer])),""),ROWS($A$15:A55)+$B$3))),IF($D$15="",INDEX(orderHistory[custom_docs],SMALL(IF(ISNUMBER(MATCH(orderHistory[status],$D$11,0)*MATCH(orderHistory[order_type],$D$13,0)),MATCH(ROW(orderHistory[customer]),ROW(orderHistory[customer])),""),ROWS($A$15:A55)+$B$3)),INDEX(orderHistory[custom_docs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custom_docs],SMALL(IF(ISNUMBER(MATCH(orderHistory[customer],$D$9,0)),MATCH(ROW(orderHistory[customer]),ROW(orderHistory[customer])),""),ROWS($A$15:A55)+$B$3)),INDEX(orderHistory[custom_docs],SMALL(IF(ISNUMBER(MATCH(orderHistory[customer],$D$9,0)*MATCH(YEAR(orderHistory[invoice_date]),$D$15,0)),MATCH(ROW(orderHistory[customer]),ROW(orderHistory[customer])),""),ROWS($A$15:A55)+$B$3))),IF($D$15="",INDEX(orderHistory[custom_docs],SMALL(IF(ISNUMBER(MATCH(orderHistory[customer],$D$9,0)*MATCH(orderHistory[order_type],$D$13,0)),MATCH(ROW(orderHistory[customer]),ROW(orderHistory[customer])),""),ROWS($A$15:A55)+$B$3)),INDEX(orderHistory[custom_docs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custom_docs],SMALL(IF(ISNUMBER(MATCH(orderHistory[customer],$D$9,0)*MATCH(orderHistory[status],$D$11,0)),MATCH(ROW(orderHistory[customer]),ROW(orderHistory[customer])),""),ROWS($A$15:A55)+$B$3)),INDEX(orderHistory[custom_docs],SMALL(IF(ISNUMBER(MATCH(orderHistory[customer],$D$9,0)*MATCH(orderHistory[status],$D$11,0)*MATCH(YEAR(orderHistory[status]),$D$15,0)),MATCH(ROW(orderHistory[customer]),ROW(orderHistory[customer])),""),ROWS($A$15:A55)+$B$3))),IF($D$15="",INDEX(orderHistory[custom_docs],SMALL(IF(ISNUMBER(MATCH(orderHistory[customer],$D$9,0)*MATCH(orderHistory[status],$D$11,0)*MATCH(orderHistory[order_type],$D$13,0)),MATCH(ROW(orderHistory[customer]),ROW(orderHistory[customer])),""),ROWS($A$15:A55)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OK</v>
      </c>
      <c r="AQ50" s="361"/>
      <c r="AR50" s="361" t="s">
        <v>575</v>
      </c>
      <c r="BG50" s="215"/>
      <c r="BK50" s="296"/>
      <c r="BL50" s="297"/>
      <c r="BM50" s="298"/>
      <c r="BN50" s="297"/>
      <c r="BO50" s="298"/>
      <c r="BZ50" s="487"/>
      <c r="CA50" s="401" t="str">
        <f>IFERROR(IF(BZ50="","",INDEX(bhpc_data[description],MATCH(BZ50,bhpc_data[sku],0))),"")</f>
        <v/>
      </c>
      <c r="CB50" s="403"/>
      <c r="CC50" s="885"/>
      <c r="CD50" s="411"/>
      <c r="CE50" s="890"/>
      <c r="CF50" s="404"/>
      <c r="CG50" s="405" t="str">
        <f>IFERROR(ROUNDUP(CB50/INDEX(bhpc_data[units_per_carton],MATCH(BZ50,bhpc_data[sku],0)),0),"")</f>
        <v/>
      </c>
      <c r="CH50" s="406" t="str">
        <f>IFERROR(ROUNDUP(CD50/INDEX(bhpc_data[units_per_carton],MATCH(BZ50,bhpc_data[sku],0)),0),"")</f>
        <v/>
      </c>
      <c r="CI50" s="406" t="str">
        <f>IFERROR(ROUNDUP(CF50/INDEX(bhpc_data[units_per_carton],MATCH(BZ50,bhpc_data[sku])),0),"")</f>
        <v/>
      </c>
      <c r="CJ50" s="406" t="str">
        <f>IFERROR(((CB50+CD50+CF50)/INDEX(bhpc_data[units_per_carton],MATCH(BZ50,bhpc_data[sku],0)))*INDEX(bhpc_data[net_weight],MATCH(BZ50,bhpc_data[sku],0)),"")</f>
        <v/>
      </c>
      <c r="CK50" s="406" t="str">
        <f>IFERROR(((CB50+CD50+CF50)/INDEX(bhpc_data[units_per_carton],MATCH(BZ50,bhpc_data[sku],0)))*INDEX(bhpc_data[gross_weight],MATCH(BZ50,bhpc_data[sku],0)),"")</f>
        <v/>
      </c>
      <c r="CL50" s="602" t="str">
        <f>IFERROR((CB50+CD50+CF50)/INDEX(bhpc_data[units_per_carton],MATCH(BZ50,bhpc_data[sku],0))*INDEX(bhpc_data[length],MATCH(BZ50,bhpc_data[sku],0))*INDEX(bhpc_data[width],MATCH(BZ50,bhpc_data[sku],0))*INDEX(bhpc_data[height],MATCH(BZ50,bhpc_data[sku],0))/1000000000,"")</f>
        <v/>
      </c>
      <c r="CM50" s="407" t="str">
        <f>IFERROR(INDEX(bhpc_data[category],MATCH(BZ50,bhpc_data[sku],0)),"")</f>
        <v/>
      </c>
      <c r="CN50" s="407" t="str">
        <f>IFERROR(INDEX(bhpc_data[size],MATCH(BZ50,bhpc_data[sku],0)),"")</f>
        <v/>
      </c>
      <c r="CO50" s="408" t="str">
        <f>IFERROR(INDEX(bhpc_data[hs_code],MATCH(BZ50,bhpc_data[sku],0)),"")</f>
        <v/>
      </c>
      <c r="CP50" s="489" t="str">
        <f>IFERROR(INDEX(bhpc_data[sku_geko],MATCH(BZ50,bhpc_data[sku],0)),"")</f>
        <v/>
      </c>
      <c r="CQ50" s="404"/>
      <c r="CR50" s="517" t="str">
        <f>IFERROR(IF(BZ50="","",IF($BX$15="SALE",INDEX(inventory[COSTO UNITARIO],MATCH(BZ50,inventory[SKU],0)),IF($BX$15="SAMPLING",INDEX(inventory[COSTO UNITARIO],MATCH(BZ50,inventory[SKU],0)),""))),"")</f>
        <v/>
      </c>
      <c r="CS50" s="517" t="str">
        <f t="shared" si="7"/>
        <v/>
      </c>
      <c r="CT50" s="896" t="str">
        <f t="shared" si="8"/>
        <v/>
      </c>
      <c r="CU50" s="469" t="str">
        <f t="shared" si="0"/>
        <v/>
      </c>
      <c r="CV50" s="280"/>
      <c r="CW50" s="280"/>
      <c r="CX50" s="280"/>
      <c r="CY50" s="280"/>
      <c r="CZ50" s="280"/>
      <c r="DA50" s="280"/>
      <c r="DB50" s="280" t="str">
        <f>IFERROR(VLOOKUP(BZ50,bhpc_data[],22,FALSE),"")</f>
        <v/>
      </c>
      <c r="EE50" s="445" t="str" cm="1">
        <f t="array" ref="EE50">IFERROR(IF($EC$9="",IF($EC$11="",IF($EC$13="",INDEX(bhpc_data[sku],SMALL(MATCH(ROW(bhpc_data[sku]),ROW(bhpc_data[sku])),ROWS($A$15:A55)+$B$3)),INDEX(bhpc_data[sku],SMALL(IF(ISNUMBER(MATCH(bhpc_data[size],$EC$13,0)),MATCH(ROW(bhpc_data[sku]),ROW(bhpc_data[sku])),""),ROWS($A$15:A55)+$B$3))),IF($EC$13="",INDEX(bhpc_data[sku],SMALL(IF(ISNUMBER(MATCH(bhpc_data[sex],$EC$11,0)),MATCH(ROW(bhpc_data[sku]),ROW(bhpc_data[sku])),""),ROWS($A$15:A55)+$B$3)),INDEX(bhpc_data[sku],SMALL(IF(ISNUMBER(MATCH(bhpc_data[sex],$EC$11,0)*MATCH(bhpc_data[size],$EC$13,0)),MATCH(ROW(bhpc_data[sku]),ROW(bhpc_data[sku])),""),ROWS($A$15:A55)+$B$3)))),IF($EC$11="",IF($EC$13="",INDEX(bhpc_data[sku],SMALL(IF(ISNUMBER(MATCH(bhpc_data[category],$EC$9,0)),MATCH(ROW(bhpc_data[sku]),ROW(bhpc_data[sku])),""),ROWS($A$15:A55)+$B$3)),INDEX(bhpc_data[sku],SMALL(IF(ISNUMBER(MATCH(bhpc_data[category],$EC$9,0)*MATCH(bhpc_data[size],$EC$13,0)),MATCH(ROW(bhpc_data[sku]),ROW(bhpc_data[sku])),""),ROWS($A$15:A55)+$B$3))),IF($EC$13="",INDEX(bhpc_data[sku],SMALL(IF(ISNUMBER(MATCH(bhpc_data[category],$EC$9,0)*MATCH(bhpc_data[sex],$EC$11,0)),MATCH(ROW(bhpc_data[sku]),ROW(bhpc_data[sku])),""),ROWS($A$15:A55)+$B$3)),INDEX(bhpc_data[sku],SMALL(IF(ISNUMBER(MATCH(bhpc_data[category],$EC$9,0)*MATCH(bhpc_data[sex],$EC$11,0)*MATCH(bhpc_data[size],$EC$13,0)),MATCH(ROW(bhpc_data[sku]),ROW(bhpc_data[sku])),""),ROWS($A$15:A55)+$B$3))))),"")</f>
        <v>PT6000</v>
      </c>
      <c r="EF50" s="446" t="str" cm="1">
        <f t="array" ref="EF50">IFERROR(IF($EC$9="",IF($EC$11="",IF($EC$13="",INDEX(bhpc_data[description],SMALL(MATCH(ROW(bhpc_data[sku]),ROW(bhpc_data[sku])),ROWS($A$15:A55)+$B$3)),INDEX(bhpc_data[description],SMALL(IF(ISNUMBER(MATCH(bhpc_data[size],$EC$13,0)),MATCH(ROW(bhpc_data[sku]),ROW(bhpc_data[sku])),""),ROWS($A$15:A55)+$B$3))),IF($EC$13="",INDEX(bhpc_data[description],SMALL(IF(ISNUMBER(MATCH(bhpc_data[sex],$EC$11,0)),MATCH(ROW(bhpc_data[sku]),ROW(bhpc_data[sku])),""),ROWS($A$15:A55)+$B$3)),INDEX(bhpc_data[description],SMALL(IF(ISNUMBER(MATCH(bhpc_data[sex],$EC$11,0)*MATCH(bhpc_data[size],$EC$13,0)),MATCH(ROW(bhpc_data[sku]),ROW(bhpc_data[sku])),""),ROWS($A$15:A55)+$B$3)))),IF($EC$11="",IF($EC$13="",INDEX(bhpc_data[description],SMALL(IF(ISNUMBER(MATCH(bhpc_data[category],$EC$9,0)),MATCH(ROW(bhpc_data[sku]),ROW(bhpc_data[sku])),""),ROWS($A$15:A55)+$B$3)),INDEX(bhpc_data[description],SMALL(IF(ISNUMBER(MATCH(bhpc_data[category],$EC$9,0)*MATCH(bhpc_data[size],$EC$13,0)),MATCH(ROW(bhpc_data[sku]),ROW(bhpc_data[sku])),""),ROWS($A$15:A55)+$B$3))),IF($EC$13="",INDEX(bhpc_data[description],SMALL(IF(ISNUMBER(MATCH(bhpc_data[category],$EC$9,0)*MATCH(bhpc_data[sex],$EC$11,0)),MATCH(ROW(bhpc_data[sku]),ROW(bhpc_data[sku])),""),ROWS($A$15:A55)+$B$3)),INDEX(bhpc_data[description],SMALL(IF(ISNUMBER(MATCH(bhpc_data[category],$EC$9,0)*MATCH(bhpc_data[sex],$EC$11,0)*MATCH(bhpc_data[size],$EC$13,0)),MATCH(ROW(bhpc_data[sku]),ROW(bhpc_data[sku])),""),ROWS($A$15:A55)+$B$3))))),"")</f>
        <v>BHPC TESTERS TROPHY 100ML EDP MEN</v>
      </c>
      <c r="EG50" s="447">
        <f>IFERROR(IF('BHPC MANAGER'!$EE50="","",INDEX(inventory[ESISTENZA],MATCH('BHPC MANAGER'!$EE50,inventory[SKU],0))),0)</f>
        <v>0</v>
      </c>
      <c r="EH50" s="448">
        <v>0</v>
      </c>
      <c r="EI50" s="448">
        <f t="shared" si="1"/>
        <v>0</v>
      </c>
      <c r="EJ50" s="449">
        <v>0</v>
      </c>
      <c r="EK50" s="450">
        <f t="shared" si="2"/>
        <v>0</v>
      </c>
      <c r="EO50" s="215" t="str">
        <f t="array" ref="EO50">IFERROR(INDEX(orderHistory[order_no],SMALL(IF(ISNUMBER(MATCH(orderHistory[status],$EO$7,0)),MATCH(ROW(orderHistory[order_no]),ROW(orderHistory[order_no])),""),ROWS($A$15:A55))),"")</f>
        <v/>
      </c>
    </row>
    <row r="51" spans="10:145" ht="15" customHeight="1" x14ac:dyDescent="0.35">
      <c r="J51" s="264"/>
      <c r="K51" s="264"/>
      <c r="L51" s="381" t="str">
        <f t="array" ref="L51">IFERROR(IF($D$9="",IF($D$11="",IF($D$13="",IF($D$15="",INDEX(orderHistory[customer],SMALL(MATCH(ROW(orderHistory[customer]),ROW(orderHistory[customer])),ROWS($A$15:A56)+$B$3)),INDEX(orderHistory[customer],SMALL(IF(ISNUMBER(MATCH(YEAR(orderHistory[invoice_date]),$D$15,0)),MATCH(ROW(orderHistory[customer]),ROW(orderHistory[customer])),""),ROWS($A$15:A56)+$B$3))),IF($D$15="",INDEX(orderHistory[customer],SMALL(IF(ISNUMBER(MATCH(orderHistory[order_type],$D$13,0)),MATCH(ROW(orderHistory[customer]),ROW(orderHistory[customer])),""),ROWS($A$15:A56)+$B$3)),INDEX(orderHistory[customer],SMALL(IF(ISNUMBER(MATCH(orderHistory[order_type],$D$13,0)*MATCH(YEAR(orderHistory[invoice_date]),$D$15,0)),MATCH(ROW(orderHistory[customer]),ROW(orderHistory[customer])),""),ROWS($A$15:A56)+$B$3)))),IF($D$13="",IF($D$15="",INDEX(orderHistory[customer],SMALL(IF(ISNUMBER(MATCH(orderHistory[status],$D$11,0)),MATCH(ROW(orderHistory[customer]),ROW(orderHistory[customer])),""),ROWS($A$15:A56)+$B$3)),INDEX(orderHistory[customer],SMALL(IF(ISNUMBER(MATCH(orderHistory[status],$D$11,0)*MATCH(YEAR(orderHistory[invoice_date]),$D$15,0)),MATCH(ROW(orderHistory[customer]),ROW(orderHistory[customer])),""),ROWS($A$15:A56)+$B$3))),IF($D$15="",INDEX(orderHistory[customer],SMALL(IF(ISNUMBER(MATCH(orderHistory[status],$D$11,0)*MATCH(orderHistory[order_type],$D$13,0)),MATCH(ROW(orderHistory[customer]),ROW(orderHistory[customer])),""),ROWS($A$15:A56)+$B$3)),INDEX(orderHistory[customer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customer],SMALL(IF(ISNUMBER(MATCH(orderHistory[customer],$D$9,0)),MATCH(ROW(orderHistory[customer]),ROW(orderHistory[customer])),""),ROWS($A$15:A56)+$B$3)),INDEX(orderHistory[customer],SMALL(IF(ISNUMBER(MATCH(orderHistory[customer],$D$9,0)*MATCH(YEAR(orderHistory[invoice_date]),$D$15,0)),MATCH(ROW(orderHistory[customer]),ROW(orderHistory[customer])),""),ROWS($A$15:A56)+$B$3))),IF($D$15="",INDEX(orderHistory[customer],SMALL(IF(ISNUMBER(MATCH(orderHistory[customer],$D$9,0)*MATCH(orderHistory[order_type],$D$13,0)),MATCH(ROW(orderHistory[customer]),ROW(orderHistory[customer])),""),ROWS($A$15:A56)+$B$3)),INDEX(orderHistory[customer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customer],SMALL(IF(ISNUMBER(MATCH(orderHistory[customer],$D$9,0)*MATCH(orderHistory[status],$D$11,0)),MATCH(ROW(orderHistory[customer]),ROW(orderHistory[customer])),""),ROWS($A$15:A56)+$B$3)),INDEX(orderHistory[customer],SMALL(IF(ISNUMBER(MATCH(orderHistory[customer],$D$9,0)*MATCH(orderHistory[status],$D$11,0)*MATCH(YEAR(orderHistory[invoice_date]),$D$15,0)),MATCH(ROW(orderHistory[customer]),ROW(orderHistory[customer])),""),ROWS($A$15:A56)+$B$3))),IF($D$15="",INDEX(orderHistory[customer],SMALL(IF(ISNUMBER(MATCH(orderHistory[customer],$D$9,0)*MATCH(orderHistory[status],$D$11,0)*MATCH(orderHistory[order_type],$D$13,0)),MATCH(ROW(orderHistory[customer]),ROW(orderHistory[customer])),""),ROWS($A$15:A56)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PER SCENT</v>
      </c>
      <c r="M51" s="382">
        <f t="array" ref="M51">IFERROR(IF($D$9="",IF($D$11="",IF($D$13="",IF($D$15="",INDEX(orderHistory[order_no],SMALL(MATCH(ROW(orderHistory[customer]),ROW(orderHistory[customer])),ROWS($A$15:A56)+$B$3)),INDEX(orderHistory[order_no],SMALL(IF(ISNUMBER(MATCH(YEAR(orderHistory[invoice_date]),$D$15,0)),MATCH(ROW(orderHistory[customer]),ROW(orderHistory[customer])),""),ROWS($A$15:A56)+$B$3))),IF($D$15="",INDEX(orderHistory[order_no],SMALL(IF(ISNUMBER(MATCH(orderHistory[order_type],$D$13,0)),MATCH(ROW(orderHistory[customer]),ROW(orderHistory[customer])),""),ROWS($A$15:A56)+$B$3)),INDEX(orderHistory[order_no],SMALL(IF(ISNUMBER(MATCH(orderHistory[order_type],$D$13,0)*MATCH(YEAR(orderHistory[invoice_date]),$D$15,0)),MATCH(ROW(orderHistory[customer]),ROW(orderHistory[customer])),""),ROWS($A$15:A56)+$B$3)))),IF($D$13="",IF($D$15="",INDEX(orderHistory[order_no],SMALL(IF(ISNUMBER(MATCH(orderHistory[status],$D$11,0)),MATCH(ROW(orderHistory[customer]),ROW(orderHistory[customer])),""),ROWS($A$15:A56)+$B$3)),INDEX(orderHistory[order_no],SMALL(IF(ISNUMBER(MATCH(orderHistory[status],$D$11,0)*MATCH(YEAR(orderHistory[invoice_date]),$D$15,0)),MATCH(ROW(orderHistory[customer]),ROW(orderHistory[customer])),""),ROWS($A$15:A56)+$B$3))),IF($D$15="",INDEX(orderHistory[order_no],SMALL(IF(ISNUMBER(MATCH(orderHistory[status],$D$11,0)*MATCH(orderHistory[order_type],$D$13,0)),MATCH(ROW(orderHistory[customer]),ROW(orderHistory[customer])),""),ROWS($A$15:A56)+$B$3)),INDEX(orderHistory[order_no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order_no],SMALL(IF(ISNUMBER(MATCH(orderHistory[customer],$D$9,0)),MATCH(ROW(orderHistory[customer]),ROW(orderHistory[customer])),""),ROWS($A$15:A56)+$B$3)),INDEX(orderHistory[order_no],SMALL(IF(ISNUMBER(MATCH(orderHistory[customer],$D$9,0)*MATCH(YEAR(orderHistory[invoice_date]),$D$15,0)),MATCH(ROW(orderHistory[customer]),ROW(orderHistory[customer])),""),ROWS($A$15:A56)+$B$3))),IF($D$15="",INDEX(orderHistory[order_no],SMALL(IF(ISNUMBER(MATCH(orderHistory[customer],$D$9,0)*MATCH(orderHistory[order_type],$D$13,0)),MATCH(ROW(orderHistory[customer]),ROW(orderHistory[customer])),""),ROWS($A$15:A56)+$B$3)),INDEX(orderHistory[order_no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order_no],SMALL(IF(ISNUMBER(MATCH(orderHistory[customer],$D$9,0)*MATCH(orderHistory[status],$D$11,0)),MATCH(ROW(orderHistory[customer]),ROW(orderHistory[customer])),""),ROWS($A$15:A56)+$B$3)),INDEX(orderHistory[order_no],SMALL(IF(ISNUMBER(MATCH(orderHistory[customer],$D$9,0)*MATCH(orderHistory[status],$D$11,0)*MATCH(YEAR(orderHistory[invoice_date]),$D$15,0)),MATCH(ROW(orderHistory[customer]),ROW(orderHistory[customer])),""),ROWS($A$15:A56)+$B$3))),IF($D$15="",INDEX(orderHistory[order_no],SMALL(IF(ISNUMBER(MATCH(orderHistory[customer],$D$9,0)*MATCH(orderHistory[status],$D$11,0)*MATCH(orderHistory[order_type],$D$13,0)),MATCH(ROW(orderHistory[customer]),ROW(orderHistory[customer])),""),ROWS($A$15:A56)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6</v>
      </c>
      <c r="N51" s="383" t="str">
        <f t="array" ref="N51">IFERROR(IF($D$9="",IF($D$11="",IF($D$13="",IF($D$15="",INDEX(orderHistory[order_type],SMALL(MATCH(ROW(orderHistory[customer]),ROW(orderHistory[customer])),ROWS($A$15:A56)+$B$3)),INDEX(orderHistory[order_type],SMALL(IF(ISNUMBER(MATCH(YEAR(orderHistory[invoice_date]),$D$15,0)),MATCH(ROW(orderHistory[customer]),ROW(orderHistory[customer])),""),ROWS($A$15:A56)+$B$3))),IF($D$15="",INDEX(orderHistory[order_type],SMALL(IF(ISNUMBER(MATCH(orderHistory[order_type],$D$13,0)),MATCH(ROW(orderHistory[customer]),ROW(orderHistory[customer])),""),ROWS($A$15:A56)+$B$3)),INDEX(orderHistory[order_type],SMALL(IF(ISNUMBER(MATCH(orderHistory[order_type],$D$13,0)*MATCH(YEAR(orderHistory[invoice_date]),$D$15,0)),MATCH(ROW(orderHistory[customer]),ROW(orderHistory[customer])),""),ROWS($A$15:A56)+$B$3)))),IF($D$13="",IF($D$15="",INDEX(orderHistory[order_type],SMALL(IF(ISNUMBER(MATCH(orderHistory[status],$D$11,0)),MATCH(ROW(orderHistory[customer]),ROW(orderHistory[customer])),""),ROWS($A$15:A56)+$B$3)),INDEX(orderHistory[order_type],SMALL(IF(ISNUMBER(MATCH(orderHistory[status],$D$11,0)*MATCH(YEAR(orderHistory[invoice_date]),$D$15,0)),MATCH(ROW(orderHistory[customer]),ROW(orderHistory[customer])),""),ROWS($A$15:A56)+$B$3))),IF($D$15="",INDEX(orderHistory[order_type],SMALL(IF(ISNUMBER(MATCH(orderHistory[status],$D$11,0)*MATCH(orderHistory[order_type],$D$13,0)),MATCH(ROW(orderHistory[customer]),ROW(orderHistory[customer])),""),ROWS($A$15:A56)+$B$3)),INDEX(orderHistory[order_type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order_type],SMALL(IF(ISNUMBER(MATCH(orderHistory[customer],$D$9,0)),MATCH(ROW(orderHistory[customer]),ROW(orderHistory[customer])),""),ROWS($A$15:A56)+$B$3)),INDEX(orderHistory[order_type],SMALL(IF(ISNUMBER(MATCH(orderHistory[customer],$D$9,0)*MATCH(YEAR(orderHistory[invoice_date]),$D$15,0)),MATCH(ROW(orderHistory[customer]),ROW(orderHistory[customer])),""),ROWS($A$15:A56)+$B$3))),IF($D$15="",INDEX(orderHistory[order_type],SMALL(IF(ISNUMBER(MATCH(orderHistory[customer],$D$9,0)*MATCH(orderHistory[order_type],$D$13,0)),MATCH(ROW(orderHistory[customer]),ROW(orderHistory[customer])),""),ROWS($A$15:A56)+$B$3)),INDEX(orderHistory[order_type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order_type],SMALL(IF(ISNUMBER(MATCH(orderHistory[customer],$D$9,0)*MATCH(orderHistory[status],$D$11,0)),MATCH(ROW(orderHistory[customer]),ROW(orderHistory[customer])),""),ROWS($A$15:A56)+$B$3)),INDEX(orderHistory[order_type],SMALL(IF(ISNUMBER(MATCH(orderHistory[customer],$D$9,0)*MATCH(orderHistory[status],$D$11,0)*MATCH(YEAR(orderHistory[invoice_date]),$D$15,0)),MATCH(ROW(orderHistory[customer]),ROW(orderHistory[customer])),""),ROWS($A$15:A56)+$B$3))),IF($D$15="",INDEX(orderHistory[order_type],SMALL(IF(ISNUMBER(MATCH(orderHistory[customer],$D$9,0)*MATCH(orderHistory[status],$D$11,0)*MATCH(orderHistory[order_type],$D$13,0)),MATCH(ROW(orderHistory[customer]),ROW(orderHistory[customer])),""),ROWS($A$15:A56)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SALE</v>
      </c>
      <c r="O51" s="384">
        <f t="array" ref="O51">IFERROR(IF($D$9="",IF($D$11="",IF($D$13="",IF($D$15="",INDEX(orderHistory[order_date],SMALL(MATCH(ROW(orderHistory[customer]),ROW(orderHistory[customer])),ROWS($A$15:A56)+$B$3)),INDEX(orderHistory[order_date],SMALL(IF(ISNUMBER(MATCH(YEAR(orderHistory[invoice_date]),$D$15,0)),MATCH(ROW(orderHistory[customer]),ROW(orderHistory[customer])),""),ROWS($A$15:A56)+$B$3))),IF($D$15="",INDEX(orderHistory[order_date],SMALL(IF(ISNUMBER(MATCH(orderHistory[order_type],$D$13,0)),MATCH(ROW(orderHistory[customer]),ROW(orderHistory[customer])),""),ROWS($A$15:A56)+$B$3)),INDEX(orderHistory[order_date],SMALL(IF(ISNUMBER(MATCH(orderHistory[order_type],$D$13,0)*MATCH(YEAR(orderHistory[invoice_date]),$D$15,0)),MATCH(ROW(orderHistory[customer]),ROW(orderHistory[customer])),""),ROWS($A$15:A56)+$B$3)))),IF($D$13="",IF($D$15="",INDEX(orderHistory[order_date],SMALL(IF(ISNUMBER(MATCH(orderHistory[status],$D$11,0)),MATCH(ROW(orderHistory[customer]),ROW(orderHistory[customer])),""),ROWS($A$15:A56)+$B$3)),INDEX(orderHistory[order_date],SMALL(IF(ISNUMBER(MATCH(orderHistory[status],$D$11,0)*MATCH(YEAR(orderHistory[invoice_date]),$D$15,0)),MATCH(ROW(orderHistory[customer]),ROW(orderHistory[customer])),""),ROWS($A$15:A56)+$B$3))),IF($D$15="",INDEX(orderHistory[order_date],SMALL(IF(ISNUMBER(MATCH(orderHistory[status],$D$11,0)*MATCH(orderHistory[order_type],$D$13,0)),MATCH(ROW(orderHistory[customer]),ROW(orderHistory[customer])),""),ROWS($A$15:A56)+$B$3)),INDEX(orderHistory[order_date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order_date],SMALL(IF(ISNUMBER(MATCH(orderHistory[customer],$D$9,0)),MATCH(ROW(orderHistory[customer]),ROW(orderHistory[customer])),""),ROWS($A$15:A56)+$B$3)),INDEX(orderHistory[order_date],SMALL(IF(ISNUMBER(MATCH(orderHistory[customer],$D$9,0)*MATCH(YEAR(orderHistory[invoice_date]),$D$15,0)),MATCH(ROW(orderHistory[customer]),ROW(orderHistory[customer])),""),ROWS($A$15:A56)+$B$3))),IF($D$15="",INDEX(orderHistory[order_date],SMALL(IF(ISNUMBER(MATCH(orderHistory[customer],$D$9,0)*MATCH(orderHistory[order_type],$D$13,0)),MATCH(ROW(orderHistory[customer]),ROW(orderHistory[customer])),""),ROWS($A$15:A56)+$B$3)),INDEX(orderHistory[order_date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order_date],SMALL(IF(ISNUMBER(MATCH(orderHistory[customer],$D$9,0)*MATCH(orderHistory[status],$D$11,0)),MATCH(ROW(orderHistory[customer]),ROW(orderHistory[customer])),""),ROWS($A$15:A56)+$B$3)),INDEX(orderHistory[order_date],SMALL(IF(ISNUMBER(MATCH(orderHistory[customer],$D$9,0)*MATCH(orderHistory[status],$D$11,0)*MATCH(YEAR(orderHistory[invoice_date]),$D$15,0)),MATCH(ROW(orderHistory[customer]),ROW(orderHistory[customer])),""),ROWS($A$15:A56)+$B$3))),IF($D$15="",INDEX(orderHistory[order_date],SMALL(IF(ISNUMBER(MATCH(orderHistory[customer],$D$9,0)*MATCH(orderHistory[status],$D$11,0)*MATCH(orderHistory[order_type],$D$13,0)),MATCH(ROW(orderHistory[customer]),ROW(orderHistory[customer])),""),ROWS($A$15:A56)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45342</v>
      </c>
      <c r="P51" s="385" t="str">
        <f t="array" ref="P51">IFERROR(IF($D$9="",IF($D$11="",IF($D$13="",IF($D$15="",INDEX(orderHistory[invoice_no],SMALL(MATCH(ROW(orderHistory[customer]),ROW(orderHistory[customer])),ROWS($A$15:A56)+$B$3)),INDEX(orderHistory[invoice_no],SMALL(IF(ISNUMBER(MATCH(YEAR(orderHistory[invoice_date]),$D$15,0)),MATCH(ROW(orderHistory[customer]),ROW(orderHistory[customer])),""),ROWS($A$15:A56)+$B$3))),IF($D$15="",INDEX(orderHistory[invoice_no],SMALL(IF(ISNUMBER(MATCH(orderHistory[order_type],$D$13,0)),MATCH(ROW(orderHistory[customer]),ROW(orderHistory[customer])),""),ROWS($A$15:A56)+$B$3)),INDEX(orderHistory[invoice_no],SMALL(IF(ISNUMBER(MATCH(orderHistory[order_type],$D$13,0)*MATCH(YEAR(orderHistory[invoice_date]),$D$15,0)),MATCH(ROW(orderHistory[customer]),ROW(orderHistory[customer])),""),ROWS($A$15:A56)+$B$3)))),IF($D$13="",IF($D$15="",INDEX(orderHistory[invoice_no],SMALL(IF(ISNUMBER(MATCH(orderHistory[status],$D$11,0)),MATCH(ROW(orderHistory[customer]),ROW(orderHistory[customer])),""),ROWS($A$15:A56)+$B$3)),INDEX(orderHistory[invoice_no],SMALL(IF(ISNUMBER(MATCH(orderHistory[status],$D$11,0)*MATCH(YEAR(orderHistory[invoice_date]),$D$15,0)),MATCH(ROW(orderHistory[customer]),ROW(orderHistory[customer])),""),ROWS($A$15:A56)+$B$3))),IF($D$15="",INDEX(orderHistory[invoice_no],SMALL(IF(ISNUMBER(MATCH(orderHistory[status],$D$11,0)*MATCH(orderHistory[order_type],$D$13,0)),MATCH(ROW(orderHistory[customer]),ROW(orderHistory[customer])),""),ROWS($A$15:A56)+$B$3)),INDEX(orderHistory[invoice_no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invoice_no],SMALL(IF(ISNUMBER(MATCH(orderHistory[customer],$D$9,0)),MATCH(ROW(orderHistory[customer]),ROW(orderHistory[customer])),""),ROWS($A$15:A56)+$B$3)),INDEX(orderHistory[invoice_no],SMALL(IF(ISNUMBER(MATCH(orderHistory[customer],$D$9,0)*MATCH(YEAR(orderHistory[invoice_date]),$D$15,0)),MATCH(ROW(orderHistory[customer]),ROW(orderHistory[customer])),""),ROWS($A$15:A56)+$B$3))),IF($D$15="",INDEX(orderHistory[invoice_no],SMALL(IF(ISNUMBER(MATCH(orderHistory[customer],$D$9,0)*MATCH(orderHistory[order_type],$D$13,0)),MATCH(ROW(orderHistory[customer]),ROW(orderHistory[customer])),""),ROWS($A$15:A56)+$B$3)),INDEX(orderHistory[invoice_no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invoice_no],SMALL(IF(ISNUMBER(MATCH(orderHistory[customer],$D$9,0)*MATCH(orderHistory[status],$D$11,0)),MATCH(ROW(orderHistory[customer]),ROW(orderHistory[customer])),""),ROWS($A$15:A56)+$B$3)),INDEX(orderHistory[invoice_no],SMALL(IF(ISNUMBER(MATCH(orderHistory[customer],$D$9,0)*MATCH(orderHistory[status],$D$11,0)*MATCH(YEAR(orderHistory[invoice_date]),$D$15,0)),MATCH(ROW(orderHistory[customer]),ROW(orderHistory[customer])),""),ROWS($A$15:A56)+$B$3))),IF($D$15="",INDEX(orderHistory[invoice_no],SMALL(IF(ISNUMBER(MATCH(orderHistory[customer],$D$9,0)*MATCH(orderHistory[status],$D$11,0)*MATCH(orderHistory[order_type],$D$13,0)),MATCH(ROW(orderHistory[customer]),ROW(orderHistory[customer])),""),ROWS($A$15:A56)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46</v>
      </c>
      <c r="Q51" s="386">
        <f t="array" ref="Q51">IFERROR(IF($D$9="",IF($D$11="",IF($D$13="",IF($D$15="",INDEX(orderHistory[invoice_date],SMALL(MATCH(ROW(orderHistory[customer]),ROW(orderHistory[customer])),ROWS($A$15:A56)+$B$3)),INDEX(orderHistory[invoice_date],SMALL(IF(ISNUMBER(MATCH(YEAR(orderHistory[invoice_date]),$D$15,0)),MATCH(ROW(orderHistory[customer]),ROW(orderHistory[customer])),""),ROWS($A$15:A56)+$B$3))),IF($D$15="",INDEX(orderHistory[invoice_date],SMALL(IF(ISNUMBER(MATCH(orderHistory[order_type],$D$13,0)),MATCH(ROW(orderHistory[customer]),ROW(orderHistory[customer])),""),ROWS($A$15:A56)+$B$3)),INDEX(orderHistory[invoice_date],SMALL(IF(ISNUMBER(MATCH(orderHistory[order_type],$D$13,0)*MATCH(YEAR(orderHistory[invoice_date]),$D$15,0)),MATCH(ROW(orderHistory[customer]),ROW(orderHistory[customer])),""),ROWS($A$15:A56)+$B$3)))),IF($D$13="",IF($D$15="",INDEX(orderHistory[invoice_date],SMALL(IF(ISNUMBER(MATCH(orderHistory[status],$D$11,0)),MATCH(ROW(orderHistory[customer]),ROW(orderHistory[customer])),""),ROWS($A$15:A56)+$B$3)),INDEX(orderHistory[invoice_date],SMALL(IF(ISNUMBER(MATCH(orderHistory[status],$D$11,0)*MATCH(YEAR(orderHistory[invoice_date]),$D$15,0)),MATCH(ROW(orderHistory[customer]),ROW(orderHistory[customer])),""),ROWS($A$15:A56)+$B$3))),IF($D$15="",INDEX(orderHistory[invoice_date],SMALL(IF(ISNUMBER(MATCH(orderHistory[status],$D$11,0)*MATCH(orderHistory[order_type],$D$13,0)),MATCH(ROW(orderHistory[customer]),ROW(orderHistory[customer])),""),ROWS($A$15:A56)+$B$3)),INDEX(orderHistory[invoice_date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invoice_date],SMALL(IF(ISNUMBER(MATCH(orderHistory[customer],$D$9,0)),MATCH(ROW(orderHistory[customer]),ROW(orderHistory[customer])),""),ROWS($A$15:A56)+$B$3)),INDEX(orderHistory[invoice_date],SMALL(IF(ISNUMBER(MATCH(orderHistory[customer],$D$9,0)*MATCH(YEAR(orderHistory[invoice_date]),$D$15,0)),MATCH(ROW(orderHistory[customer]),ROW(orderHistory[customer])),""),ROWS($A$15:A56)+$B$3))),IF($D$15="",INDEX(orderHistory[invoice_date],SMALL(IF(ISNUMBER(MATCH(orderHistory[customer],$D$9,0)*MATCH(orderHistory[order_type],$D$13,0)),MATCH(ROW(orderHistory[customer]),ROW(orderHistory[customer])),""),ROWS($A$15:A56)+$B$3)),INDEX(orderHistory[invoice_date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invoice_date],SMALL(IF(ISNUMBER(MATCH(orderHistory[customer],$D$9,0)*MATCH(orderHistory[status],$D$11,0)),MATCH(ROW(orderHistory[customer]),ROW(orderHistory[customer])),""),ROWS($A$15:A56)+$B$3)),INDEX(orderHistory[invoice_date],SMALL(IF(ISNUMBER(MATCH(orderHistory[customer],$D$9,0)*MATCH(orderHistory[status],$D$11,0)*MATCH(YEAR(orderHistory[invoice_date]),$D$15,0)),MATCH(ROW(orderHistory[customer]),ROW(orderHistory[customer])),""),ROWS($A$15:A56)+$B$3))),IF($D$15="",INDEX(orderHistory[invoice_date],SMALL(IF(ISNUMBER(MATCH(orderHistory[customer],$D$9,0)*MATCH(orderHistory[status],$D$11,0)*MATCH(orderHistory[order_type],$D$13,0)),MATCH(ROW(orderHistory[customer]),ROW(orderHistory[customer])),""),ROWS($A$15:A56)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45342</v>
      </c>
      <c r="R51" s="387">
        <f t="array" ref="R51">IFERROR(IF($D$9="",IF($D$11="",IF($D$13="",IF($D$15="",INDEX(orderHistory[inv_amount],SMALL(MATCH(ROW(orderHistory[customer]),ROW(orderHistory[customer])),ROWS($A$15:A56)+$B$3)),INDEX(orderHistory[inv_amount],SMALL(IF(ISNUMBER(MATCH(YEAR(orderHistory[invoice_date]),$D$15,0)),MATCH(ROW(orderHistory[customer]),ROW(orderHistory[customer])),""),ROWS($A$15:A56)+$B$3))),IF($D$15="",INDEX(orderHistory[inv_amount],SMALL(IF(ISNUMBER(MATCH(orderHistory[order_type],$D$13,0)),MATCH(ROW(orderHistory[customer]),ROW(orderHistory[customer])),""),ROWS($A$15:A56)+$B$3)),INDEX(orderHistory[inv_amount],SMALL(IF(ISNUMBER(MATCH(orderHistory[order_type],$D$13,0)*MATCH(YEAR(orderHistory[invoice_date]),$D$15,0)),MATCH(ROW(orderHistory[customer]),ROW(orderHistory[customer])),""),ROWS($A$15:A56)+$B$3)))),IF($D$13="",IF($D$15="",INDEX(orderHistory[inv_amount],SMALL(IF(ISNUMBER(MATCH(orderHistory[status],$D$11,0)),MATCH(ROW(orderHistory[customer]),ROW(orderHistory[customer])),""),ROWS($A$15:A56)+$B$3)),INDEX(orderHistory[inv_amount],SMALL(IF(ISNUMBER(MATCH(orderHistory[status],$D$11,0)*MATCH(YEAR(orderHistory[invoice_date]),$D$15,0)),MATCH(ROW(orderHistory[customer]),ROW(orderHistory[customer])),""),ROWS($A$15:A56)+$B$3))),IF($D$15="",INDEX(orderHistory[inv_amount],SMALL(IF(ISNUMBER(MATCH(orderHistory[status],$D$11,0)*MATCH(orderHistory[order_type],$D$13,0)),MATCH(ROW(orderHistory[customer]),ROW(orderHistory[customer])),""),ROWS($A$15:A56)+$B$3)),INDEX(orderHistory[inv_amount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inv_amount],SMALL(IF(ISNUMBER(MATCH(orderHistory[customer],$D$9,0)),MATCH(ROW(orderHistory[customer]),ROW(orderHistory[customer])),""),ROWS($A$15:A56)+$B$3)),INDEX(orderHistory[inv_amount],SMALL(IF(ISNUMBER(MATCH(orderHistory[customer],$D$9,0)*MATCH(YEAR(orderHistory[invoice_date]),$D$15,0)),MATCH(ROW(orderHistory[customer]),ROW(orderHistory[customer])),""),ROWS($A$15:A56)+$B$3))),IF($D$15="",INDEX(orderHistory[inv_amount],SMALL(IF(ISNUMBER(MATCH(orderHistory[customer],$D$9,0)*MATCH(orderHistory[order_type],$D$13,0)),MATCH(ROW(orderHistory[customer]),ROW(orderHistory[customer])),""),ROWS($A$15:A56)+$B$3)),INDEX(orderHistory[inv_amount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inv_amount],SMALL(IF(ISNUMBER(MATCH(orderHistory[customer],$D$9,0)*MATCH(orderHistory[status],$D$11,0)),MATCH(ROW(orderHistory[customer]),ROW(orderHistory[customer])),""),ROWS($A$15:A56)+$B$3)),INDEX(orderHistory[inv_amount],SMALL(IF(ISNUMBER(MATCH(orderHistory[customer],$D$9,0)*MATCH(orderHistory[status],$D$11,0)*MATCH(YEAR(orderHistory[inv_amount]),$D$15,0)),MATCH(ROW(orderHistory[customer]),ROW(orderHistory[customer])),""),ROWS($A$15:A56)+$B$3))),IF($D$15="",INDEX(orderHistory[inv_amount],SMALL(IF(ISNUMBER(MATCH(orderHistory[customer],$D$9,0)*MATCH(orderHistory[status],$D$11,0)*MATCH(orderHistory[order_type],$D$13,0)),MATCH(ROW(orderHistory[customer]),ROW(orderHistory[customer])),""),ROWS($A$15:A56)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13868.78</v>
      </c>
      <c r="S51" s="465" t="str">
        <f t="array" ref="S51">IFERROR(IF($D$9="",IF($D$11="",IF($D$13="",IF($D$15="",INDEX(orderHistory[lock_goods],SMALL(MATCH(ROW(orderHistory[customer]),ROW(orderHistory[customer])),ROWS($A$15:A56)+$B$3)),INDEX(orderHistory[lock_goods],SMALL(IF(ISNUMBER(MATCH(YEAR(orderHistory[invoice_date]),$D$15,0)),MATCH(ROW(orderHistory[customer]),ROW(orderHistory[customer])),""),ROWS($A$15:A56)+$B$3))),IF($D$15="",INDEX(orderHistory[lock_goods],SMALL(IF(ISNUMBER(MATCH(orderHistory[order_type],$D$13,0)),MATCH(ROW(orderHistory[customer]),ROW(orderHistory[customer])),""),ROWS($A$15:A56)+$B$3)),INDEX(orderHistory[lock_goods],SMALL(IF(ISNUMBER(MATCH(orderHistory[order_type],$D$13,0)*MATCH(YEAR(orderHistory[invoice_date]),$D$15,0)),MATCH(ROW(orderHistory[customer]),ROW(orderHistory[customer])),""),ROWS($A$15:A56)+$B$3)))),IF($D$13="",IF($D$15="",INDEX(orderHistory[lock_goods],SMALL(IF(ISNUMBER(MATCH(orderHistory[status],$D$11,0)),MATCH(ROW(orderHistory[customer]),ROW(orderHistory[customer])),""),ROWS($A$15:A56)+$B$3)),INDEX(orderHistory[lock_goods],SMALL(IF(ISNUMBER(MATCH(orderHistory[status],$D$11,0)*MATCH(YEAR(orderHistory[invoice_date]),$D$15,0)),MATCH(ROW(orderHistory[customer]),ROW(orderHistory[customer])),""),ROWS($A$15:A56)+$B$3))),IF($D$15="",INDEX(orderHistory[lock_goods],SMALL(IF(ISNUMBER(MATCH(orderHistory[status],$D$11,0)*MATCH(orderHistory[order_type],$D$13,0)),MATCH(ROW(orderHistory[customer]),ROW(orderHistory[customer])),""),ROWS($A$15:A56)+$B$3)),INDEX(orderHistory[lock_goods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lock_goods],SMALL(IF(ISNUMBER(MATCH(orderHistory[customer],$D$9,0)),MATCH(ROW(orderHistory[customer]),ROW(orderHistory[customer])),""),ROWS($A$15:A56)+$B$3)),INDEX(orderHistory[lock_goods],SMALL(IF(ISNUMBER(MATCH(orderHistory[customer],$D$9,0)*MATCH(YEAR(orderHistory[invoice_date]),$D$15,0)),MATCH(ROW(orderHistory[customer]),ROW(orderHistory[customer])),""),ROWS($A$15:A56)+$B$3))),IF($D$15="",INDEX(orderHistory[lock_goods],SMALL(IF(ISNUMBER(MATCH(orderHistory[customer],$D$9,0)*MATCH(orderHistory[order_type],$D$13,0)),MATCH(ROW(orderHistory[customer]),ROW(orderHistory[customer])),""),ROWS($A$15:A56)+$B$3)),INDEX(orderHistory[lock_goods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lock_goods],SMALL(IF(ISNUMBER(MATCH(orderHistory[customer],$D$9,0)*MATCH(orderHistory[status],$D$11,0)),MATCH(ROW(orderHistory[customer]),ROW(orderHistory[customer])),""),ROWS($A$15:A56)+$B$3)),INDEX(orderHistory[lock_goods],SMALL(IF(ISNUMBER(MATCH(orderHistory[customer],$D$9,0)*MATCH(orderHistory[status],$D$11,0)*MATCH(YEAR(orderHistory[payed]),$D$15,0)),MATCH(ROW(orderHistory[customer]),ROW(orderHistory[customer])),""),ROWS($A$15:A56)+$B$3))),IF($D$15="",INDEX(orderHistory[lock_goods],SMALL(IF(ISNUMBER(MATCH(orderHistory[customer],$D$9,0)*MATCH(orderHistory[status],$D$11,0)*MATCH(orderHistory[order_type],$D$13,0)),MATCH(ROW(orderHistory[customer]),ROW(orderHistory[customer])),""),ROWS($A$15:A56)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GOODS SENT</v>
      </c>
      <c r="T51" s="388" t="b">
        <f t="array" ref="T51">IFERROR(IF($D$9="",IF($D$11="",IF($D$13="",IF($D$15="",INDEX(orderHistory[payed],SMALL(MATCH(ROW(orderHistory[customer]),ROW(orderHistory[customer])),ROWS($A$15:A56)+$B$3)),INDEX(orderHistory[payed],SMALL(IF(ISNUMBER(MATCH(YEAR(orderHistory[invoice_date]),$D$15,0)),MATCH(ROW(orderHistory[customer]),ROW(orderHistory[customer])),""),ROWS($A$15:A56)+$B$3))),IF($D$15="",INDEX(orderHistory[payed],SMALL(IF(ISNUMBER(MATCH(orderHistory[order_type],$D$13,0)),MATCH(ROW(orderHistory[customer]),ROW(orderHistory[customer])),""),ROWS($A$15:A56)+$B$3)),INDEX(orderHistory[payed],SMALL(IF(ISNUMBER(MATCH(orderHistory[order_type],$D$13,0)*MATCH(YEAR(orderHistory[invoice_date]),$D$15,0)),MATCH(ROW(orderHistory[customer]),ROW(orderHistory[customer])),""),ROWS($A$15:A56)+$B$3)))),IF($D$13="",IF($D$15="",INDEX(orderHistory[payed],SMALL(IF(ISNUMBER(MATCH(orderHistory[status],$D$11,0)),MATCH(ROW(orderHistory[customer]),ROW(orderHistory[customer])),""),ROWS($A$15:A56)+$B$3)),INDEX(orderHistory[payed],SMALL(IF(ISNUMBER(MATCH(orderHistory[status],$D$11,0)*MATCH(YEAR(orderHistory[invoice_date]),$D$15,0)),MATCH(ROW(orderHistory[customer]),ROW(orderHistory[customer])),""),ROWS($A$15:A56)+$B$3))),IF($D$15="",INDEX(orderHistory[payed],SMALL(IF(ISNUMBER(MATCH(orderHistory[status],$D$11,0)*MATCH(orderHistory[order_type],$D$13,0)),MATCH(ROW(orderHistory[customer]),ROW(orderHistory[customer])),""),ROWS($A$15:A56)+$B$3)),INDEX(orderHistory[payed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payed],SMALL(IF(ISNUMBER(MATCH(orderHistory[customer],$D$9,0)),MATCH(ROW(orderHistory[customer]),ROW(orderHistory[customer])),""),ROWS($A$15:A56)+$B$3)),INDEX(orderHistory[payed],SMALL(IF(ISNUMBER(MATCH(orderHistory[customer],$D$9,0)*MATCH(YEAR(orderHistory[invoice_date]),$D$15,0)),MATCH(ROW(orderHistory[customer]),ROW(orderHistory[customer])),""),ROWS($A$15:A56)+$B$3))),IF($D$15="",INDEX(orderHistory[payed],SMALL(IF(ISNUMBER(MATCH(orderHistory[customer],$D$9,0)*MATCH(orderHistory[order_type],$D$13,0)),MATCH(ROW(orderHistory[customer]),ROW(orderHistory[customer])),""),ROWS($A$15:A56)+$B$3)),INDEX(orderHistory[payed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payed],SMALL(IF(ISNUMBER(MATCH(orderHistory[customer],$D$9,0)*MATCH(orderHistory[status],$D$11,0)),MATCH(ROW(orderHistory[customer]),ROW(orderHistory[customer])),""),ROWS($A$15:A56)+$B$3)),INDEX(orderHistory[payed],SMALL(IF(ISNUMBER(MATCH(orderHistory[customer],$D$9,0)*MATCH(orderHistory[status],$D$11,0)*MATCH(YEAR(orderHistory[payed]),$D$15,0)),MATCH(ROW(orderHistory[customer]),ROW(orderHistory[customer])),""),ROWS($A$15:A56)+$B$3))),IF($D$15="",INDEX(orderHistory[payed],SMALL(IF(ISNUMBER(MATCH(orderHistory[customer],$D$9,0)*MATCH(orderHistory[status],$D$11,0)*MATCH(orderHistory[order_type],$D$13,0)),MATCH(ROW(orderHistory[customer]),ROW(orderHistory[customer])),""),ROWS($A$15:A56)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1</v>
      </c>
      <c r="U51" s="383" t="str">
        <f t="array" ref="U51">IFERROR(IF($D$9="",IF($D$11="",IF($D$13="",IF($D$15="",INDEX(orderHistory[shipping_method],SMALL(MATCH(ROW(orderHistory[customer]),ROW(orderHistory[customer])),ROWS($A$15:A56)+$B$3)),INDEX(orderHistory[shipping_method],SMALL(IF(ISNUMBER(MATCH(YEAR(orderHistory[invoice_date]),$D$15,0)),MATCH(ROW(orderHistory[customer]),ROW(orderHistory[customer])),""),ROWS($A$15:A56)+$B$3))),IF($D$15="",INDEX(orderHistory[shipping_method],SMALL(IF(ISNUMBER(MATCH(orderHistory[order_type],$D$13,0)),MATCH(ROW(orderHistory[customer]),ROW(orderHistory[customer])),""),ROWS($A$15:A56)+$B$3)),INDEX(orderHistory[shipping_method],SMALL(IF(ISNUMBER(MATCH(orderHistory[order_type],$D$13,0)*MATCH(YEAR(orderHistory[invoice_date]),$D$15,0)),MATCH(ROW(orderHistory[customer]),ROW(orderHistory[customer])),""),ROWS($A$15:A56)+$B$3)))),IF($D$13="",IF($D$15="",INDEX(orderHistory[shipping_method],SMALL(IF(ISNUMBER(MATCH(orderHistory[status],$D$11,0)),MATCH(ROW(orderHistory[customer]),ROW(orderHistory[customer])),""),ROWS($A$15:A56)+$B$3)),INDEX(orderHistory[shipping_method],SMALL(IF(ISNUMBER(MATCH(orderHistory[status],$D$11,0)*MATCH(YEAR(orderHistory[invoice_date]),$D$15,0)),MATCH(ROW(orderHistory[customer]),ROW(orderHistory[customer])),""),ROWS($A$15:A56)+$B$3))),IF($D$15="",INDEX(orderHistory[shipping_method],SMALL(IF(ISNUMBER(MATCH(orderHistory[status],$D$11,0)*MATCH(orderHistory[order_type],$D$13,0)),MATCH(ROW(orderHistory[customer]),ROW(orderHistory[customer])),""),ROWS($A$15:A56)+$B$3)),INDEX(orderHistory[shipping_method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shipping_method],SMALL(IF(ISNUMBER(MATCH(orderHistory[customer],$D$9,0)),MATCH(ROW(orderHistory[customer]),ROW(orderHistory[customer])),""),ROWS($A$15:A56)+$B$3)),INDEX(orderHistory[shipping_method],SMALL(IF(ISNUMBER(MATCH(orderHistory[customer],$D$9,0)*MATCH(YEAR(orderHistory[invoice_date]),$D$15,0)),MATCH(ROW(orderHistory[customer]),ROW(orderHistory[customer])),""),ROWS($A$15:A56)+$B$3))),IF($D$15="",INDEX(orderHistory[shipping_method],SMALL(IF(ISNUMBER(MATCH(orderHistory[customer],$D$9,0)*MATCH(orderHistory[order_type],$D$13,0)),MATCH(ROW(orderHistory[customer]),ROW(orderHistory[customer])),""),ROWS($A$15:A56)+$B$3)),INDEX(orderHistory[shipping_method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shipping_method],SMALL(IF(ISNUMBER(MATCH(orderHistory[customer],$D$9,0)*MATCH(orderHistory[status],$D$11,0)),MATCH(ROW(orderHistory[customer]),ROW(orderHistory[customer])),""),ROWS($A$15:A56)+$B$3)),INDEX(orderHistory[shipping_method],SMALL(IF(ISNUMBER(MATCH(orderHistory[customer],$D$9,0)*MATCH(orderHistory[status],$D$11,0)*MATCH(YEAR(orderHistory[shipping_method]),$D$15,0)),MATCH(ROW(orderHistory[customer]),ROW(orderHistory[customer])),""),ROWS($A$15:A56)+$B$3))),IF($D$15="",INDEX(orderHistory[shipping_method],SMALL(IF(ISNUMBER(MATCH(orderHistory[customer],$D$9,0)*MATCH(orderHistory[status],$D$11,0)*MATCH(orderHistory[order_type],$D$13,0)),MATCH(ROW(orderHistory[customer]),ROW(orderHistory[customer])),""),ROWS($A$15:A56)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BY ROAD</v>
      </c>
      <c r="V51" s="388" t="str">
        <f t="array" ref="V51">IFERROR(IF($D$9="",IF($D$11="",IF($D$13="",IF($D$15="",INDEX(orderHistory[status],SMALL(MATCH(ROW(orderHistory[customer]),ROW(orderHistory[customer])),ROWS($A$15:A56)+$B$3)),INDEX(orderHistory[status],SMALL(IF(ISNUMBER(MATCH(YEAR(orderHistory[invoice_date]),$D$15,0)),MATCH(ROW(orderHistory[customer]),ROW(orderHistory[customer])),""),ROWS($A$15:A56)+$B$3))),IF($D$15="",INDEX(orderHistory[status],SMALL(IF(ISNUMBER(MATCH(orderHistory[order_type],$D$13,0)),MATCH(ROW(orderHistory[customer]),ROW(orderHistory[customer])),""),ROWS($A$15:A56)+$B$3)),INDEX(orderHistory[status],SMALL(IF(ISNUMBER(MATCH(orderHistory[order_type],$D$13,0)*MATCH(YEAR(orderHistory[invoice_date]),$D$15,0)),MATCH(ROW(orderHistory[customer]),ROW(orderHistory[customer])),""),ROWS($A$15:A56)+$B$3)))),IF($D$13="",IF($D$15="",INDEX(orderHistory[status],SMALL(IF(ISNUMBER(MATCH(orderHistory[status],$D$11,0)),MATCH(ROW(orderHistory[customer]),ROW(orderHistory[customer])),""),ROWS($A$15:A56)+$B$3)),INDEX(orderHistory[status],SMALL(IF(ISNUMBER(MATCH(orderHistory[status],$D$11,0)*MATCH(YEAR(orderHistory[invoice_date]),$D$15,0)),MATCH(ROW(orderHistory[customer]),ROW(orderHistory[customer])),""),ROWS($A$15:A56)+$B$3))),IF($D$15="",INDEX(orderHistory[status],SMALL(IF(ISNUMBER(MATCH(orderHistory[status],$D$11,0)*MATCH(orderHistory[order_type],$D$13,0)),MATCH(ROW(orderHistory[customer]),ROW(orderHistory[customer])),""),ROWS($A$15:A56)+$B$3)),INDEX(orderHistory[status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status],SMALL(IF(ISNUMBER(MATCH(orderHistory[customer],$D$9,0)),MATCH(ROW(orderHistory[customer]),ROW(orderHistory[customer])),""),ROWS($A$15:A56)+$B$3)),INDEX(orderHistory[status],SMALL(IF(ISNUMBER(MATCH(orderHistory[customer],$D$9,0)*MATCH(YEAR(orderHistory[invoice_date]),$D$15,0)),MATCH(ROW(orderHistory[customer]),ROW(orderHistory[customer])),""),ROWS($A$15:A56)+$B$3))),IF($D$15="",INDEX(orderHistory[status],SMALL(IF(ISNUMBER(MATCH(orderHistory[customer],$D$9,0)*MATCH(orderHistory[order_type],$D$13,0)),MATCH(ROW(orderHistory[customer]),ROW(orderHistory[customer])),""),ROWS($A$15:A56)+$B$3)),INDEX(orderHistory[status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status],SMALL(IF(ISNUMBER(MATCH(orderHistory[customer],$D$9,0)*MATCH(orderHistory[status],$D$11,0)),MATCH(ROW(orderHistory[customer]),ROW(orderHistory[customer])),""),ROWS($A$15:A56)+$B$3)),INDEX(orderHistory[status],SMALL(IF(ISNUMBER(MATCH(orderHistory[customer],$D$9,0)*MATCH(orderHistory[status],$D$11,0)*MATCH(YEAR(orderHistory[status]),$D$15,0)),MATCH(ROW(orderHistory[customer]),ROW(orderHistory[customer])),""),ROWS($A$15:A56)+$B$3))),IF($D$15="",INDEX(orderHistory[status],SMALL(IF(ISNUMBER(MATCH(orderHistory[customer],$D$9,0)*MATCH(orderHistory[status],$D$11,0)*MATCH(orderHistory[order_type],$D$13,0)),MATCH(ROW(orderHistory[customer]),ROW(orderHistory[customer])),""),ROWS($A$15:A56)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SHIPPED</v>
      </c>
      <c r="W51" s="547" t="str">
        <f t="array" ref="W51">IFERROR(IF($D$9="",IF($D$11="",IF($D$13="",IF($D$15="",INDEX(orderHistory[custom_docs],SMALL(MATCH(ROW(orderHistory[customer]),ROW(orderHistory[customer])),ROWS($A$15:A56)+$B$3)),INDEX(orderHistory[custom_docs],SMALL(IF(ISNUMBER(MATCH(YEAR(orderHistory[invoice_date]),$D$15,0)),MATCH(ROW(orderHistory[customer]),ROW(orderHistory[customer])),""),ROWS($A$15:A56)+$B$3))),IF($D$15="",INDEX(orderHistory[custom_docs],SMALL(IF(ISNUMBER(MATCH(orderHistory[order_type],$D$13,0)),MATCH(ROW(orderHistory[customer]),ROW(orderHistory[customer])),""),ROWS($A$15:A56)+$B$3)),INDEX(orderHistory[custom_docs],SMALL(IF(ISNUMBER(MATCH(orderHistory[order_type],$D$13,0)*MATCH(YEAR(orderHistory[invoice_date]),$D$15,0)),MATCH(ROW(orderHistory[customer]),ROW(orderHistory[customer])),""),ROWS($A$15:A56)+$B$3)))),IF($D$13="",IF($D$15="",INDEX(orderHistory[custom_docs],SMALL(IF(ISNUMBER(MATCH(orderHistory[status],$D$11,0)),MATCH(ROW(orderHistory[customer]),ROW(orderHistory[customer])),""),ROWS($A$15:A56)+$B$3)),INDEX(orderHistory[custom_docs],SMALL(IF(ISNUMBER(MATCH(orderHistory[status],$D$11,0)*MATCH(YEAR(orderHistory[invoice_date]),$D$15,0)),MATCH(ROW(orderHistory[customer]),ROW(orderHistory[customer])),""),ROWS($A$15:A56)+$B$3))),IF($D$15="",INDEX(orderHistory[custom_docs],SMALL(IF(ISNUMBER(MATCH(orderHistory[status],$D$11,0)*MATCH(orderHistory[order_type],$D$13,0)),MATCH(ROW(orderHistory[customer]),ROW(orderHistory[customer])),""),ROWS($A$15:A56)+$B$3)),INDEX(orderHistory[custom_docs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custom_docs],SMALL(IF(ISNUMBER(MATCH(orderHistory[customer],$D$9,0)),MATCH(ROW(orderHistory[customer]),ROW(orderHistory[customer])),""),ROWS($A$15:A56)+$B$3)),INDEX(orderHistory[custom_docs],SMALL(IF(ISNUMBER(MATCH(orderHistory[customer],$D$9,0)*MATCH(YEAR(orderHistory[invoice_date]),$D$15,0)),MATCH(ROW(orderHistory[customer]),ROW(orderHistory[customer])),""),ROWS($A$15:A56)+$B$3))),IF($D$15="",INDEX(orderHistory[custom_docs],SMALL(IF(ISNUMBER(MATCH(orderHistory[customer],$D$9,0)*MATCH(orderHistory[order_type],$D$13,0)),MATCH(ROW(orderHistory[customer]),ROW(orderHistory[customer])),""),ROWS($A$15:A56)+$B$3)),INDEX(orderHistory[custom_docs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custom_docs],SMALL(IF(ISNUMBER(MATCH(orderHistory[customer],$D$9,0)*MATCH(orderHistory[status],$D$11,0)),MATCH(ROW(orderHistory[customer]),ROW(orderHistory[customer])),""),ROWS($A$15:A56)+$B$3)),INDEX(orderHistory[custom_docs],SMALL(IF(ISNUMBER(MATCH(orderHistory[customer],$D$9,0)*MATCH(orderHistory[status],$D$11,0)*MATCH(YEAR(orderHistory[status]),$D$15,0)),MATCH(ROW(orderHistory[customer]),ROW(orderHistory[customer])),""),ROWS($A$15:A56)+$B$3))),IF($D$15="",INDEX(orderHistory[custom_docs],SMALL(IF(ISNUMBER(MATCH(orderHistory[customer],$D$9,0)*MATCH(orderHistory[status],$D$11,0)*MATCH(orderHistory[order_type],$D$13,0)),MATCH(ROW(orderHistory[customer]),ROW(orderHistory[customer])),""),ROWS($A$15:A56)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OK</v>
      </c>
      <c r="AQ51" s="280"/>
      <c r="AR51" s="280" t="s">
        <v>377</v>
      </c>
      <c r="BG51" s="215"/>
      <c r="BK51" s="296"/>
      <c r="BL51" s="297"/>
      <c r="BM51" s="298"/>
      <c r="BN51" s="297"/>
      <c r="BO51" s="298"/>
      <c r="BZ51" s="412"/>
      <c r="CA51" s="401" t="str">
        <f>IFERROR(IF(BZ51="","",INDEX(bhpc_data[description],MATCH(BZ51,bhpc_data[sku],0))),"")</f>
        <v/>
      </c>
      <c r="CB51" s="402"/>
      <c r="CC51" s="886"/>
      <c r="CD51" s="410"/>
      <c r="CE51" s="890"/>
      <c r="CF51" s="404"/>
      <c r="CG51" s="405" t="str">
        <f>IFERROR(ROUNDUP(CB51/INDEX(bhpc_data[units_per_carton],MATCH(BZ51,bhpc_data[sku],0)),0),"")</f>
        <v/>
      </c>
      <c r="CH51" s="406" t="str">
        <f>IFERROR(ROUNDUP(CD51/INDEX(bhpc_data[units_per_carton],MATCH(BZ51,bhpc_data[sku],0)),0),"")</f>
        <v/>
      </c>
      <c r="CI51" s="406" t="str">
        <f>IFERROR(ROUNDUP(CF51/INDEX(bhpc_data[units_per_carton],MATCH(BZ51,bhpc_data[sku])),0),"")</f>
        <v/>
      </c>
      <c r="CJ51" s="406" t="str">
        <f>IFERROR(((CB51+CD51+CF51)/INDEX(bhpc_data[units_per_carton],MATCH(BZ51,bhpc_data[sku],0)))*INDEX(bhpc_data[net_weight],MATCH(BZ51,bhpc_data[sku],0)),"")</f>
        <v/>
      </c>
      <c r="CK51" s="406" t="str">
        <f>IFERROR(((CB51+CD51+CF51)/INDEX(bhpc_data[units_per_carton],MATCH(BZ51,bhpc_data[sku],0)))*INDEX(bhpc_data[gross_weight],MATCH(BZ51,bhpc_data[sku],0)),"")</f>
        <v/>
      </c>
      <c r="CL51" s="602" t="str">
        <f>IFERROR((CB51+CD51+CF51)/INDEX(bhpc_data[units_per_carton],MATCH(BZ51,bhpc_data[sku],0))*INDEX(bhpc_data[length],MATCH(BZ51,bhpc_data[sku],0))*INDEX(bhpc_data[width],MATCH(BZ51,bhpc_data[sku],0))*INDEX(bhpc_data[height],MATCH(BZ51,bhpc_data[sku],0))/1000000000,"")</f>
        <v/>
      </c>
      <c r="CM51" s="407" t="str">
        <f>IFERROR(INDEX(bhpc_data[category],MATCH(BZ51,bhpc_data[sku],0)),"")</f>
        <v/>
      </c>
      <c r="CN51" s="407" t="str">
        <f>IFERROR(INDEX(bhpc_data[size],MATCH(BZ51,bhpc_data[sku],0)),"")</f>
        <v/>
      </c>
      <c r="CO51" s="408" t="str">
        <f>IFERROR(INDEX(bhpc_data[hs_code],MATCH(BZ51,bhpc_data[sku],0)),"")</f>
        <v/>
      </c>
      <c r="CP51" s="489" t="str">
        <f>IFERROR(INDEX(bhpc_data[sku_geko],MATCH(BZ51,bhpc_data[sku],0)),"")</f>
        <v/>
      </c>
      <c r="CQ51" s="404"/>
      <c r="CR51" s="517" t="str">
        <f>IFERROR(IF(BZ51="","",IF($BX$15="SALE",INDEX(inventory[COSTO UNITARIO],MATCH(BZ51,inventory[SKU],0)),IF($BX$15="SAMPLING",INDEX(inventory[COSTO UNITARIO],MATCH(BZ51,inventory[SKU],0)),""))),"")</f>
        <v/>
      </c>
      <c r="CS51" s="517" t="str">
        <f t="shared" si="7"/>
        <v/>
      </c>
      <c r="CT51" s="896" t="str">
        <f t="shared" si="8"/>
        <v/>
      </c>
      <c r="CU51" s="469" t="str">
        <f t="shared" si="0"/>
        <v/>
      </c>
      <c r="CV51" s="280"/>
      <c r="CW51" s="280"/>
      <c r="CX51" s="280"/>
      <c r="CY51" s="280"/>
      <c r="CZ51" s="280"/>
      <c r="DA51" s="280"/>
      <c r="DB51" s="280" t="str">
        <f>IFERROR(VLOOKUP(BZ51,bhpc_data[],22,FALSE),"")</f>
        <v/>
      </c>
      <c r="EE51" s="439" t="str" cm="1">
        <f t="array" ref="EE51">IFERROR(IF($EC$9="",IF($EC$11="",IF($EC$13="",INDEX(bhpc_data[sku],SMALL(MATCH(ROW(bhpc_data[sku]),ROW(bhpc_data[sku])),ROWS($A$15:A56)+$B$3)),INDEX(bhpc_data[sku],SMALL(IF(ISNUMBER(MATCH(bhpc_data[size],$EC$13,0)),MATCH(ROW(bhpc_data[sku]),ROW(bhpc_data[sku])),""),ROWS($A$15:A56)+$B$3))),IF($EC$13="",INDEX(bhpc_data[sku],SMALL(IF(ISNUMBER(MATCH(bhpc_data[sex],$EC$11,0)),MATCH(ROW(bhpc_data[sku]),ROW(bhpc_data[sku])),""),ROWS($A$15:A56)+$B$3)),INDEX(bhpc_data[sku],SMALL(IF(ISNUMBER(MATCH(bhpc_data[sex],$EC$11,0)*MATCH(bhpc_data[size],$EC$13,0)),MATCH(ROW(bhpc_data[sku]),ROW(bhpc_data[sku])),""),ROWS($A$15:A56)+$B$3)))),IF($EC$11="",IF($EC$13="",INDEX(bhpc_data[sku],SMALL(IF(ISNUMBER(MATCH(bhpc_data[category],$EC$9,0)),MATCH(ROW(bhpc_data[sku]),ROW(bhpc_data[sku])),""),ROWS($A$15:A56)+$B$3)),INDEX(bhpc_data[sku],SMALL(IF(ISNUMBER(MATCH(bhpc_data[category],$EC$9,0)*MATCH(bhpc_data[size],$EC$13,0)),MATCH(ROW(bhpc_data[sku]),ROW(bhpc_data[sku])),""),ROWS($A$15:A56)+$B$3))),IF($EC$13="",INDEX(bhpc_data[sku],SMALL(IF(ISNUMBER(MATCH(bhpc_data[category],$EC$9,0)*MATCH(bhpc_data[sex],$EC$11,0)),MATCH(ROW(bhpc_data[sku]),ROW(bhpc_data[sku])),""),ROWS($A$15:A56)+$B$3)),INDEX(bhpc_data[sku],SMALL(IF(ISNUMBER(MATCH(bhpc_data[category],$EC$9,0)*MATCH(bhpc_data[sex],$EC$11,0)*MATCH(bhpc_data[size],$EC$13,0)),MATCH(ROW(bhpc_data[sku]),ROW(bhpc_data[sku])),""),ROWS($A$15:A56)+$B$3))))),"")</f>
        <v>PT6003</v>
      </c>
      <c r="EF51" s="440" t="str" cm="1">
        <f t="array" ref="EF51">IFERROR(IF($EC$9="",IF($EC$11="",IF($EC$13="",INDEX(bhpc_data[description],SMALL(MATCH(ROW(bhpc_data[sku]),ROW(bhpc_data[sku])),ROWS($A$15:A56)+$B$3)),INDEX(bhpc_data[description],SMALL(IF(ISNUMBER(MATCH(bhpc_data[size],$EC$13,0)),MATCH(ROW(bhpc_data[sku]),ROW(bhpc_data[sku])),""),ROWS($A$15:A56)+$B$3))),IF($EC$13="",INDEX(bhpc_data[description],SMALL(IF(ISNUMBER(MATCH(bhpc_data[sex],$EC$11,0)),MATCH(ROW(bhpc_data[sku]),ROW(bhpc_data[sku])),""),ROWS($A$15:A56)+$B$3)),INDEX(bhpc_data[description],SMALL(IF(ISNUMBER(MATCH(bhpc_data[sex],$EC$11,0)*MATCH(bhpc_data[size],$EC$13,0)),MATCH(ROW(bhpc_data[sku]),ROW(bhpc_data[sku])),""),ROWS($A$15:A56)+$B$3)))),IF($EC$11="",IF($EC$13="",INDEX(bhpc_data[description],SMALL(IF(ISNUMBER(MATCH(bhpc_data[category],$EC$9,0)),MATCH(ROW(bhpc_data[sku]),ROW(bhpc_data[sku])),""),ROWS($A$15:A56)+$B$3)),INDEX(bhpc_data[description],SMALL(IF(ISNUMBER(MATCH(bhpc_data[category],$EC$9,0)*MATCH(bhpc_data[size],$EC$13,0)),MATCH(ROW(bhpc_data[sku]),ROW(bhpc_data[sku])),""),ROWS($A$15:A56)+$B$3))),IF($EC$13="",INDEX(bhpc_data[description],SMALL(IF(ISNUMBER(MATCH(bhpc_data[category],$EC$9,0)*MATCH(bhpc_data[sex],$EC$11,0)),MATCH(ROW(bhpc_data[sku]),ROW(bhpc_data[sku])),""),ROWS($A$15:A56)+$B$3)),INDEX(bhpc_data[description],SMALL(IF(ISNUMBER(MATCH(bhpc_data[category],$EC$9,0)*MATCH(bhpc_data[sex],$EC$11,0)*MATCH(bhpc_data[size],$EC$13,0)),MATCH(ROW(bhpc_data[sku]),ROW(bhpc_data[sku])),""),ROWS($A$15:A56)+$B$3))))),"")</f>
        <v>BHPC TESTERS TITAN 100ML EDP MEN</v>
      </c>
      <c r="EG51" s="441">
        <f>IFERROR(IF('BHPC MANAGER'!$EE51="","",INDEX(inventory[ESISTENZA],MATCH('BHPC MANAGER'!$EE51,inventory[SKU],0))),0)</f>
        <v>0</v>
      </c>
      <c r="EH51" s="442">
        <v>0</v>
      </c>
      <c r="EI51" s="442">
        <f t="shared" si="1"/>
        <v>0</v>
      </c>
      <c r="EJ51" s="443">
        <v>0</v>
      </c>
      <c r="EK51" s="444">
        <f t="shared" si="2"/>
        <v>0</v>
      </c>
      <c r="EO51" s="215" t="str">
        <f t="array" ref="EO51">IFERROR(INDEX(orderHistory[order_no],SMALL(IF(ISNUMBER(MATCH(orderHistory[status],$EO$7,0)),MATCH(ROW(orderHistory[order_no]),ROW(orderHistory[order_no])),""),ROWS($A$15:A56))),"")</f>
        <v/>
      </c>
    </row>
    <row r="52" spans="10:145" ht="15" customHeight="1" x14ac:dyDescent="0.35">
      <c r="J52" s="264"/>
      <c r="K52" s="264"/>
      <c r="L52" s="381" t="str">
        <f t="array" ref="L52">IFERROR(IF($D$9="",IF($D$11="",IF($D$13="",IF($D$15="",INDEX(orderHistory[customer],SMALL(MATCH(ROW(orderHistory[customer]),ROW(orderHistory[customer])),ROWS($A$15:A57)+$B$3)),INDEX(orderHistory[customer],SMALL(IF(ISNUMBER(MATCH(YEAR(orderHistory[invoice_date]),$D$15,0)),MATCH(ROW(orderHistory[customer]),ROW(orderHistory[customer])),""),ROWS($A$15:A57)+$B$3))),IF($D$15="",INDEX(orderHistory[customer],SMALL(IF(ISNUMBER(MATCH(orderHistory[order_type],$D$13,0)),MATCH(ROW(orderHistory[customer]),ROW(orderHistory[customer])),""),ROWS($A$15:A57)+$B$3)),INDEX(orderHistory[customer],SMALL(IF(ISNUMBER(MATCH(orderHistory[order_type],$D$13,0)*MATCH(YEAR(orderHistory[invoice_date]),$D$15,0)),MATCH(ROW(orderHistory[customer]),ROW(orderHistory[customer])),""),ROWS($A$15:A57)+$B$3)))),IF($D$13="",IF($D$15="",INDEX(orderHistory[customer],SMALL(IF(ISNUMBER(MATCH(orderHistory[status],$D$11,0)),MATCH(ROW(orderHistory[customer]),ROW(orderHistory[customer])),""),ROWS($A$15:A57)+$B$3)),INDEX(orderHistory[customer],SMALL(IF(ISNUMBER(MATCH(orderHistory[status],$D$11,0)*MATCH(YEAR(orderHistory[invoice_date]),$D$15,0)),MATCH(ROW(orderHistory[customer]),ROW(orderHistory[customer])),""),ROWS($A$15:A57)+$B$3))),IF($D$15="",INDEX(orderHistory[customer],SMALL(IF(ISNUMBER(MATCH(orderHistory[status],$D$11,0)*MATCH(orderHistory[order_type],$D$13,0)),MATCH(ROW(orderHistory[customer]),ROW(orderHistory[customer])),""),ROWS($A$15:A57)+$B$3)),INDEX(orderHistory[customer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customer],SMALL(IF(ISNUMBER(MATCH(orderHistory[customer],$D$9,0)),MATCH(ROW(orderHistory[customer]),ROW(orderHistory[customer])),""),ROWS($A$15:A57)+$B$3)),INDEX(orderHistory[customer],SMALL(IF(ISNUMBER(MATCH(orderHistory[customer],$D$9,0)*MATCH(YEAR(orderHistory[invoice_date]),$D$15,0)),MATCH(ROW(orderHistory[customer]),ROW(orderHistory[customer])),""),ROWS($A$15:A57)+$B$3))),IF($D$15="",INDEX(orderHistory[customer],SMALL(IF(ISNUMBER(MATCH(orderHistory[customer],$D$9,0)*MATCH(orderHistory[order_type],$D$13,0)),MATCH(ROW(orderHistory[customer]),ROW(orderHistory[customer])),""),ROWS($A$15:A57)+$B$3)),INDEX(orderHistory[customer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customer],SMALL(IF(ISNUMBER(MATCH(orderHistory[customer],$D$9,0)*MATCH(orderHistory[status],$D$11,0)),MATCH(ROW(orderHistory[customer]),ROW(orderHistory[customer])),""),ROWS($A$15:A57)+$B$3)),INDEX(orderHistory[customer],SMALL(IF(ISNUMBER(MATCH(orderHistory[customer],$D$9,0)*MATCH(orderHistory[status],$D$11,0)*MATCH(YEAR(orderHistory[invoice_date]),$D$15,0)),MATCH(ROW(orderHistory[customer]),ROW(orderHistory[customer])),""),ROWS($A$15:A57)+$B$3))),IF($D$15="",INDEX(orderHistory[customer],SMALL(IF(ISNUMBER(MATCH(orderHistory[customer],$D$9,0)*MATCH(orderHistory[status],$D$11,0)*MATCH(orderHistory[order_type],$D$13,0)),MATCH(ROW(orderHistory[customer]),ROW(orderHistory[customer])),""),ROWS($A$15:A57)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LUXUM BEAUTY - ULM</v>
      </c>
      <c r="M52" s="382">
        <f t="array" ref="M52">IFERROR(IF($D$9="",IF($D$11="",IF($D$13="",IF($D$15="",INDEX(orderHistory[order_no],SMALL(MATCH(ROW(orderHistory[customer]),ROW(orderHistory[customer])),ROWS($A$15:A57)+$B$3)),INDEX(orderHistory[order_no],SMALL(IF(ISNUMBER(MATCH(YEAR(orderHistory[invoice_date]),$D$15,0)),MATCH(ROW(orderHistory[customer]),ROW(orderHistory[customer])),""),ROWS($A$15:A57)+$B$3))),IF($D$15="",INDEX(orderHistory[order_no],SMALL(IF(ISNUMBER(MATCH(orderHistory[order_type],$D$13,0)),MATCH(ROW(orderHistory[customer]),ROW(orderHistory[customer])),""),ROWS($A$15:A57)+$B$3)),INDEX(orderHistory[order_no],SMALL(IF(ISNUMBER(MATCH(orderHistory[order_type],$D$13,0)*MATCH(YEAR(orderHistory[invoice_date]),$D$15,0)),MATCH(ROW(orderHistory[customer]),ROW(orderHistory[customer])),""),ROWS($A$15:A57)+$B$3)))),IF($D$13="",IF($D$15="",INDEX(orderHistory[order_no],SMALL(IF(ISNUMBER(MATCH(orderHistory[status],$D$11,0)),MATCH(ROW(orderHistory[customer]),ROW(orderHistory[customer])),""),ROWS($A$15:A57)+$B$3)),INDEX(orderHistory[order_no],SMALL(IF(ISNUMBER(MATCH(orderHistory[status],$D$11,0)*MATCH(YEAR(orderHistory[invoice_date]),$D$15,0)),MATCH(ROW(orderHistory[customer]),ROW(orderHistory[customer])),""),ROWS($A$15:A57)+$B$3))),IF($D$15="",INDEX(orderHistory[order_no],SMALL(IF(ISNUMBER(MATCH(orderHistory[status],$D$11,0)*MATCH(orderHistory[order_type],$D$13,0)),MATCH(ROW(orderHistory[customer]),ROW(orderHistory[customer])),""),ROWS($A$15:A57)+$B$3)),INDEX(orderHistory[order_no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order_no],SMALL(IF(ISNUMBER(MATCH(orderHistory[customer],$D$9,0)),MATCH(ROW(orderHistory[customer]),ROW(orderHistory[customer])),""),ROWS($A$15:A57)+$B$3)),INDEX(orderHistory[order_no],SMALL(IF(ISNUMBER(MATCH(orderHistory[customer],$D$9,0)*MATCH(YEAR(orderHistory[invoice_date]),$D$15,0)),MATCH(ROW(orderHistory[customer]),ROW(orderHistory[customer])),""),ROWS($A$15:A57)+$B$3))),IF($D$15="",INDEX(orderHistory[order_no],SMALL(IF(ISNUMBER(MATCH(orderHistory[customer],$D$9,0)*MATCH(orderHistory[order_type],$D$13,0)),MATCH(ROW(orderHistory[customer]),ROW(orderHistory[customer])),""),ROWS($A$15:A57)+$B$3)),INDEX(orderHistory[order_no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order_no],SMALL(IF(ISNUMBER(MATCH(orderHistory[customer],$D$9,0)*MATCH(orderHistory[status],$D$11,0)),MATCH(ROW(orderHistory[customer]),ROW(orderHistory[customer])),""),ROWS($A$15:A57)+$B$3)),INDEX(orderHistory[order_no],SMALL(IF(ISNUMBER(MATCH(orderHistory[customer],$D$9,0)*MATCH(orderHistory[status],$D$11,0)*MATCH(YEAR(orderHistory[invoice_date]),$D$15,0)),MATCH(ROW(orderHistory[customer]),ROW(orderHistory[customer])),""),ROWS($A$15:A57)+$B$3))),IF($D$15="",INDEX(orderHistory[order_no],SMALL(IF(ISNUMBER(MATCH(orderHistory[customer],$D$9,0)*MATCH(orderHistory[status],$D$11,0)*MATCH(orderHistory[order_type],$D$13,0)),MATCH(ROW(orderHistory[customer]),ROW(orderHistory[customer])),""),ROWS($A$15:A57)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5</v>
      </c>
      <c r="N52" s="383" t="str">
        <f t="array" ref="N52">IFERROR(IF($D$9="",IF($D$11="",IF($D$13="",IF($D$15="",INDEX(orderHistory[order_type],SMALL(MATCH(ROW(orderHistory[customer]),ROW(orderHistory[customer])),ROWS($A$15:A57)+$B$3)),INDEX(orderHistory[order_type],SMALL(IF(ISNUMBER(MATCH(YEAR(orderHistory[invoice_date]),$D$15,0)),MATCH(ROW(orderHistory[customer]),ROW(orderHistory[customer])),""),ROWS($A$15:A57)+$B$3))),IF($D$15="",INDEX(orderHistory[order_type],SMALL(IF(ISNUMBER(MATCH(orderHistory[order_type],$D$13,0)),MATCH(ROW(orderHistory[customer]),ROW(orderHistory[customer])),""),ROWS($A$15:A57)+$B$3)),INDEX(orderHistory[order_type],SMALL(IF(ISNUMBER(MATCH(orderHistory[order_type],$D$13,0)*MATCH(YEAR(orderHistory[invoice_date]),$D$15,0)),MATCH(ROW(orderHistory[customer]),ROW(orderHistory[customer])),""),ROWS($A$15:A57)+$B$3)))),IF($D$13="",IF($D$15="",INDEX(orderHistory[order_type],SMALL(IF(ISNUMBER(MATCH(orderHistory[status],$D$11,0)),MATCH(ROW(orderHistory[customer]),ROW(orderHistory[customer])),""),ROWS($A$15:A57)+$B$3)),INDEX(orderHistory[order_type],SMALL(IF(ISNUMBER(MATCH(orderHistory[status],$D$11,0)*MATCH(YEAR(orderHistory[invoice_date]),$D$15,0)),MATCH(ROW(orderHistory[customer]),ROW(orderHistory[customer])),""),ROWS($A$15:A57)+$B$3))),IF($D$15="",INDEX(orderHistory[order_type],SMALL(IF(ISNUMBER(MATCH(orderHistory[status],$D$11,0)*MATCH(orderHistory[order_type],$D$13,0)),MATCH(ROW(orderHistory[customer]),ROW(orderHistory[customer])),""),ROWS($A$15:A57)+$B$3)),INDEX(orderHistory[order_type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order_type],SMALL(IF(ISNUMBER(MATCH(orderHistory[customer],$D$9,0)),MATCH(ROW(orderHistory[customer]),ROW(orderHistory[customer])),""),ROWS($A$15:A57)+$B$3)),INDEX(orderHistory[order_type],SMALL(IF(ISNUMBER(MATCH(orderHistory[customer],$D$9,0)*MATCH(YEAR(orderHistory[invoice_date]),$D$15,0)),MATCH(ROW(orderHistory[customer]),ROW(orderHistory[customer])),""),ROWS($A$15:A57)+$B$3))),IF($D$15="",INDEX(orderHistory[order_type],SMALL(IF(ISNUMBER(MATCH(orderHistory[customer],$D$9,0)*MATCH(orderHistory[order_type],$D$13,0)),MATCH(ROW(orderHistory[customer]),ROW(orderHistory[customer])),""),ROWS($A$15:A57)+$B$3)),INDEX(orderHistory[order_type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order_type],SMALL(IF(ISNUMBER(MATCH(orderHistory[customer],$D$9,0)*MATCH(orderHistory[status],$D$11,0)),MATCH(ROW(orderHistory[customer]),ROW(orderHistory[customer])),""),ROWS($A$15:A57)+$B$3)),INDEX(orderHistory[order_type],SMALL(IF(ISNUMBER(MATCH(orderHistory[customer],$D$9,0)*MATCH(orderHistory[status],$D$11,0)*MATCH(YEAR(orderHistory[invoice_date]),$D$15,0)),MATCH(ROW(orderHistory[customer]),ROW(orderHistory[customer])),""),ROWS($A$15:A57)+$B$3))),IF($D$15="",INDEX(orderHistory[order_type],SMALL(IF(ISNUMBER(MATCH(orderHistory[customer],$D$9,0)*MATCH(orderHistory[status],$D$11,0)*MATCH(orderHistory[order_type],$D$13,0)),MATCH(ROW(orderHistory[customer]),ROW(orderHistory[customer])),""),ROWS($A$15:A57)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SALE</v>
      </c>
      <c r="O52" s="384">
        <f t="array" ref="O52">IFERROR(IF($D$9="",IF($D$11="",IF($D$13="",IF($D$15="",INDEX(orderHistory[order_date],SMALL(MATCH(ROW(orderHistory[customer]),ROW(orderHistory[customer])),ROWS($A$15:A57)+$B$3)),INDEX(orderHistory[order_date],SMALL(IF(ISNUMBER(MATCH(YEAR(orderHistory[invoice_date]),$D$15,0)),MATCH(ROW(orderHistory[customer]),ROW(orderHistory[customer])),""),ROWS($A$15:A57)+$B$3))),IF($D$15="",INDEX(orderHistory[order_date],SMALL(IF(ISNUMBER(MATCH(orderHistory[order_type],$D$13,0)),MATCH(ROW(orderHistory[customer]),ROW(orderHistory[customer])),""),ROWS($A$15:A57)+$B$3)),INDEX(orderHistory[order_date],SMALL(IF(ISNUMBER(MATCH(orderHistory[order_type],$D$13,0)*MATCH(YEAR(orderHistory[invoice_date]),$D$15,0)),MATCH(ROW(orderHistory[customer]),ROW(orderHistory[customer])),""),ROWS($A$15:A57)+$B$3)))),IF($D$13="",IF($D$15="",INDEX(orderHistory[order_date],SMALL(IF(ISNUMBER(MATCH(orderHistory[status],$D$11,0)),MATCH(ROW(orderHistory[customer]),ROW(orderHistory[customer])),""),ROWS($A$15:A57)+$B$3)),INDEX(orderHistory[order_date],SMALL(IF(ISNUMBER(MATCH(orderHistory[status],$D$11,0)*MATCH(YEAR(orderHistory[invoice_date]),$D$15,0)),MATCH(ROW(orderHistory[customer]),ROW(orderHistory[customer])),""),ROWS($A$15:A57)+$B$3))),IF($D$15="",INDEX(orderHistory[order_date],SMALL(IF(ISNUMBER(MATCH(orderHistory[status],$D$11,0)*MATCH(orderHistory[order_type],$D$13,0)),MATCH(ROW(orderHistory[customer]),ROW(orderHistory[customer])),""),ROWS($A$15:A57)+$B$3)),INDEX(orderHistory[order_date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order_date],SMALL(IF(ISNUMBER(MATCH(orderHistory[customer],$D$9,0)),MATCH(ROW(orderHistory[customer]),ROW(orderHistory[customer])),""),ROWS($A$15:A57)+$B$3)),INDEX(orderHistory[order_date],SMALL(IF(ISNUMBER(MATCH(orderHistory[customer],$D$9,0)*MATCH(YEAR(orderHistory[invoice_date]),$D$15,0)),MATCH(ROW(orderHistory[customer]),ROW(orderHistory[customer])),""),ROWS($A$15:A57)+$B$3))),IF($D$15="",INDEX(orderHistory[order_date],SMALL(IF(ISNUMBER(MATCH(orderHistory[customer],$D$9,0)*MATCH(orderHistory[order_type],$D$13,0)),MATCH(ROW(orderHistory[customer]),ROW(orderHistory[customer])),""),ROWS($A$15:A57)+$B$3)),INDEX(orderHistory[order_date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order_date],SMALL(IF(ISNUMBER(MATCH(orderHistory[customer],$D$9,0)*MATCH(orderHistory[status],$D$11,0)),MATCH(ROW(orderHistory[customer]),ROW(orderHistory[customer])),""),ROWS($A$15:A57)+$B$3)),INDEX(orderHistory[order_date],SMALL(IF(ISNUMBER(MATCH(orderHistory[customer],$D$9,0)*MATCH(orderHistory[status],$D$11,0)*MATCH(YEAR(orderHistory[invoice_date]),$D$15,0)),MATCH(ROW(orderHistory[customer]),ROW(orderHistory[customer])),""),ROWS($A$15:A57)+$B$3))),IF($D$15="",INDEX(orderHistory[order_date],SMALL(IF(ISNUMBER(MATCH(orderHistory[customer],$D$9,0)*MATCH(orderHistory[status],$D$11,0)*MATCH(orderHistory[order_type],$D$13,0)),MATCH(ROW(orderHistory[customer]),ROW(orderHistory[customer])),""),ROWS($A$15:A57)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45335</v>
      </c>
      <c r="P52" s="385" t="str">
        <f t="array" ref="P52">IFERROR(IF($D$9="",IF($D$11="",IF($D$13="",IF($D$15="",INDEX(orderHistory[invoice_no],SMALL(MATCH(ROW(orderHistory[customer]),ROW(orderHistory[customer])),ROWS($A$15:A57)+$B$3)),INDEX(orderHistory[invoice_no],SMALL(IF(ISNUMBER(MATCH(YEAR(orderHistory[invoice_date]),$D$15,0)),MATCH(ROW(orderHistory[customer]),ROW(orderHistory[customer])),""),ROWS($A$15:A57)+$B$3))),IF($D$15="",INDEX(orderHistory[invoice_no],SMALL(IF(ISNUMBER(MATCH(orderHistory[order_type],$D$13,0)),MATCH(ROW(orderHistory[customer]),ROW(orderHistory[customer])),""),ROWS($A$15:A57)+$B$3)),INDEX(orderHistory[invoice_no],SMALL(IF(ISNUMBER(MATCH(orderHistory[order_type],$D$13,0)*MATCH(YEAR(orderHistory[invoice_date]),$D$15,0)),MATCH(ROW(orderHistory[customer]),ROW(orderHistory[customer])),""),ROWS($A$15:A57)+$B$3)))),IF($D$13="",IF($D$15="",INDEX(orderHistory[invoice_no],SMALL(IF(ISNUMBER(MATCH(orderHistory[status],$D$11,0)),MATCH(ROW(orderHistory[customer]),ROW(orderHistory[customer])),""),ROWS($A$15:A57)+$B$3)),INDEX(orderHistory[invoice_no],SMALL(IF(ISNUMBER(MATCH(orderHistory[status],$D$11,0)*MATCH(YEAR(orderHistory[invoice_date]),$D$15,0)),MATCH(ROW(orderHistory[customer]),ROW(orderHistory[customer])),""),ROWS($A$15:A57)+$B$3))),IF($D$15="",INDEX(orderHistory[invoice_no],SMALL(IF(ISNUMBER(MATCH(orderHistory[status],$D$11,0)*MATCH(orderHistory[order_type],$D$13,0)),MATCH(ROW(orderHistory[customer]),ROW(orderHistory[customer])),""),ROWS($A$15:A57)+$B$3)),INDEX(orderHistory[invoice_no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invoice_no],SMALL(IF(ISNUMBER(MATCH(orderHistory[customer],$D$9,0)),MATCH(ROW(orderHistory[customer]),ROW(orderHistory[customer])),""),ROWS($A$15:A57)+$B$3)),INDEX(orderHistory[invoice_no],SMALL(IF(ISNUMBER(MATCH(orderHistory[customer],$D$9,0)*MATCH(YEAR(orderHistory[invoice_date]),$D$15,0)),MATCH(ROW(orderHistory[customer]),ROW(orderHistory[customer])),""),ROWS($A$15:A57)+$B$3))),IF($D$15="",INDEX(orderHistory[invoice_no],SMALL(IF(ISNUMBER(MATCH(orderHistory[customer],$D$9,0)*MATCH(orderHistory[order_type],$D$13,0)),MATCH(ROW(orderHistory[customer]),ROW(orderHistory[customer])),""),ROWS($A$15:A57)+$B$3)),INDEX(orderHistory[invoice_no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invoice_no],SMALL(IF(ISNUMBER(MATCH(orderHistory[customer],$D$9,0)*MATCH(orderHistory[status],$D$11,0)),MATCH(ROW(orderHistory[customer]),ROW(orderHistory[customer])),""),ROWS($A$15:A57)+$B$3)),INDEX(orderHistory[invoice_no],SMALL(IF(ISNUMBER(MATCH(orderHistory[customer],$D$9,0)*MATCH(orderHistory[status],$D$11,0)*MATCH(YEAR(orderHistory[invoice_date]),$D$15,0)),MATCH(ROW(orderHistory[customer]),ROW(orderHistory[customer])),""),ROWS($A$15:A57)+$B$3))),IF($D$15="",INDEX(orderHistory[invoice_no],SMALL(IF(ISNUMBER(MATCH(orderHistory[customer],$D$9,0)*MATCH(orderHistory[status],$D$11,0)*MATCH(orderHistory[order_type],$D$13,0)),MATCH(ROW(orderHistory[customer]),ROW(orderHistory[customer])),""),ROWS($A$15:A57)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41</v>
      </c>
      <c r="Q52" s="386">
        <f t="array" ref="Q52">IFERROR(IF($D$9="",IF($D$11="",IF($D$13="",IF($D$15="",INDEX(orderHistory[invoice_date],SMALL(MATCH(ROW(orderHistory[customer]),ROW(orderHistory[customer])),ROWS($A$15:A57)+$B$3)),INDEX(orderHistory[invoice_date],SMALL(IF(ISNUMBER(MATCH(YEAR(orderHistory[invoice_date]),$D$15,0)),MATCH(ROW(orderHistory[customer]),ROW(orderHistory[customer])),""),ROWS($A$15:A57)+$B$3))),IF($D$15="",INDEX(orderHistory[invoice_date],SMALL(IF(ISNUMBER(MATCH(orderHistory[order_type],$D$13,0)),MATCH(ROW(orderHistory[customer]),ROW(orderHistory[customer])),""),ROWS($A$15:A57)+$B$3)),INDEX(orderHistory[invoice_date],SMALL(IF(ISNUMBER(MATCH(orderHistory[order_type],$D$13,0)*MATCH(YEAR(orderHistory[invoice_date]),$D$15,0)),MATCH(ROW(orderHistory[customer]),ROW(orderHistory[customer])),""),ROWS($A$15:A57)+$B$3)))),IF($D$13="",IF($D$15="",INDEX(orderHistory[invoice_date],SMALL(IF(ISNUMBER(MATCH(orderHistory[status],$D$11,0)),MATCH(ROW(orderHistory[customer]),ROW(orderHistory[customer])),""),ROWS($A$15:A57)+$B$3)),INDEX(orderHistory[invoice_date],SMALL(IF(ISNUMBER(MATCH(orderHistory[status],$D$11,0)*MATCH(YEAR(orderHistory[invoice_date]),$D$15,0)),MATCH(ROW(orderHistory[customer]),ROW(orderHistory[customer])),""),ROWS($A$15:A57)+$B$3))),IF($D$15="",INDEX(orderHistory[invoice_date],SMALL(IF(ISNUMBER(MATCH(orderHistory[status],$D$11,0)*MATCH(orderHistory[order_type],$D$13,0)),MATCH(ROW(orderHistory[customer]),ROW(orderHistory[customer])),""),ROWS($A$15:A57)+$B$3)),INDEX(orderHistory[invoice_date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invoice_date],SMALL(IF(ISNUMBER(MATCH(orderHistory[customer],$D$9,0)),MATCH(ROW(orderHistory[customer]),ROW(orderHistory[customer])),""),ROWS($A$15:A57)+$B$3)),INDEX(orderHistory[invoice_date],SMALL(IF(ISNUMBER(MATCH(orderHistory[customer],$D$9,0)*MATCH(YEAR(orderHistory[invoice_date]),$D$15,0)),MATCH(ROW(orderHistory[customer]),ROW(orderHistory[customer])),""),ROWS($A$15:A57)+$B$3))),IF($D$15="",INDEX(orderHistory[invoice_date],SMALL(IF(ISNUMBER(MATCH(orderHistory[customer],$D$9,0)*MATCH(orderHistory[order_type],$D$13,0)),MATCH(ROW(orderHistory[customer]),ROW(orderHistory[customer])),""),ROWS($A$15:A57)+$B$3)),INDEX(orderHistory[invoice_date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invoice_date],SMALL(IF(ISNUMBER(MATCH(orderHistory[customer],$D$9,0)*MATCH(orderHistory[status],$D$11,0)),MATCH(ROW(orderHistory[customer]),ROW(orderHistory[customer])),""),ROWS($A$15:A57)+$B$3)),INDEX(orderHistory[invoice_date],SMALL(IF(ISNUMBER(MATCH(orderHistory[customer],$D$9,0)*MATCH(orderHistory[status],$D$11,0)*MATCH(YEAR(orderHistory[invoice_date]),$D$15,0)),MATCH(ROW(orderHistory[customer]),ROW(orderHistory[customer])),""),ROWS($A$15:A57)+$B$3))),IF($D$15="",INDEX(orderHistory[invoice_date],SMALL(IF(ISNUMBER(MATCH(orderHistory[customer],$D$9,0)*MATCH(orderHistory[status],$D$11,0)*MATCH(orderHistory[order_type],$D$13,0)),MATCH(ROW(orderHistory[customer]),ROW(orderHistory[customer])),""),ROWS($A$15:A57)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45335</v>
      </c>
      <c r="R52" s="387">
        <f t="array" ref="R52">IFERROR(IF($D$9="",IF($D$11="",IF($D$13="",IF($D$15="",INDEX(orderHistory[inv_amount],SMALL(MATCH(ROW(orderHistory[customer]),ROW(orderHistory[customer])),ROWS($A$15:A57)+$B$3)),INDEX(orderHistory[inv_amount],SMALL(IF(ISNUMBER(MATCH(YEAR(orderHistory[invoice_date]),$D$15,0)),MATCH(ROW(orderHistory[customer]),ROW(orderHistory[customer])),""),ROWS($A$15:A57)+$B$3))),IF($D$15="",INDEX(orderHistory[inv_amount],SMALL(IF(ISNUMBER(MATCH(orderHistory[order_type],$D$13,0)),MATCH(ROW(orderHistory[customer]),ROW(orderHistory[customer])),""),ROWS($A$15:A57)+$B$3)),INDEX(orderHistory[inv_amount],SMALL(IF(ISNUMBER(MATCH(orderHistory[order_type],$D$13,0)*MATCH(YEAR(orderHistory[invoice_date]),$D$15,0)),MATCH(ROW(orderHistory[customer]),ROW(orderHistory[customer])),""),ROWS($A$15:A57)+$B$3)))),IF($D$13="",IF($D$15="",INDEX(orderHistory[inv_amount],SMALL(IF(ISNUMBER(MATCH(orderHistory[status],$D$11,0)),MATCH(ROW(orderHistory[customer]),ROW(orderHistory[customer])),""),ROWS($A$15:A57)+$B$3)),INDEX(orderHistory[inv_amount],SMALL(IF(ISNUMBER(MATCH(orderHistory[status],$D$11,0)*MATCH(YEAR(orderHistory[invoice_date]),$D$15,0)),MATCH(ROW(orderHistory[customer]),ROW(orderHistory[customer])),""),ROWS($A$15:A57)+$B$3))),IF($D$15="",INDEX(orderHistory[inv_amount],SMALL(IF(ISNUMBER(MATCH(orderHistory[status],$D$11,0)*MATCH(orderHistory[order_type],$D$13,0)),MATCH(ROW(orderHistory[customer]),ROW(orderHistory[customer])),""),ROWS($A$15:A57)+$B$3)),INDEX(orderHistory[inv_amount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inv_amount],SMALL(IF(ISNUMBER(MATCH(orderHistory[customer],$D$9,0)),MATCH(ROW(orderHistory[customer]),ROW(orderHistory[customer])),""),ROWS($A$15:A57)+$B$3)),INDEX(orderHistory[inv_amount],SMALL(IF(ISNUMBER(MATCH(orderHistory[customer],$D$9,0)*MATCH(YEAR(orderHistory[invoice_date]),$D$15,0)),MATCH(ROW(orderHistory[customer]),ROW(orderHistory[customer])),""),ROWS($A$15:A57)+$B$3))),IF($D$15="",INDEX(orderHistory[inv_amount],SMALL(IF(ISNUMBER(MATCH(orderHistory[customer],$D$9,0)*MATCH(orderHistory[order_type],$D$13,0)),MATCH(ROW(orderHistory[customer]),ROW(orderHistory[customer])),""),ROWS($A$15:A57)+$B$3)),INDEX(orderHistory[inv_amount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inv_amount],SMALL(IF(ISNUMBER(MATCH(orderHistory[customer],$D$9,0)*MATCH(orderHistory[status],$D$11,0)),MATCH(ROW(orderHistory[customer]),ROW(orderHistory[customer])),""),ROWS($A$15:A57)+$B$3)),INDEX(orderHistory[inv_amount],SMALL(IF(ISNUMBER(MATCH(orderHistory[customer],$D$9,0)*MATCH(orderHistory[status],$D$11,0)*MATCH(YEAR(orderHistory[inv_amount]),$D$15,0)),MATCH(ROW(orderHistory[customer]),ROW(orderHistory[customer])),""),ROWS($A$15:A57)+$B$3))),IF($D$15="",INDEX(orderHistory[inv_amount],SMALL(IF(ISNUMBER(MATCH(orderHistory[customer],$D$9,0)*MATCH(orderHistory[status],$D$11,0)*MATCH(orderHistory[order_type],$D$13,0)),MATCH(ROW(orderHistory[customer]),ROW(orderHistory[customer])),""),ROWS($A$15:A57)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79200</v>
      </c>
      <c r="S52" s="465" t="str">
        <f t="array" ref="S52">IFERROR(IF($D$9="",IF($D$11="",IF($D$13="",IF($D$15="",INDEX(orderHistory[lock_goods],SMALL(MATCH(ROW(orderHistory[customer]),ROW(orderHistory[customer])),ROWS($A$15:A57)+$B$3)),INDEX(orderHistory[lock_goods],SMALL(IF(ISNUMBER(MATCH(YEAR(orderHistory[invoice_date]),$D$15,0)),MATCH(ROW(orderHistory[customer]),ROW(orderHistory[customer])),""),ROWS($A$15:A57)+$B$3))),IF($D$15="",INDEX(orderHistory[lock_goods],SMALL(IF(ISNUMBER(MATCH(orderHistory[order_type],$D$13,0)),MATCH(ROW(orderHistory[customer]),ROW(orderHistory[customer])),""),ROWS($A$15:A57)+$B$3)),INDEX(orderHistory[lock_goods],SMALL(IF(ISNUMBER(MATCH(orderHistory[order_type],$D$13,0)*MATCH(YEAR(orderHistory[invoice_date]),$D$15,0)),MATCH(ROW(orderHistory[customer]),ROW(orderHistory[customer])),""),ROWS($A$15:A57)+$B$3)))),IF($D$13="",IF($D$15="",INDEX(orderHistory[lock_goods],SMALL(IF(ISNUMBER(MATCH(orderHistory[status],$D$11,0)),MATCH(ROW(orderHistory[customer]),ROW(orderHistory[customer])),""),ROWS($A$15:A57)+$B$3)),INDEX(orderHistory[lock_goods],SMALL(IF(ISNUMBER(MATCH(orderHistory[status],$D$11,0)*MATCH(YEAR(orderHistory[invoice_date]),$D$15,0)),MATCH(ROW(orderHistory[customer]),ROW(orderHistory[customer])),""),ROWS($A$15:A57)+$B$3))),IF($D$15="",INDEX(orderHistory[lock_goods],SMALL(IF(ISNUMBER(MATCH(orderHistory[status],$D$11,0)*MATCH(orderHistory[order_type],$D$13,0)),MATCH(ROW(orderHistory[customer]),ROW(orderHistory[customer])),""),ROWS($A$15:A57)+$B$3)),INDEX(orderHistory[lock_goods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lock_goods],SMALL(IF(ISNUMBER(MATCH(orderHistory[customer],$D$9,0)),MATCH(ROW(orderHistory[customer]),ROW(orderHistory[customer])),""),ROWS($A$15:A57)+$B$3)),INDEX(orderHistory[lock_goods],SMALL(IF(ISNUMBER(MATCH(orderHistory[customer],$D$9,0)*MATCH(YEAR(orderHistory[invoice_date]),$D$15,0)),MATCH(ROW(orderHistory[customer]),ROW(orderHistory[customer])),""),ROWS($A$15:A57)+$B$3))),IF($D$15="",INDEX(orderHistory[lock_goods],SMALL(IF(ISNUMBER(MATCH(orderHistory[customer],$D$9,0)*MATCH(orderHistory[order_type],$D$13,0)),MATCH(ROW(orderHistory[customer]),ROW(orderHistory[customer])),""),ROWS($A$15:A57)+$B$3)),INDEX(orderHistory[lock_goods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lock_goods],SMALL(IF(ISNUMBER(MATCH(orderHistory[customer],$D$9,0)*MATCH(orderHistory[status],$D$11,0)),MATCH(ROW(orderHistory[customer]),ROW(orderHistory[customer])),""),ROWS($A$15:A57)+$B$3)),INDEX(orderHistory[lock_goods],SMALL(IF(ISNUMBER(MATCH(orderHistory[customer],$D$9,0)*MATCH(orderHistory[status],$D$11,0)*MATCH(YEAR(orderHistory[payed]),$D$15,0)),MATCH(ROW(orderHistory[customer]),ROW(orderHistory[customer])),""),ROWS($A$15:A57)+$B$3))),IF($D$15="",INDEX(orderHistory[lock_goods],SMALL(IF(ISNUMBER(MATCH(orderHistory[customer],$D$9,0)*MATCH(orderHistory[status],$D$11,0)*MATCH(orderHistory[order_type],$D$13,0)),MATCH(ROW(orderHistory[customer]),ROW(orderHistory[customer])),""),ROWS($A$15:A57)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GOODS SENT</v>
      </c>
      <c r="T52" s="388" t="b">
        <f t="array" ref="T52">IFERROR(IF($D$9="",IF($D$11="",IF($D$13="",IF($D$15="",INDEX(orderHistory[payed],SMALL(MATCH(ROW(orderHistory[customer]),ROW(orderHistory[customer])),ROWS($A$15:A57)+$B$3)),INDEX(orderHistory[payed],SMALL(IF(ISNUMBER(MATCH(YEAR(orderHistory[invoice_date]),$D$15,0)),MATCH(ROW(orderHistory[customer]),ROW(orderHistory[customer])),""),ROWS($A$15:A57)+$B$3))),IF($D$15="",INDEX(orderHistory[payed],SMALL(IF(ISNUMBER(MATCH(orderHistory[order_type],$D$13,0)),MATCH(ROW(orderHistory[customer]),ROW(orderHistory[customer])),""),ROWS($A$15:A57)+$B$3)),INDEX(orderHistory[payed],SMALL(IF(ISNUMBER(MATCH(orderHistory[order_type],$D$13,0)*MATCH(YEAR(orderHistory[invoice_date]),$D$15,0)),MATCH(ROW(orderHistory[customer]),ROW(orderHistory[customer])),""),ROWS($A$15:A57)+$B$3)))),IF($D$13="",IF($D$15="",INDEX(orderHistory[payed],SMALL(IF(ISNUMBER(MATCH(orderHistory[status],$D$11,0)),MATCH(ROW(orderHistory[customer]),ROW(orderHistory[customer])),""),ROWS($A$15:A57)+$B$3)),INDEX(orderHistory[payed],SMALL(IF(ISNUMBER(MATCH(orderHistory[status],$D$11,0)*MATCH(YEAR(orderHistory[invoice_date]),$D$15,0)),MATCH(ROW(orderHistory[customer]),ROW(orderHistory[customer])),""),ROWS($A$15:A57)+$B$3))),IF($D$15="",INDEX(orderHistory[payed],SMALL(IF(ISNUMBER(MATCH(orderHistory[status],$D$11,0)*MATCH(orderHistory[order_type],$D$13,0)),MATCH(ROW(orderHistory[customer]),ROW(orderHistory[customer])),""),ROWS($A$15:A57)+$B$3)),INDEX(orderHistory[payed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payed],SMALL(IF(ISNUMBER(MATCH(orderHistory[customer],$D$9,0)),MATCH(ROW(orderHistory[customer]),ROW(orderHistory[customer])),""),ROWS($A$15:A57)+$B$3)),INDEX(orderHistory[payed],SMALL(IF(ISNUMBER(MATCH(orderHistory[customer],$D$9,0)*MATCH(YEAR(orderHistory[invoice_date]),$D$15,0)),MATCH(ROW(orderHistory[customer]),ROW(orderHistory[customer])),""),ROWS($A$15:A57)+$B$3))),IF($D$15="",INDEX(orderHistory[payed],SMALL(IF(ISNUMBER(MATCH(orderHistory[customer],$D$9,0)*MATCH(orderHistory[order_type],$D$13,0)),MATCH(ROW(orderHistory[customer]),ROW(orderHistory[customer])),""),ROWS($A$15:A57)+$B$3)),INDEX(orderHistory[payed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payed],SMALL(IF(ISNUMBER(MATCH(orderHistory[customer],$D$9,0)*MATCH(orderHistory[status],$D$11,0)),MATCH(ROW(orderHistory[customer]),ROW(orderHistory[customer])),""),ROWS($A$15:A57)+$B$3)),INDEX(orderHistory[payed],SMALL(IF(ISNUMBER(MATCH(orderHistory[customer],$D$9,0)*MATCH(orderHistory[status],$D$11,0)*MATCH(YEAR(orderHistory[payed]),$D$15,0)),MATCH(ROW(orderHistory[customer]),ROW(orderHistory[customer])),""),ROWS($A$15:A57)+$B$3))),IF($D$15="",INDEX(orderHistory[payed],SMALL(IF(ISNUMBER(MATCH(orderHistory[customer],$D$9,0)*MATCH(orderHistory[status],$D$11,0)*MATCH(orderHistory[order_type],$D$13,0)),MATCH(ROW(orderHistory[customer]),ROW(orderHistory[customer])),""),ROWS($A$15:A57)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1</v>
      </c>
      <c r="U52" s="383" t="str">
        <f t="array" ref="U52">IFERROR(IF($D$9="",IF($D$11="",IF($D$13="",IF($D$15="",INDEX(orderHistory[shipping_method],SMALL(MATCH(ROW(orderHistory[customer]),ROW(orderHistory[customer])),ROWS($A$15:A57)+$B$3)),INDEX(orderHistory[shipping_method],SMALL(IF(ISNUMBER(MATCH(YEAR(orderHistory[invoice_date]),$D$15,0)),MATCH(ROW(orderHistory[customer]),ROW(orderHistory[customer])),""),ROWS($A$15:A57)+$B$3))),IF($D$15="",INDEX(orderHistory[shipping_method],SMALL(IF(ISNUMBER(MATCH(orderHistory[order_type],$D$13,0)),MATCH(ROW(orderHistory[customer]),ROW(orderHistory[customer])),""),ROWS($A$15:A57)+$B$3)),INDEX(orderHistory[shipping_method],SMALL(IF(ISNUMBER(MATCH(orderHistory[order_type],$D$13,0)*MATCH(YEAR(orderHistory[invoice_date]),$D$15,0)),MATCH(ROW(orderHistory[customer]),ROW(orderHistory[customer])),""),ROWS($A$15:A57)+$B$3)))),IF($D$13="",IF($D$15="",INDEX(orderHistory[shipping_method],SMALL(IF(ISNUMBER(MATCH(orderHistory[status],$D$11,0)),MATCH(ROW(orderHistory[customer]),ROW(orderHistory[customer])),""),ROWS($A$15:A57)+$B$3)),INDEX(orderHistory[shipping_method],SMALL(IF(ISNUMBER(MATCH(orderHistory[status],$D$11,0)*MATCH(YEAR(orderHistory[invoice_date]),$D$15,0)),MATCH(ROW(orderHistory[customer]),ROW(orderHistory[customer])),""),ROWS($A$15:A57)+$B$3))),IF($D$15="",INDEX(orderHistory[shipping_method],SMALL(IF(ISNUMBER(MATCH(orderHistory[status],$D$11,0)*MATCH(orderHistory[order_type],$D$13,0)),MATCH(ROW(orderHistory[customer]),ROW(orderHistory[customer])),""),ROWS($A$15:A57)+$B$3)),INDEX(orderHistory[shipping_method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shipping_method],SMALL(IF(ISNUMBER(MATCH(orderHistory[customer],$D$9,0)),MATCH(ROW(orderHistory[customer]),ROW(orderHistory[customer])),""),ROWS($A$15:A57)+$B$3)),INDEX(orderHistory[shipping_method],SMALL(IF(ISNUMBER(MATCH(orderHistory[customer],$D$9,0)*MATCH(YEAR(orderHistory[invoice_date]),$D$15,0)),MATCH(ROW(orderHistory[customer]),ROW(orderHistory[customer])),""),ROWS($A$15:A57)+$B$3))),IF($D$15="",INDEX(orderHistory[shipping_method],SMALL(IF(ISNUMBER(MATCH(orderHistory[customer],$D$9,0)*MATCH(orderHistory[order_type],$D$13,0)),MATCH(ROW(orderHistory[customer]),ROW(orderHistory[customer])),""),ROWS($A$15:A57)+$B$3)),INDEX(orderHistory[shipping_method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shipping_method],SMALL(IF(ISNUMBER(MATCH(orderHistory[customer],$D$9,0)*MATCH(orderHistory[status],$D$11,0)),MATCH(ROW(orderHistory[customer]),ROW(orderHistory[customer])),""),ROWS($A$15:A57)+$B$3)),INDEX(orderHistory[shipping_method],SMALL(IF(ISNUMBER(MATCH(orderHistory[customer],$D$9,0)*MATCH(orderHistory[status],$D$11,0)*MATCH(YEAR(orderHistory[shipping_method]),$D$15,0)),MATCH(ROW(orderHistory[customer]),ROW(orderHistory[customer])),""),ROWS($A$15:A57)+$B$3))),IF($D$15="",INDEX(orderHistory[shipping_method],SMALL(IF(ISNUMBER(MATCH(orderHistory[customer],$D$9,0)*MATCH(orderHistory[status],$D$11,0)*MATCH(orderHistory[order_type],$D$13,0)),MATCH(ROW(orderHistory[customer]),ROW(orderHistory[customer])),""),ROWS($A$15:A57)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BY ROAD</v>
      </c>
      <c r="V52" s="388" t="str">
        <f t="array" ref="V52">IFERROR(IF($D$9="",IF($D$11="",IF($D$13="",IF($D$15="",INDEX(orderHistory[status],SMALL(MATCH(ROW(orderHistory[customer]),ROW(orderHistory[customer])),ROWS($A$15:A57)+$B$3)),INDEX(orderHistory[status],SMALL(IF(ISNUMBER(MATCH(YEAR(orderHistory[invoice_date]),$D$15,0)),MATCH(ROW(orderHistory[customer]),ROW(orderHistory[customer])),""),ROWS($A$15:A57)+$B$3))),IF($D$15="",INDEX(orderHistory[status],SMALL(IF(ISNUMBER(MATCH(orderHistory[order_type],$D$13,0)),MATCH(ROW(orderHistory[customer]),ROW(orderHistory[customer])),""),ROWS($A$15:A57)+$B$3)),INDEX(orderHistory[status],SMALL(IF(ISNUMBER(MATCH(orderHistory[order_type],$D$13,0)*MATCH(YEAR(orderHistory[invoice_date]),$D$15,0)),MATCH(ROW(orderHistory[customer]),ROW(orderHistory[customer])),""),ROWS($A$15:A57)+$B$3)))),IF($D$13="",IF($D$15="",INDEX(orderHistory[status],SMALL(IF(ISNUMBER(MATCH(orderHistory[status],$D$11,0)),MATCH(ROW(orderHistory[customer]),ROW(orderHistory[customer])),""),ROWS($A$15:A57)+$B$3)),INDEX(orderHistory[status],SMALL(IF(ISNUMBER(MATCH(orderHistory[status],$D$11,0)*MATCH(YEAR(orderHistory[invoice_date]),$D$15,0)),MATCH(ROW(orderHistory[customer]),ROW(orderHistory[customer])),""),ROWS($A$15:A57)+$B$3))),IF($D$15="",INDEX(orderHistory[status],SMALL(IF(ISNUMBER(MATCH(orderHistory[status],$D$11,0)*MATCH(orderHistory[order_type],$D$13,0)),MATCH(ROW(orderHistory[customer]),ROW(orderHistory[customer])),""),ROWS($A$15:A57)+$B$3)),INDEX(orderHistory[status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status],SMALL(IF(ISNUMBER(MATCH(orderHistory[customer],$D$9,0)),MATCH(ROW(orderHistory[customer]),ROW(orderHistory[customer])),""),ROWS($A$15:A57)+$B$3)),INDEX(orderHistory[status],SMALL(IF(ISNUMBER(MATCH(orderHistory[customer],$D$9,0)*MATCH(YEAR(orderHistory[invoice_date]),$D$15,0)),MATCH(ROW(orderHistory[customer]),ROW(orderHistory[customer])),""),ROWS($A$15:A57)+$B$3))),IF($D$15="",INDEX(orderHistory[status],SMALL(IF(ISNUMBER(MATCH(orderHistory[customer],$D$9,0)*MATCH(orderHistory[order_type],$D$13,0)),MATCH(ROW(orderHistory[customer]),ROW(orderHistory[customer])),""),ROWS($A$15:A57)+$B$3)),INDEX(orderHistory[status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status],SMALL(IF(ISNUMBER(MATCH(orderHistory[customer],$D$9,0)*MATCH(orderHistory[status],$D$11,0)),MATCH(ROW(orderHistory[customer]),ROW(orderHistory[customer])),""),ROWS($A$15:A57)+$B$3)),INDEX(orderHistory[status],SMALL(IF(ISNUMBER(MATCH(orderHistory[customer],$D$9,0)*MATCH(orderHistory[status],$D$11,0)*MATCH(YEAR(orderHistory[status]),$D$15,0)),MATCH(ROW(orderHistory[customer]),ROW(orderHistory[customer])),""),ROWS($A$15:A57)+$B$3))),IF($D$15="",INDEX(orderHistory[status],SMALL(IF(ISNUMBER(MATCH(orderHistory[customer],$D$9,0)*MATCH(orderHistory[status],$D$11,0)*MATCH(orderHistory[order_type],$D$13,0)),MATCH(ROW(orderHistory[customer]),ROW(orderHistory[customer])),""),ROWS($A$15:A57)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SHIPPED</v>
      </c>
      <c r="W52" s="547" t="str">
        <f t="array" ref="W52">IFERROR(IF($D$9="",IF($D$11="",IF($D$13="",IF($D$15="",INDEX(orderHistory[custom_docs],SMALL(MATCH(ROW(orderHistory[customer]),ROW(orderHistory[customer])),ROWS($A$15:A57)+$B$3)),INDEX(orderHistory[custom_docs],SMALL(IF(ISNUMBER(MATCH(YEAR(orderHistory[invoice_date]),$D$15,0)),MATCH(ROW(orderHistory[customer]),ROW(orderHistory[customer])),""),ROWS($A$15:A57)+$B$3))),IF($D$15="",INDEX(orderHistory[custom_docs],SMALL(IF(ISNUMBER(MATCH(orderHistory[order_type],$D$13,0)),MATCH(ROW(orderHistory[customer]),ROW(orderHistory[customer])),""),ROWS($A$15:A57)+$B$3)),INDEX(orderHistory[custom_docs],SMALL(IF(ISNUMBER(MATCH(orderHistory[order_type],$D$13,0)*MATCH(YEAR(orderHistory[invoice_date]),$D$15,0)),MATCH(ROW(orderHistory[customer]),ROW(orderHistory[customer])),""),ROWS($A$15:A57)+$B$3)))),IF($D$13="",IF($D$15="",INDEX(orderHistory[custom_docs],SMALL(IF(ISNUMBER(MATCH(orderHistory[status],$D$11,0)),MATCH(ROW(orderHistory[customer]),ROW(orderHistory[customer])),""),ROWS($A$15:A57)+$B$3)),INDEX(orderHistory[custom_docs],SMALL(IF(ISNUMBER(MATCH(orderHistory[status],$D$11,0)*MATCH(YEAR(orderHistory[invoice_date]),$D$15,0)),MATCH(ROW(orderHistory[customer]),ROW(orderHistory[customer])),""),ROWS($A$15:A57)+$B$3))),IF($D$15="",INDEX(orderHistory[custom_docs],SMALL(IF(ISNUMBER(MATCH(orderHistory[status],$D$11,0)*MATCH(orderHistory[order_type],$D$13,0)),MATCH(ROW(orderHistory[customer]),ROW(orderHistory[customer])),""),ROWS($A$15:A57)+$B$3)),INDEX(orderHistory[custom_docs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custom_docs],SMALL(IF(ISNUMBER(MATCH(orderHistory[customer],$D$9,0)),MATCH(ROW(orderHistory[customer]),ROW(orderHistory[customer])),""),ROWS($A$15:A57)+$B$3)),INDEX(orderHistory[custom_docs],SMALL(IF(ISNUMBER(MATCH(orderHistory[customer],$D$9,0)*MATCH(YEAR(orderHistory[invoice_date]),$D$15,0)),MATCH(ROW(orderHistory[customer]),ROW(orderHistory[customer])),""),ROWS($A$15:A57)+$B$3))),IF($D$15="",INDEX(orderHistory[custom_docs],SMALL(IF(ISNUMBER(MATCH(orderHistory[customer],$D$9,0)*MATCH(orderHistory[order_type],$D$13,0)),MATCH(ROW(orderHistory[customer]),ROW(orderHistory[customer])),""),ROWS($A$15:A57)+$B$3)),INDEX(orderHistory[custom_docs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custom_docs],SMALL(IF(ISNUMBER(MATCH(orderHistory[customer],$D$9,0)*MATCH(orderHistory[status],$D$11,0)),MATCH(ROW(orderHistory[customer]),ROW(orderHistory[customer])),""),ROWS($A$15:A57)+$B$3)),INDEX(orderHistory[custom_docs],SMALL(IF(ISNUMBER(MATCH(orderHistory[customer],$D$9,0)*MATCH(orderHistory[status],$D$11,0)*MATCH(YEAR(orderHistory[status]),$D$15,0)),MATCH(ROW(orderHistory[customer]),ROW(orderHistory[customer])),""),ROWS($A$15:A57)+$B$3))),IF($D$15="",INDEX(orderHistory[custom_docs],SMALL(IF(ISNUMBER(MATCH(orderHistory[customer],$D$9,0)*MATCH(orderHistory[status],$D$11,0)*MATCH(orderHistory[order_type],$D$13,0)),MATCH(ROW(orderHistory[customer]),ROW(orderHistory[customer])),""),ROWS($A$15:A57)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OK</v>
      </c>
      <c r="AQ52" s="280"/>
      <c r="AR52" s="280" t="s">
        <v>576</v>
      </c>
      <c r="BG52" s="215"/>
      <c r="BK52" s="296"/>
      <c r="BL52" s="297"/>
      <c r="BM52" s="298"/>
      <c r="BN52" s="297"/>
      <c r="BO52" s="298"/>
      <c r="BZ52" s="412"/>
      <c r="CA52" s="401" t="str">
        <f>IFERROR(IF(BZ52="","",INDEX(bhpc_data[description],MATCH(BZ52,bhpc_data[sku],0))),"")</f>
        <v/>
      </c>
      <c r="CB52" s="402"/>
      <c r="CC52" s="886"/>
      <c r="CD52" s="411"/>
      <c r="CE52" s="890"/>
      <c r="CF52" s="404"/>
      <c r="CG52" s="405" t="str">
        <f>IFERROR(ROUNDUP(CB52/INDEX(bhpc_data[units_per_carton],MATCH(BZ52,bhpc_data[sku],0)),0),"")</f>
        <v/>
      </c>
      <c r="CH52" s="406" t="str">
        <f>IFERROR(ROUNDUP(CD52/INDEX(bhpc_data[units_per_carton],MATCH(BZ52,bhpc_data[sku],0)),0),"")</f>
        <v/>
      </c>
      <c r="CI52" s="406" t="str">
        <f>IFERROR(ROUNDUP(CF52/INDEX(bhpc_data[units_per_carton],MATCH(BZ52,bhpc_data[sku])),0),"")</f>
        <v/>
      </c>
      <c r="CJ52" s="406" t="str">
        <f>IFERROR(((CB52+CD52+CF52)/INDEX(bhpc_data[units_per_carton],MATCH(BZ52,bhpc_data[sku],0)))*INDEX(bhpc_data[net_weight],MATCH(BZ52,bhpc_data[sku],0)),"")</f>
        <v/>
      </c>
      <c r="CK52" s="406" t="str">
        <f>IFERROR(((CB52+CD52+CF52)/INDEX(bhpc_data[units_per_carton],MATCH(BZ52,bhpc_data[sku],0)))*INDEX(bhpc_data[gross_weight],MATCH(BZ52,bhpc_data[sku],0)),"")</f>
        <v/>
      </c>
      <c r="CL52" s="602" t="str">
        <f>IFERROR((CB52+CD52+CF52)/INDEX(bhpc_data[units_per_carton],MATCH(BZ52,bhpc_data[sku],0))*INDEX(bhpc_data[length],MATCH(BZ52,bhpc_data[sku],0))*INDEX(bhpc_data[width],MATCH(BZ52,bhpc_data[sku],0))*INDEX(bhpc_data[height],MATCH(BZ52,bhpc_data[sku],0))/1000000000,"")</f>
        <v/>
      </c>
      <c r="CM52" s="407" t="str">
        <f>IFERROR(INDEX(bhpc_data[category],MATCH(BZ52,bhpc_data[sku],0)),"")</f>
        <v/>
      </c>
      <c r="CN52" s="407" t="str">
        <f>IFERROR(INDEX(bhpc_data[size],MATCH(BZ52,bhpc_data[sku],0)),"")</f>
        <v/>
      </c>
      <c r="CO52" s="408" t="str">
        <f>IFERROR(INDEX(bhpc_data[hs_code],MATCH(BZ52,bhpc_data[sku],0)),"")</f>
        <v/>
      </c>
      <c r="CP52" s="489" t="str">
        <f>IFERROR(INDEX(bhpc_data[sku_geko],MATCH(BZ52,bhpc_data[sku],0)),"")</f>
        <v/>
      </c>
      <c r="CQ52" s="404"/>
      <c r="CR52" s="517" t="str">
        <f>IFERROR(IF(BZ52="","",IF($BX$15="SALE",INDEX(inventory[COSTO UNITARIO],MATCH(BZ52,inventory[SKU],0)),IF($BX$15="SAMPLING",INDEX(inventory[COSTO UNITARIO],MATCH(BZ52,inventory[SKU],0)),""))),"")</f>
        <v/>
      </c>
      <c r="CS52" s="517" t="str">
        <f t="shared" si="7"/>
        <v/>
      </c>
      <c r="CT52" s="896" t="str">
        <f t="shared" si="8"/>
        <v/>
      </c>
      <c r="CU52" s="469" t="str">
        <f t="shared" si="0"/>
        <v/>
      </c>
      <c r="CV52" s="280"/>
      <c r="CW52" s="280"/>
      <c r="CX52" s="280"/>
      <c r="CY52" s="280"/>
      <c r="CZ52" s="280"/>
      <c r="DA52" s="280"/>
      <c r="DB52" s="280" t="str">
        <f>IFERROR(VLOOKUP(BZ52,bhpc_data[],22,FALSE),"")</f>
        <v/>
      </c>
      <c r="EE52" s="445" t="str" cm="1">
        <f t="array" ref="EE52">IFERROR(IF($EC$9="",IF($EC$11="",IF($EC$13="",INDEX(bhpc_data[sku],SMALL(MATCH(ROW(bhpc_data[sku]),ROW(bhpc_data[sku])),ROWS($A$15:A57)+$B$3)),INDEX(bhpc_data[sku],SMALL(IF(ISNUMBER(MATCH(bhpc_data[size],$EC$13,0)),MATCH(ROW(bhpc_data[sku]),ROW(bhpc_data[sku])),""),ROWS($A$15:A57)+$B$3))),IF($EC$13="",INDEX(bhpc_data[sku],SMALL(IF(ISNUMBER(MATCH(bhpc_data[sex],$EC$11,0)),MATCH(ROW(bhpc_data[sku]),ROW(bhpc_data[sku])),""),ROWS($A$15:A57)+$B$3)),INDEX(bhpc_data[sku],SMALL(IF(ISNUMBER(MATCH(bhpc_data[sex],$EC$11,0)*MATCH(bhpc_data[size],$EC$13,0)),MATCH(ROW(bhpc_data[sku]),ROW(bhpc_data[sku])),""),ROWS($A$15:A57)+$B$3)))),IF($EC$11="",IF($EC$13="",INDEX(bhpc_data[sku],SMALL(IF(ISNUMBER(MATCH(bhpc_data[category],$EC$9,0)),MATCH(ROW(bhpc_data[sku]),ROW(bhpc_data[sku])),""),ROWS($A$15:A57)+$B$3)),INDEX(bhpc_data[sku],SMALL(IF(ISNUMBER(MATCH(bhpc_data[category],$EC$9,0)*MATCH(bhpc_data[size],$EC$13,0)),MATCH(ROW(bhpc_data[sku]),ROW(bhpc_data[sku])),""),ROWS($A$15:A57)+$B$3))),IF($EC$13="",INDEX(bhpc_data[sku],SMALL(IF(ISNUMBER(MATCH(bhpc_data[category],$EC$9,0)*MATCH(bhpc_data[sex],$EC$11,0)),MATCH(ROW(bhpc_data[sku]),ROW(bhpc_data[sku])),""),ROWS($A$15:A57)+$B$3)),INDEX(bhpc_data[sku],SMALL(IF(ISNUMBER(MATCH(bhpc_data[category],$EC$9,0)*MATCH(bhpc_data[sex],$EC$11,0)*MATCH(bhpc_data[size],$EC$13,0)),MATCH(ROW(bhpc_data[sku]),ROW(bhpc_data[sku])),""),ROWS($A$15:A57)+$B$3))))),"")</f>
        <v>PT6004</v>
      </c>
      <c r="EF52" s="446" t="str" cm="1">
        <f t="array" ref="EF52">IFERROR(IF($EC$9="",IF($EC$11="",IF($EC$13="",INDEX(bhpc_data[description],SMALL(MATCH(ROW(bhpc_data[sku]),ROW(bhpc_data[sku])),ROWS($A$15:A57)+$B$3)),INDEX(bhpc_data[description],SMALL(IF(ISNUMBER(MATCH(bhpc_data[size],$EC$13,0)),MATCH(ROW(bhpc_data[sku]),ROW(bhpc_data[sku])),""),ROWS($A$15:A57)+$B$3))),IF($EC$13="",INDEX(bhpc_data[description],SMALL(IF(ISNUMBER(MATCH(bhpc_data[sex],$EC$11,0)),MATCH(ROW(bhpc_data[sku]),ROW(bhpc_data[sku])),""),ROWS($A$15:A57)+$B$3)),INDEX(bhpc_data[description],SMALL(IF(ISNUMBER(MATCH(bhpc_data[sex],$EC$11,0)*MATCH(bhpc_data[size],$EC$13,0)),MATCH(ROW(bhpc_data[sku]),ROW(bhpc_data[sku])),""),ROWS($A$15:A57)+$B$3)))),IF($EC$11="",IF($EC$13="",INDEX(bhpc_data[description],SMALL(IF(ISNUMBER(MATCH(bhpc_data[category],$EC$9,0)),MATCH(ROW(bhpc_data[sku]),ROW(bhpc_data[sku])),""),ROWS($A$15:A57)+$B$3)),INDEX(bhpc_data[description],SMALL(IF(ISNUMBER(MATCH(bhpc_data[category],$EC$9,0)*MATCH(bhpc_data[size],$EC$13,0)),MATCH(ROW(bhpc_data[sku]),ROW(bhpc_data[sku])),""),ROWS($A$15:A57)+$B$3))),IF($EC$13="",INDEX(bhpc_data[description],SMALL(IF(ISNUMBER(MATCH(bhpc_data[category],$EC$9,0)*MATCH(bhpc_data[sex],$EC$11,0)),MATCH(ROW(bhpc_data[sku]),ROW(bhpc_data[sku])),""),ROWS($A$15:A57)+$B$3)),INDEX(bhpc_data[description],SMALL(IF(ISNUMBER(MATCH(bhpc_data[category],$EC$9,0)*MATCH(bhpc_data[sex],$EC$11,0)*MATCH(bhpc_data[size],$EC$13,0)),MATCH(ROW(bhpc_data[sku]),ROW(bhpc_data[sku])),""),ROWS($A$15:A57)+$B$3))))),"")</f>
        <v>BHPC TESTERS ELEGANCE 100ML EDP WOMEN</v>
      </c>
      <c r="EG52" s="447">
        <f>IFERROR(IF('BHPC MANAGER'!$EE52="","",INDEX(inventory[ESISTENZA],MATCH('BHPC MANAGER'!$EE52,inventory[SKU],0))),0)</f>
        <v>0</v>
      </c>
      <c r="EH52" s="448" t="s">
        <v>861</v>
      </c>
      <c r="EI52" s="448">
        <f t="shared" si="1"/>
        <v>0</v>
      </c>
      <c r="EJ52" s="449" t="s">
        <v>861</v>
      </c>
      <c r="EK52" s="450">
        <f t="shared" si="2"/>
        <v>0</v>
      </c>
      <c r="EO52" s="215" t="str">
        <f t="array" ref="EO52">IFERROR(INDEX(orderHistory[order_no],SMALL(IF(ISNUMBER(MATCH(orderHistory[status],$EO$7,0)),MATCH(ROW(orderHistory[order_no]),ROW(orderHistory[order_no])),""),ROWS($A$15:A57))),"")</f>
        <v/>
      </c>
    </row>
    <row r="53" spans="10:145" ht="15" customHeight="1" x14ac:dyDescent="0.35">
      <c r="J53" s="264"/>
      <c r="K53" s="264"/>
      <c r="L53" s="381" t="str">
        <f t="array" ref="L53">IFERROR(IF($D$9="",IF($D$11="",IF($D$13="",IF($D$15="",INDEX(orderHistory[customer],SMALL(MATCH(ROW(orderHistory[customer]),ROW(orderHistory[customer])),ROWS($A$15:A58)+$B$3)),INDEX(orderHistory[customer],SMALL(IF(ISNUMBER(MATCH(YEAR(orderHistory[invoice_date]),$D$15,0)),MATCH(ROW(orderHistory[customer]),ROW(orderHistory[customer])),""),ROWS($A$15:A58)+$B$3))),IF($D$15="",INDEX(orderHistory[customer],SMALL(IF(ISNUMBER(MATCH(orderHistory[order_type],$D$13,0)),MATCH(ROW(orderHistory[customer]),ROW(orderHistory[customer])),""),ROWS($A$15:A58)+$B$3)),INDEX(orderHistory[customer],SMALL(IF(ISNUMBER(MATCH(orderHistory[order_type],$D$13,0)*MATCH(YEAR(orderHistory[invoice_date]),$D$15,0)),MATCH(ROW(orderHistory[customer]),ROW(orderHistory[customer])),""),ROWS($A$15:A58)+$B$3)))),IF($D$13="",IF($D$15="",INDEX(orderHistory[customer],SMALL(IF(ISNUMBER(MATCH(orderHistory[status],$D$11,0)),MATCH(ROW(orderHistory[customer]),ROW(orderHistory[customer])),""),ROWS($A$15:A58)+$B$3)),INDEX(orderHistory[customer],SMALL(IF(ISNUMBER(MATCH(orderHistory[status],$D$11,0)*MATCH(YEAR(orderHistory[invoice_date]),$D$15,0)),MATCH(ROW(orderHistory[customer]),ROW(orderHistory[customer])),""),ROWS($A$15:A58)+$B$3))),IF($D$15="",INDEX(orderHistory[customer],SMALL(IF(ISNUMBER(MATCH(orderHistory[status],$D$11,0)*MATCH(orderHistory[order_type],$D$13,0)),MATCH(ROW(orderHistory[customer]),ROW(orderHistory[customer])),""),ROWS($A$15:A58)+$B$3)),INDEX(orderHistory[customer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customer],SMALL(IF(ISNUMBER(MATCH(orderHistory[customer],$D$9,0)),MATCH(ROW(orderHistory[customer]),ROW(orderHistory[customer])),""),ROWS($A$15:A58)+$B$3)),INDEX(orderHistory[customer],SMALL(IF(ISNUMBER(MATCH(orderHistory[customer],$D$9,0)*MATCH(YEAR(orderHistory[invoice_date]),$D$15,0)),MATCH(ROW(orderHistory[customer]),ROW(orderHistory[customer])),""),ROWS($A$15:A58)+$B$3))),IF($D$15="",INDEX(orderHistory[customer],SMALL(IF(ISNUMBER(MATCH(orderHistory[customer],$D$9,0)*MATCH(orderHistory[order_type],$D$13,0)),MATCH(ROW(orderHistory[customer]),ROW(orderHistory[customer])),""),ROWS($A$15:A58)+$B$3)),INDEX(orderHistory[customer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customer],SMALL(IF(ISNUMBER(MATCH(orderHistory[customer],$D$9,0)*MATCH(orderHistory[status],$D$11,0)),MATCH(ROW(orderHistory[customer]),ROW(orderHistory[customer])),""),ROWS($A$15:A58)+$B$3)),INDEX(orderHistory[customer],SMALL(IF(ISNUMBER(MATCH(orderHistory[customer],$D$9,0)*MATCH(orderHistory[status],$D$11,0)*MATCH(YEAR(orderHistory[invoice_date]),$D$15,0)),MATCH(ROW(orderHistory[customer]),ROW(orderHistory[customer])),""),ROWS($A$15:A58)+$B$3))),IF($D$15="",INDEX(orderHistory[customer],SMALL(IF(ISNUMBER(MATCH(orderHistory[customer],$D$9,0)*MATCH(orderHistory[status],$D$11,0)*MATCH(orderHistory[order_type],$D$13,0)),MATCH(ROW(orderHistory[customer]),ROW(orderHistory[customer])),""),ROWS($A$15:A58)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DRUNI</v>
      </c>
      <c r="M53" s="382">
        <f t="array" ref="M53">IFERROR(IF($D$9="",IF($D$11="",IF($D$13="",IF($D$15="",INDEX(orderHistory[order_no],SMALL(MATCH(ROW(orderHistory[customer]),ROW(orderHistory[customer])),ROWS($A$15:A58)+$B$3)),INDEX(orderHistory[order_no],SMALL(IF(ISNUMBER(MATCH(YEAR(orderHistory[invoice_date]),$D$15,0)),MATCH(ROW(orderHistory[customer]),ROW(orderHistory[customer])),""),ROWS($A$15:A58)+$B$3))),IF($D$15="",INDEX(orderHistory[order_no],SMALL(IF(ISNUMBER(MATCH(orderHistory[order_type],$D$13,0)),MATCH(ROW(orderHistory[customer]),ROW(orderHistory[customer])),""),ROWS($A$15:A58)+$B$3)),INDEX(orderHistory[order_no],SMALL(IF(ISNUMBER(MATCH(orderHistory[order_type],$D$13,0)*MATCH(YEAR(orderHistory[invoice_date]),$D$15,0)),MATCH(ROW(orderHistory[customer]),ROW(orderHistory[customer])),""),ROWS($A$15:A58)+$B$3)))),IF($D$13="",IF($D$15="",INDEX(orderHistory[order_no],SMALL(IF(ISNUMBER(MATCH(orderHistory[status],$D$11,0)),MATCH(ROW(orderHistory[customer]),ROW(orderHistory[customer])),""),ROWS($A$15:A58)+$B$3)),INDEX(orderHistory[order_no],SMALL(IF(ISNUMBER(MATCH(orderHistory[status],$D$11,0)*MATCH(YEAR(orderHistory[invoice_date]),$D$15,0)),MATCH(ROW(orderHistory[customer]),ROW(orderHistory[customer])),""),ROWS($A$15:A58)+$B$3))),IF($D$15="",INDEX(orderHistory[order_no],SMALL(IF(ISNUMBER(MATCH(orderHistory[status],$D$11,0)*MATCH(orderHistory[order_type],$D$13,0)),MATCH(ROW(orderHistory[customer]),ROW(orderHistory[customer])),""),ROWS($A$15:A58)+$B$3)),INDEX(orderHistory[order_no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order_no],SMALL(IF(ISNUMBER(MATCH(orderHistory[customer],$D$9,0)),MATCH(ROW(orderHistory[customer]),ROW(orderHistory[customer])),""),ROWS($A$15:A58)+$B$3)),INDEX(orderHistory[order_no],SMALL(IF(ISNUMBER(MATCH(orderHistory[customer],$D$9,0)*MATCH(YEAR(orderHistory[invoice_date]),$D$15,0)),MATCH(ROW(orderHistory[customer]),ROW(orderHistory[customer])),""),ROWS($A$15:A58)+$B$3))),IF($D$15="",INDEX(orderHistory[order_no],SMALL(IF(ISNUMBER(MATCH(orderHistory[customer],$D$9,0)*MATCH(orderHistory[order_type],$D$13,0)),MATCH(ROW(orderHistory[customer]),ROW(orderHistory[customer])),""),ROWS($A$15:A58)+$B$3)),INDEX(orderHistory[order_no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order_no],SMALL(IF(ISNUMBER(MATCH(orderHistory[customer],$D$9,0)*MATCH(orderHistory[status],$D$11,0)),MATCH(ROW(orderHistory[customer]),ROW(orderHistory[customer])),""),ROWS($A$15:A58)+$B$3)),INDEX(orderHistory[order_no],SMALL(IF(ISNUMBER(MATCH(orderHistory[customer],$D$9,0)*MATCH(orderHistory[status],$D$11,0)*MATCH(YEAR(orderHistory[invoice_date]),$D$15,0)),MATCH(ROW(orderHistory[customer]),ROW(orderHistory[customer])),""),ROWS($A$15:A58)+$B$3))),IF($D$15="",INDEX(orderHistory[order_no],SMALL(IF(ISNUMBER(MATCH(orderHistory[customer],$D$9,0)*MATCH(orderHistory[status],$D$11,0)*MATCH(orderHistory[order_type],$D$13,0)),MATCH(ROW(orderHistory[customer]),ROW(orderHistory[customer])),""),ROWS($A$15:A58)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4</v>
      </c>
      <c r="N53" s="383" t="str">
        <f t="array" ref="N53">IFERROR(IF($D$9="",IF($D$11="",IF($D$13="",IF($D$15="",INDEX(orderHistory[order_type],SMALL(MATCH(ROW(orderHistory[customer]),ROW(orderHistory[customer])),ROWS($A$15:A58)+$B$3)),INDEX(orderHistory[order_type],SMALL(IF(ISNUMBER(MATCH(YEAR(orderHistory[invoice_date]),$D$15,0)),MATCH(ROW(orderHistory[customer]),ROW(orderHistory[customer])),""),ROWS($A$15:A58)+$B$3))),IF($D$15="",INDEX(orderHistory[order_type],SMALL(IF(ISNUMBER(MATCH(orderHistory[order_type],$D$13,0)),MATCH(ROW(orderHistory[customer]),ROW(orderHistory[customer])),""),ROWS($A$15:A58)+$B$3)),INDEX(orderHistory[order_type],SMALL(IF(ISNUMBER(MATCH(orderHistory[order_type],$D$13,0)*MATCH(YEAR(orderHistory[invoice_date]),$D$15,0)),MATCH(ROW(orderHistory[customer]),ROW(orderHistory[customer])),""),ROWS($A$15:A58)+$B$3)))),IF($D$13="",IF($D$15="",INDEX(orderHistory[order_type],SMALL(IF(ISNUMBER(MATCH(orderHistory[status],$D$11,0)),MATCH(ROW(orderHistory[customer]),ROW(orderHistory[customer])),""),ROWS($A$15:A58)+$B$3)),INDEX(orderHistory[order_type],SMALL(IF(ISNUMBER(MATCH(orderHistory[status],$D$11,0)*MATCH(YEAR(orderHistory[invoice_date]),$D$15,0)),MATCH(ROW(orderHistory[customer]),ROW(orderHistory[customer])),""),ROWS($A$15:A58)+$B$3))),IF($D$15="",INDEX(orderHistory[order_type],SMALL(IF(ISNUMBER(MATCH(orderHistory[status],$D$11,0)*MATCH(orderHistory[order_type],$D$13,0)),MATCH(ROW(orderHistory[customer]),ROW(orderHistory[customer])),""),ROWS($A$15:A58)+$B$3)),INDEX(orderHistory[order_type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order_type],SMALL(IF(ISNUMBER(MATCH(orderHistory[customer],$D$9,0)),MATCH(ROW(orderHistory[customer]),ROW(orderHistory[customer])),""),ROWS($A$15:A58)+$B$3)),INDEX(orderHistory[order_type],SMALL(IF(ISNUMBER(MATCH(orderHistory[customer],$D$9,0)*MATCH(YEAR(orderHistory[invoice_date]),$D$15,0)),MATCH(ROW(orderHistory[customer]),ROW(orderHistory[customer])),""),ROWS($A$15:A58)+$B$3))),IF($D$15="",INDEX(orderHistory[order_type],SMALL(IF(ISNUMBER(MATCH(orderHistory[customer],$D$9,0)*MATCH(orderHistory[order_type],$D$13,0)),MATCH(ROW(orderHistory[customer]),ROW(orderHistory[customer])),""),ROWS($A$15:A58)+$B$3)),INDEX(orderHistory[order_type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order_type],SMALL(IF(ISNUMBER(MATCH(orderHistory[customer],$D$9,0)*MATCH(orderHistory[status],$D$11,0)),MATCH(ROW(orderHistory[customer]),ROW(orderHistory[customer])),""),ROWS($A$15:A58)+$B$3)),INDEX(orderHistory[order_type],SMALL(IF(ISNUMBER(MATCH(orderHistory[customer],$D$9,0)*MATCH(orderHistory[status],$D$11,0)*MATCH(YEAR(orderHistory[invoice_date]),$D$15,0)),MATCH(ROW(orderHistory[customer]),ROW(orderHistory[customer])),""),ROWS($A$15:A58)+$B$3))),IF($D$15="",INDEX(orderHistory[order_type],SMALL(IF(ISNUMBER(MATCH(orderHistory[customer],$D$9,0)*MATCH(orderHistory[status],$D$11,0)*MATCH(orderHistory[order_type],$D$13,0)),MATCH(ROW(orderHistory[customer]),ROW(orderHistory[customer])),""),ROWS($A$15:A58)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SALE</v>
      </c>
      <c r="O53" s="384">
        <f t="array" ref="O53">IFERROR(IF($D$9="",IF($D$11="",IF($D$13="",IF($D$15="",INDEX(orderHistory[order_date],SMALL(MATCH(ROW(orderHistory[customer]),ROW(orderHistory[customer])),ROWS($A$15:A58)+$B$3)),INDEX(orderHistory[order_date],SMALL(IF(ISNUMBER(MATCH(YEAR(orderHistory[invoice_date]),$D$15,0)),MATCH(ROW(orderHistory[customer]),ROW(orderHistory[customer])),""),ROWS($A$15:A58)+$B$3))),IF($D$15="",INDEX(orderHistory[order_date],SMALL(IF(ISNUMBER(MATCH(orderHistory[order_type],$D$13,0)),MATCH(ROW(orderHistory[customer]),ROW(orderHistory[customer])),""),ROWS($A$15:A58)+$B$3)),INDEX(orderHistory[order_date],SMALL(IF(ISNUMBER(MATCH(orderHistory[order_type],$D$13,0)*MATCH(YEAR(orderHistory[invoice_date]),$D$15,0)),MATCH(ROW(orderHistory[customer]),ROW(orderHistory[customer])),""),ROWS($A$15:A58)+$B$3)))),IF($D$13="",IF($D$15="",INDEX(orderHistory[order_date],SMALL(IF(ISNUMBER(MATCH(orderHistory[status],$D$11,0)),MATCH(ROW(orderHistory[customer]),ROW(orderHistory[customer])),""),ROWS($A$15:A58)+$B$3)),INDEX(orderHistory[order_date],SMALL(IF(ISNUMBER(MATCH(orderHistory[status],$D$11,0)*MATCH(YEAR(orderHistory[invoice_date]),$D$15,0)),MATCH(ROW(orderHistory[customer]),ROW(orderHistory[customer])),""),ROWS($A$15:A58)+$B$3))),IF($D$15="",INDEX(orderHistory[order_date],SMALL(IF(ISNUMBER(MATCH(orderHistory[status],$D$11,0)*MATCH(orderHistory[order_type],$D$13,0)),MATCH(ROW(orderHistory[customer]),ROW(orderHistory[customer])),""),ROWS($A$15:A58)+$B$3)),INDEX(orderHistory[order_date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order_date],SMALL(IF(ISNUMBER(MATCH(orderHistory[customer],$D$9,0)),MATCH(ROW(orderHistory[customer]),ROW(orderHistory[customer])),""),ROWS($A$15:A58)+$B$3)),INDEX(orderHistory[order_date],SMALL(IF(ISNUMBER(MATCH(orderHistory[customer],$D$9,0)*MATCH(YEAR(orderHistory[invoice_date]),$D$15,0)),MATCH(ROW(orderHistory[customer]),ROW(orderHistory[customer])),""),ROWS($A$15:A58)+$B$3))),IF($D$15="",INDEX(orderHistory[order_date],SMALL(IF(ISNUMBER(MATCH(orderHistory[customer],$D$9,0)*MATCH(orderHistory[order_type],$D$13,0)),MATCH(ROW(orderHistory[customer]),ROW(orderHistory[customer])),""),ROWS($A$15:A58)+$B$3)),INDEX(orderHistory[order_date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order_date],SMALL(IF(ISNUMBER(MATCH(orderHistory[customer],$D$9,0)*MATCH(orderHistory[status],$D$11,0)),MATCH(ROW(orderHistory[customer]),ROW(orderHistory[customer])),""),ROWS($A$15:A58)+$B$3)),INDEX(orderHistory[order_date],SMALL(IF(ISNUMBER(MATCH(orderHistory[customer],$D$9,0)*MATCH(orderHistory[status],$D$11,0)*MATCH(YEAR(orderHistory[invoice_date]),$D$15,0)),MATCH(ROW(orderHistory[customer]),ROW(orderHistory[customer])),""),ROWS($A$15:A58)+$B$3))),IF($D$15="",INDEX(orderHistory[order_date],SMALL(IF(ISNUMBER(MATCH(orderHistory[customer],$D$9,0)*MATCH(orderHistory[status],$D$11,0)*MATCH(orderHistory[order_type],$D$13,0)),MATCH(ROW(orderHistory[customer]),ROW(orderHistory[customer])),""),ROWS($A$15:A58)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45300</v>
      </c>
      <c r="P53" s="385" t="str">
        <f t="array" ref="P53">IFERROR(IF($D$9="",IF($D$11="",IF($D$13="",IF($D$15="",INDEX(orderHistory[invoice_no],SMALL(MATCH(ROW(orderHistory[customer]),ROW(orderHistory[customer])),ROWS($A$15:A58)+$B$3)),INDEX(orderHistory[invoice_no],SMALL(IF(ISNUMBER(MATCH(YEAR(orderHistory[invoice_date]),$D$15,0)),MATCH(ROW(orderHistory[customer]),ROW(orderHistory[customer])),""),ROWS($A$15:A58)+$B$3))),IF($D$15="",INDEX(orderHistory[invoice_no],SMALL(IF(ISNUMBER(MATCH(orderHistory[order_type],$D$13,0)),MATCH(ROW(orderHistory[customer]),ROW(orderHistory[customer])),""),ROWS($A$15:A58)+$B$3)),INDEX(orderHistory[invoice_no],SMALL(IF(ISNUMBER(MATCH(orderHistory[order_type],$D$13,0)*MATCH(YEAR(orderHistory[invoice_date]),$D$15,0)),MATCH(ROW(orderHistory[customer]),ROW(orderHistory[customer])),""),ROWS($A$15:A58)+$B$3)))),IF($D$13="",IF($D$15="",INDEX(orderHistory[invoice_no],SMALL(IF(ISNUMBER(MATCH(orderHistory[status],$D$11,0)),MATCH(ROW(orderHistory[customer]),ROW(orderHistory[customer])),""),ROWS($A$15:A58)+$B$3)),INDEX(orderHistory[invoice_no],SMALL(IF(ISNUMBER(MATCH(orderHistory[status],$D$11,0)*MATCH(YEAR(orderHistory[invoice_date]),$D$15,0)),MATCH(ROW(orderHistory[customer]),ROW(orderHistory[customer])),""),ROWS($A$15:A58)+$B$3))),IF($D$15="",INDEX(orderHistory[invoice_no],SMALL(IF(ISNUMBER(MATCH(orderHistory[status],$D$11,0)*MATCH(orderHistory[order_type],$D$13,0)),MATCH(ROW(orderHistory[customer]),ROW(orderHistory[customer])),""),ROWS($A$15:A58)+$B$3)),INDEX(orderHistory[invoice_no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invoice_no],SMALL(IF(ISNUMBER(MATCH(orderHistory[customer],$D$9,0)),MATCH(ROW(orderHistory[customer]),ROW(orderHistory[customer])),""),ROWS($A$15:A58)+$B$3)),INDEX(orderHistory[invoice_no],SMALL(IF(ISNUMBER(MATCH(orderHistory[customer],$D$9,0)*MATCH(YEAR(orderHistory[invoice_date]),$D$15,0)),MATCH(ROW(orderHistory[customer]),ROW(orderHistory[customer])),""),ROWS($A$15:A58)+$B$3))),IF($D$15="",INDEX(orderHistory[invoice_no],SMALL(IF(ISNUMBER(MATCH(orderHistory[customer],$D$9,0)*MATCH(orderHistory[order_type],$D$13,0)),MATCH(ROW(orderHistory[customer]),ROW(orderHistory[customer])),""),ROWS($A$15:A58)+$B$3)),INDEX(orderHistory[invoice_no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invoice_no],SMALL(IF(ISNUMBER(MATCH(orderHistory[customer],$D$9,0)*MATCH(orderHistory[status],$D$11,0)),MATCH(ROW(orderHistory[customer]),ROW(orderHistory[customer])),""),ROWS($A$15:A58)+$B$3)),INDEX(orderHistory[invoice_no],SMALL(IF(ISNUMBER(MATCH(orderHistory[customer],$D$9,0)*MATCH(orderHistory[status],$D$11,0)*MATCH(YEAR(orderHistory[invoice_date]),$D$15,0)),MATCH(ROW(orderHistory[customer]),ROW(orderHistory[customer])),""),ROWS($A$15:A58)+$B$3))),IF($D$15="",INDEX(orderHistory[invoice_no],SMALL(IF(ISNUMBER(MATCH(orderHistory[customer],$D$9,0)*MATCH(orderHistory[status],$D$11,0)*MATCH(orderHistory[order_type],$D$13,0)),MATCH(ROW(orderHistory[customer]),ROW(orderHistory[customer])),""),ROWS($A$15:A58)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6</v>
      </c>
      <c r="Q53" s="386">
        <f t="array" ref="Q53">IFERROR(IF($D$9="",IF($D$11="",IF($D$13="",IF($D$15="",INDEX(orderHistory[invoice_date],SMALL(MATCH(ROW(orderHistory[customer]),ROW(orderHistory[customer])),ROWS($A$15:A58)+$B$3)),INDEX(orderHistory[invoice_date],SMALL(IF(ISNUMBER(MATCH(YEAR(orderHistory[invoice_date]),$D$15,0)),MATCH(ROW(orderHistory[customer]),ROW(orderHistory[customer])),""),ROWS($A$15:A58)+$B$3))),IF($D$15="",INDEX(orderHistory[invoice_date],SMALL(IF(ISNUMBER(MATCH(orderHistory[order_type],$D$13,0)),MATCH(ROW(orderHistory[customer]),ROW(orderHistory[customer])),""),ROWS($A$15:A58)+$B$3)),INDEX(orderHistory[invoice_date],SMALL(IF(ISNUMBER(MATCH(orderHistory[order_type],$D$13,0)*MATCH(YEAR(orderHistory[invoice_date]),$D$15,0)),MATCH(ROW(orderHistory[customer]),ROW(orderHistory[customer])),""),ROWS($A$15:A58)+$B$3)))),IF($D$13="",IF($D$15="",INDEX(orderHistory[invoice_date],SMALL(IF(ISNUMBER(MATCH(orderHistory[status],$D$11,0)),MATCH(ROW(orderHistory[customer]),ROW(orderHistory[customer])),""),ROWS($A$15:A58)+$B$3)),INDEX(orderHistory[invoice_date],SMALL(IF(ISNUMBER(MATCH(orderHistory[status],$D$11,0)*MATCH(YEAR(orderHistory[invoice_date]),$D$15,0)),MATCH(ROW(orderHistory[customer]),ROW(orderHistory[customer])),""),ROWS($A$15:A58)+$B$3))),IF($D$15="",INDEX(orderHistory[invoice_date],SMALL(IF(ISNUMBER(MATCH(orderHistory[status],$D$11,0)*MATCH(orderHistory[order_type],$D$13,0)),MATCH(ROW(orderHistory[customer]),ROW(orderHistory[customer])),""),ROWS($A$15:A58)+$B$3)),INDEX(orderHistory[invoice_date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invoice_date],SMALL(IF(ISNUMBER(MATCH(orderHistory[customer],$D$9,0)),MATCH(ROW(orderHistory[customer]),ROW(orderHistory[customer])),""),ROWS($A$15:A58)+$B$3)),INDEX(orderHistory[invoice_date],SMALL(IF(ISNUMBER(MATCH(orderHistory[customer],$D$9,0)*MATCH(YEAR(orderHistory[invoice_date]),$D$15,0)),MATCH(ROW(orderHistory[customer]),ROW(orderHistory[customer])),""),ROWS($A$15:A58)+$B$3))),IF($D$15="",INDEX(orderHistory[invoice_date],SMALL(IF(ISNUMBER(MATCH(orderHistory[customer],$D$9,0)*MATCH(orderHistory[order_type],$D$13,0)),MATCH(ROW(orderHistory[customer]),ROW(orderHistory[customer])),""),ROWS($A$15:A58)+$B$3)),INDEX(orderHistory[invoice_date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invoice_date],SMALL(IF(ISNUMBER(MATCH(orderHistory[customer],$D$9,0)*MATCH(orderHistory[status],$D$11,0)),MATCH(ROW(orderHistory[customer]),ROW(orderHistory[customer])),""),ROWS($A$15:A58)+$B$3)),INDEX(orderHistory[invoice_date],SMALL(IF(ISNUMBER(MATCH(orderHistory[customer],$D$9,0)*MATCH(orderHistory[status],$D$11,0)*MATCH(YEAR(orderHistory[invoice_date]),$D$15,0)),MATCH(ROW(orderHistory[customer]),ROW(orderHistory[customer])),""),ROWS($A$15:A58)+$B$3))),IF($D$15="",INDEX(orderHistory[invoice_date],SMALL(IF(ISNUMBER(MATCH(orderHistory[customer],$D$9,0)*MATCH(orderHistory[status],$D$11,0)*MATCH(orderHistory[order_type],$D$13,0)),MATCH(ROW(orderHistory[customer]),ROW(orderHistory[customer])),""),ROWS($A$15:A58)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45300</v>
      </c>
      <c r="R53" s="387">
        <f t="array" ref="R53">IFERROR(IF($D$9="",IF($D$11="",IF($D$13="",IF($D$15="",INDEX(orderHistory[inv_amount],SMALL(MATCH(ROW(orderHistory[customer]),ROW(orderHistory[customer])),ROWS($A$15:A58)+$B$3)),INDEX(orderHistory[inv_amount],SMALL(IF(ISNUMBER(MATCH(YEAR(orderHistory[invoice_date]),$D$15,0)),MATCH(ROW(orderHistory[customer]),ROW(orderHistory[customer])),""),ROWS($A$15:A58)+$B$3))),IF($D$15="",INDEX(orderHistory[inv_amount],SMALL(IF(ISNUMBER(MATCH(orderHistory[order_type],$D$13,0)),MATCH(ROW(orderHistory[customer]),ROW(orderHistory[customer])),""),ROWS($A$15:A58)+$B$3)),INDEX(orderHistory[inv_amount],SMALL(IF(ISNUMBER(MATCH(orderHistory[order_type],$D$13,0)*MATCH(YEAR(orderHistory[invoice_date]),$D$15,0)),MATCH(ROW(orderHistory[customer]),ROW(orderHistory[customer])),""),ROWS($A$15:A58)+$B$3)))),IF($D$13="",IF($D$15="",INDEX(orderHistory[inv_amount],SMALL(IF(ISNUMBER(MATCH(orderHistory[status],$D$11,0)),MATCH(ROW(orderHistory[customer]),ROW(orderHistory[customer])),""),ROWS($A$15:A58)+$B$3)),INDEX(orderHistory[inv_amount],SMALL(IF(ISNUMBER(MATCH(orderHistory[status],$D$11,0)*MATCH(YEAR(orderHistory[invoice_date]),$D$15,0)),MATCH(ROW(orderHistory[customer]),ROW(orderHistory[customer])),""),ROWS($A$15:A58)+$B$3))),IF($D$15="",INDEX(orderHistory[inv_amount],SMALL(IF(ISNUMBER(MATCH(orderHistory[status],$D$11,0)*MATCH(orderHistory[order_type],$D$13,0)),MATCH(ROW(orderHistory[customer]),ROW(orderHistory[customer])),""),ROWS($A$15:A58)+$B$3)),INDEX(orderHistory[inv_amount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inv_amount],SMALL(IF(ISNUMBER(MATCH(orderHistory[customer],$D$9,0)),MATCH(ROW(orderHistory[customer]),ROW(orderHistory[customer])),""),ROWS($A$15:A58)+$B$3)),INDEX(orderHistory[inv_amount],SMALL(IF(ISNUMBER(MATCH(orderHistory[customer],$D$9,0)*MATCH(YEAR(orderHistory[invoice_date]),$D$15,0)),MATCH(ROW(orderHistory[customer]),ROW(orderHistory[customer])),""),ROWS($A$15:A58)+$B$3))),IF($D$15="",INDEX(orderHistory[inv_amount],SMALL(IF(ISNUMBER(MATCH(orderHistory[customer],$D$9,0)*MATCH(orderHistory[order_type],$D$13,0)),MATCH(ROW(orderHistory[customer]),ROW(orderHistory[customer])),""),ROWS($A$15:A58)+$B$3)),INDEX(orderHistory[inv_amount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inv_amount],SMALL(IF(ISNUMBER(MATCH(orderHistory[customer],$D$9,0)*MATCH(orderHistory[status],$D$11,0)),MATCH(ROW(orderHistory[customer]),ROW(orderHistory[customer])),""),ROWS($A$15:A58)+$B$3)),INDEX(orderHistory[inv_amount],SMALL(IF(ISNUMBER(MATCH(orderHistory[customer],$D$9,0)*MATCH(orderHistory[status],$D$11,0)*MATCH(YEAR(orderHistory[inv_amount]),$D$15,0)),MATCH(ROW(orderHistory[customer]),ROW(orderHistory[customer])),""),ROWS($A$15:A58)+$B$3))),IF($D$15="",INDEX(orderHistory[inv_amount],SMALL(IF(ISNUMBER(MATCH(orderHistory[customer],$D$9,0)*MATCH(orderHistory[status],$D$11,0)*MATCH(orderHistory[order_type],$D$13,0)),MATCH(ROW(orderHistory[customer]),ROW(orderHistory[customer])),""),ROWS($A$15:A58)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51000</v>
      </c>
      <c r="S53" s="465" t="str">
        <f t="array" ref="S53">IFERROR(IF($D$9="",IF($D$11="",IF($D$13="",IF($D$15="",INDEX(orderHistory[lock_goods],SMALL(MATCH(ROW(orderHistory[customer]),ROW(orderHistory[customer])),ROWS($A$15:A58)+$B$3)),INDEX(orderHistory[lock_goods],SMALL(IF(ISNUMBER(MATCH(YEAR(orderHistory[invoice_date]),$D$15,0)),MATCH(ROW(orderHistory[customer]),ROW(orderHistory[customer])),""),ROWS($A$15:A58)+$B$3))),IF($D$15="",INDEX(orderHistory[lock_goods],SMALL(IF(ISNUMBER(MATCH(orderHistory[order_type],$D$13,0)),MATCH(ROW(orderHistory[customer]),ROW(orderHistory[customer])),""),ROWS($A$15:A58)+$B$3)),INDEX(orderHistory[lock_goods],SMALL(IF(ISNUMBER(MATCH(orderHistory[order_type],$D$13,0)*MATCH(YEAR(orderHistory[invoice_date]),$D$15,0)),MATCH(ROW(orderHistory[customer]),ROW(orderHistory[customer])),""),ROWS($A$15:A58)+$B$3)))),IF($D$13="",IF($D$15="",INDEX(orderHistory[lock_goods],SMALL(IF(ISNUMBER(MATCH(orderHistory[status],$D$11,0)),MATCH(ROW(orderHistory[customer]),ROW(orderHistory[customer])),""),ROWS($A$15:A58)+$B$3)),INDEX(orderHistory[lock_goods],SMALL(IF(ISNUMBER(MATCH(orderHistory[status],$D$11,0)*MATCH(YEAR(orderHistory[invoice_date]),$D$15,0)),MATCH(ROW(orderHistory[customer]),ROW(orderHistory[customer])),""),ROWS($A$15:A58)+$B$3))),IF($D$15="",INDEX(orderHistory[lock_goods],SMALL(IF(ISNUMBER(MATCH(orderHistory[status],$D$11,0)*MATCH(orderHistory[order_type],$D$13,0)),MATCH(ROW(orderHistory[customer]),ROW(orderHistory[customer])),""),ROWS($A$15:A58)+$B$3)),INDEX(orderHistory[lock_goods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lock_goods],SMALL(IF(ISNUMBER(MATCH(orderHistory[customer],$D$9,0)),MATCH(ROW(orderHistory[customer]),ROW(orderHistory[customer])),""),ROWS($A$15:A58)+$B$3)),INDEX(orderHistory[lock_goods],SMALL(IF(ISNUMBER(MATCH(orderHistory[customer],$D$9,0)*MATCH(YEAR(orderHistory[invoice_date]),$D$15,0)),MATCH(ROW(orderHistory[customer]),ROW(orderHistory[customer])),""),ROWS($A$15:A58)+$B$3))),IF($D$15="",INDEX(orderHistory[lock_goods],SMALL(IF(ISNUMBER(MATCH(orderHistory[customer],$D$9,0)*MATCH(orderHistory[order_type],$D$13,0)),MATCH(ROW(orderHistory[customer]),ROW(orderHistory[customer])),""),ROWS($A$15:A58)+$B$3)),INDEX(orderHistory[lock_goods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lock_goods],SMALL(IF(ISNUMBER(MATCH(orderHistory[customer],$D$9,0)*MATCH(orderHistory[status],$D$11,0)),MATCH(ROW(orderHistory[customer]),ROW(orderHistory[customer])),""),ROWS($A$15:A58)+$B$3)),INDEX(orderHistory[lock_goods],SMALL(IF(ISNUMBER(MATCH(orderHistory[customer],$D$9,0)*MATCH(orderHistory[status],$D$11,0)*MATCH(YEAR(orderHistory[payed]),$D$15,0)),MATCH(ROW(orderHistory[customer]),ROW(orderHistory[customer])),""),ROWS($A$15:A58)+$B$3))),IF($D$15="",INDEX(orderHistory[lock_goods],SMALL(IF(ISNUMBER(MATCH(orderHistory[customer],$D$9,0)*MATCH(orderHistory[status],$D$11,0)*MATCH(orderHistory[order_type],$D$13,0)),MATCH(ROW(orderHistory[customer]),ROW(orderHistory[customer])),""),ROWS($A$15:A58)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GOODS SENT</v>
      </c>
      <c r="T53" s="388" t="b">
        <f t="array" ref="T53">IFERROR(IF($D$9="",IF($D$11="",IF($D$13="",IF($D$15="",INDEX(orderHistory[payed],SMALL(MATCH(ROW(orderHistory[customer]),ROW(orderHistory[customer])),ROWS($A$15:A58)+$B$3)),INDEX(orderHistory[payed],SMALL(IF(ISNUMBER(MATCH(YEAR(orderHistory[invoice_date]),$D$15,0)),MATCH(ROW(orderHistory[customer]),ROW(orderHistory[customer])),""),ROWS($A$15:A58)+$B$3))),IF($D$15="",INDEX(orderHistory[payed],SMALL(IF(ISNUMBER(MATCH(orderHistory[order_type],$D$13,0)),MATCH(ROW(orderHistory[customer]),ROW(orderHistory[customer])),""),ROWS($A$15:A58)+$B$3)),INDEX(orderHistory[payed],SMALL(IF(ISNUMBER(MATCH(orderHistory[order_type],$D$13,0)*MATCH(YEAR(orderHistory[invoice_date]),$D$15,0)),MATCH(ROW(orderHistory[customer]),ROW(orderHistory[customer])),""),ROWS($A$15:A58)+$B$3)))),IF($D$13="",IF($D$15="",INDEX(orderHistory[payed],SMALL(IF(ISNUMBER(MATCH(orderHistory[status],$D$11,0)),MATCH(ROW(orderHistory[customer]),ROW(orderHistory[customer])),""),ROWS($A$15:A58)+$B$3)),INDEX(orderHistory[payed],SMALL(IF(ISNUMBER(MATCH(orderHistory[status],$D$11,0)*MATCH(YEAR(orderHistory[invoice_date]),$D$15,0)),MATCH(ROW(orderHistory[customer]),ROW(orderHistory[customer])),""),ROWS($A$15:A58)+$B$3))),IF($D$15="",INDEX(orderHistory[payed],SMALL(IF(ISNUMBER(MATCH(orderHistory[status],$D$11,0)*MATCH(orderHistory[order_type],$D$13,0)),MATCH(ROW(orderHistory[customer]),ROW(orderHistory[customer])),""),ROWS($A$15:A58)+$B$3)),INDEX(orderHistory[payed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payed],SMALL(IF(ISNUMBER(MATCH(orderHistory[customer],$D$9,0)),MATCH(ROW(orderHistory[customer]),ROW(orderHistory[customer])),""),ROWS($A$15:A58)+$B$3)),INDEX(orderHistory[payed],SMALL(IF(ISNUMBER(MATCH(orderHistory[customer],$D$9,0)*MATCH(YEAR(orderHistory[invoice_date]),$D$15,0)),MATCH(ROW(orderHistory[customer]),ROW(orderHistory[customer])),""),ROWS($A$15:A58)+$B$3))),IF($D$15="",INDEX(orderHistory[payed],SMALL(IF(ISNUMBER(MATCH(orderHistory[customer],$D$9,0)*MATCH(orderHistory[order_type],$D$13,0)),MATCH(ROW(orderHistory[customer]),ROW(orderHistory[customer])),""),ROWS($A$15:A58)+$B$3)),INDEX(orderHistory[payed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payed],SMALL(IF(ISNUMBER(MATCH(orderHistory[customer],$D$9,0)*MATCH(orderHistory[status],$D$11,0)),MATCH(ROW(orderHistory[customer]),ROW(orderHistory[customer])),""),ROWS($A$15:A58)+$B$3)),INDEX(orderHistory[payed],SMALL(IF(ISNUMBER(MATCH(orderHistory[customer],$D$9,0)*MATCH(orderHistory[status],$D$11,0)*MATCH(YEAR(orderHistory[payed]),$D$15,0)),MATCH(ROW(orderHistory[customer]),ROW(orderHistory[customer])),""),ROWS($A$15:A58)+$B$3))),IF($D$15="",INDEX(orderHistory[payed],SMALL(IF(ISNUMBER(MATCH(orderHistory[customer],$D$9,0)*MATCH(orderHistory[status],$D$11,0)*MATCH(orderHistory[order_type],$D$13,0)),MATCH(ROW(orderHistory[customer]),ROW(orderHistory[customer])),""),ROWS($A$15:A58)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1</v>
      </c>
      <c r="U53" s="383" t="str">
        <f t="array" ref="U53">IFERROR(IF($D$9="",IF($D$11="",IF($D$13="",IF($D$15="",INDEX(orderHistory[shipping_method],SMALL(MATCH(ROW(orderHistory[customer]),ROW(orderHistory[customer])),ROWS($A$15:A58)+$B$3)),INDEX(orderHistory[shipping_method],SMALL(IF(ISNUMBER(MATCH(YEAR(orderHistory[invoice_date]),$D$15,0)),MATCH(ROW(orderHistory[customer]),ROW(orderHistory[customer])),""),ROWS($A$15:A58)+$B$3))),IF($D$15="",INDEX(orderHistory[shipping_method],SMALL(IF(ISNUMBER(MATCH(orderHistory[order_type],$D$13,0)),MATCH(ROW(orderHistory[customer]),ROW(orderHistory[customer])),""),ROWS($A$15:A58)+$B$3)),INDEX(orderHistory[shipping_method],SMALL(IF(ISNUMBER(MATCH(orderHistory[order_type],$D$13,0)*MATCH(YEAR(orderHistory[invoice_date]),$D$15,0)),MATCH(ROW(orderHistory[customer]),ROW(orderHistory[customer])),""),ROWS($A$15:A58)+$B$3)))),IF($D$13="",IF($D$15="",INDEX(orderHistory[shipping_method],SMALL(IF(ISNUMBER(MATCH(orderHistory[status],$D$11,0)),MATCH(ROW(orderHistory[customer]),ROW(orderHistory[customer])),""),ROWS($A$15:A58)+$B$3)),INDEX(orderHistory[shipping_method],SMALL(IF(ISNUMBER(MATCH(orderHistory[status],$D$11,0)*MATCH(YEAR(orderHistory[invoice_date]),$D$15,0)),MATCH(ROW(orderHistory[customer]),ROW(orderHistory[customer])),""),ROWS($A$15:A58)+$B$3))),IF($D$15="",INDEX(orderHistory[shipping_method],SMALL(IF(ISNUMBER(MATCH(orderHistory[status],$D$11,0)*MATCH(orderHistory[order_type],$D$13,0)),MATCH(ROW(orderHistory[customer]),ROW(orderHistory[customer])),""),ROWS($A$15:A58)+$B$3)),INDEX(orderHistory[shipping_method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shipping_method],SMALL(IF(ISNUMBER(MATCH(orderHistory[customer],$D$9,0)),MATCH(ROW(orderHistory[customer]),ROW(orderHistory[customer])),""),ROWS($A$15:A58)+$B$3)),INDEX(orderHistory[shipping_method],SMALL(IF(ISNUMBER(MATCH(orderHistory[customer],$D$9,0)*MATCH(YEAR(orderHistory[invoice_date]),$D$15,0)),MATCH(ROW(orderHistory[customer]),ROW(orderHistory[customer])),""),ROWS($A$15:A58)+$B$3))),IF($D$15="",INDEX(orderHistory[shipping_method],SMALL(IF(ISNUMBER(MATCH(orderHistory[customer],$D$9,0)*MATCH(orderHistory[order_type],$D$13,0)),MATCH(ROW(orderHistory[customer]),ROW(orderHistory[customer])),""),ROWS($A$15:A58)+$B$3)),INDEX(orderHistory[shipping_method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shipping_method],SMALL(IF(ISNUMBER(MATCH(orderHistory[customer],$D$9,0)*MATCH(orderHistory[status],$D$11,0)),MATCH(ROW(orderHistory[customer]),ROW(orderHistory[customer])),""),ROWS($A$15:A58)+$B$3)),INDEX(orderHistory[shipping_method],SMALL(IF(ISNUMBER(MATCH(orderHistory[customer],$D$9,0)*MATCH(orderHistory[status],$D$11,0)*MATCH(YEAR(orderHistory[shipping_method]),$D$15,0)),MATCH(ROW(orderHistory[customer]),ROW(orderHistory[customer])),""),ROWS($A$15:A58)+$B$3))),IF($D$15="",INDEX(orderHistory[shipping_method],SMALL(IF(ISNUMBER(MATCH(orderHistory[customer],$D$9,0)*MATCH(orderHistory[status],$D$11,0)*MATCH(orderHistory[order_type],$D$13,0)),MATCH(ROW(orderHistory[customer]),ROW(orderHistory[customer])),""),ROWS($A$15:A58)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BY ROAD</v>
      </c>
      <c r="V53" s="388" t="str">
        <f t="array" ref="V53">IFERROR(IF($D$9="",IF($D$11="",IF($D$13="",IF($D$15="",INDEX(orderHistory[status],SMALL(MATCH(ROW(orderHistory[customer]),ROW(orderHistory[customer])),ROWS($A$15:A58)+$B$3)),INDEX(orderHistory[status],SMALL(IF(ISNUMBER(MATCH(YEAR(orderHistory[invoice_date]),$D$15,0)),MATCH(ROW(orderHistory[customer]),ROW(orderHistory[customer])),""),ROWS($A$15:A58)+$B$3))),IF($D$15="",INDEX(orderHistory[status],SMALL(IF(ISNUMBER(MATCH(orderHistory[order_type],$D$13,0)),MATCH(ROW(orderHistory[customer]),ROW(orderHistory[customer])),""),ROWS($A$15:A58)+$B$3)),INDEX(orderHistory[status],SMALL(IF(ISNUMBER(MATCH(orderHistory[order_type],$D$13,0)*MATCH(YEAR(orderHistory[invoice_date]),$D$15,0)),MATCH(ROW(orderHistory[customer]),ROW(orderHistory[customer])),""),ROWS($A$15:A58)+$B$3)))),IF($D$13="",IF($D$15="",INDEX(orderHistory[status],SMALL(IF(ISNUMBER(MATCH(orderHistory[status],$D$11,0)),MATCH(ROW(orderHistory[customer]),ROW(orderHistory[customer])),""),ROWS($A$15:A58)+$B$3)),INDEX(orderHistory[status],SMALL(IF(ISNUMBER(MATCH(orderHistory[status],$D$11,0)*MATCH(YEAR(orderHistory[invoice_date]),$D$15,0)),MATCH(ROW(orderHistory[customer]),ROW(orderHistory[customer])),""),ROWS($A$15:A58)+$B$3))),IF($D$15="",INDEX(orderHistory[status],SMALL(IF(ISNUMBER(MATCH(orderHistory[status],$D$11,0)*MATCH(orderHistory[order_type],$D$13,0)),MATCH(ROW(orderHistory[customer]),ROW(orderHistory[customer])),""),ROWS($A$15:A58)+$B$3)),INDEX(orderHistory[status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status],SMALL(IF(ISNUMBER(MATCH(orderHistory[customer],$D$9,0)),MATCH(ROW(orderHistory[customer]),ROW(orderHistory[customer])),""),ROWS($A$15:A58)+$B$3)),INDEX(orderHistory[status],SMALL(IF(ISNUMBER(MATCH(orderHistory[customer],$D$9,0)*MATCH(YEAR(orderHistory[invoice_date]),$D$15,0)),MATCH(ROW(orderHistory[customer]),ROW(orderHistory[customer])),""),ROWS($A$15:A58)+$B$3))),IF($D$15="",INDEX(orderHistory[status],SMALL(IF(ISNUMBER(MATCH(orderHistory[customer],$D$9,0)*MATCH(orderHistory[order_type],$D$13,0)),MATCH(ROW(orderHistory[customer]),ROW(orderHistory[customer])),""),ROWS($A$15:A58)+$B$3)),INDEX(orderHistory[status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status],SMALL(IF(ISNUMBER(MATCH(orderHistory[customer],$D$9,0)*MATCH(orderHistory[status],$D$11,0)),MATCH(ROW(orderHistory[customer]),ROW(orderHistory[customer])),""),ROWS($A$15:A58)+$B$3)),INDEX(orderHistory[status],SMALL(IF(ISNUMBER(MATCH(orderHistory[customer],$D$9,0)*MATCH(orderHistory[status],$D$11,0)*MATCH(YEAR(orderHistory[status]),$D$15,0)),MATCH(ROW(orderHistory[customer]),ROW(orderHistory[customer])),""),ROWS($A$15:A58)+$B$3))),IF($D$15="",INDEX(orderHistory[status],SMALL(IF(ISNUMBER(MATCH(orderHistory[customer],$D$9,0)*MATCH(orderHistory[status],$D$11,0)*MATCH(orderHistory[order_type],$D$13,0)),MATCH(ROW(orderHistory[customer]),ROW(orderHistory[customer])),""),ROWS($A$15:A58)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SHIPPED</v>
      </c>
      <c r="W53" s="547" t="str">
        <f t="array" ref="W53">IFERROR(IF($D$9="",IF($D$11="",IF($D$13="",IF($D$15="",INDEX(orderHistory[custom_docs],SMALL(MATCH(ROW(orderHistory[customer]),ROW(orderHistory[customer])),ROWS($A$15:A58)+$B$3)),INDEX(orderHistory[custom_docs],SMALL(IF(ISNUMBER(MATCH(YEAR(orderHistory[invoice_date]),$D$15,0)),MATCH(ROW(orderHistory[customer]),ROW(orderHistory[customer])),""),ROWS($A$15:A58)+$B$3))),IF($D$15="",INDEX(orderHistory[custom_docs],SMALL(IF(ISNUMBER(MATCH(orderHistory[order_type],$D$13,0)),MATCH(ROW(orderHistory[customer]),ROW(orderHistory[customer])),""),ROWS($A$15:A58)+$B$3)),INDEX(orderHistory[custom_docs],SMALL(IF(ISNUMBER(MATCH(orderHistory[order_type],$D$13,0)*MATCH(YEAR(orderHistory[invoice_date]),$D$15,0)),MATCH(ROW(orderHistory[customer]),ROW(orderHistory[customer])),""),ROWS($A$15:A58)+$B$3)))),IF($D$13="",IF($D$15="",INDEX(orderHistory[custom_docs],SMALL(IF(ISNUMBER(MATCH(orderHistory[status],$D$11,0)),MATCH(ROW(orderHistory[customer]),ROW(orderHistory[customer])),""),ROWS($A$15:A58)+$B$3)),INDEX(orderHistory[custom_docs],SMALL(IF(ISNUMBER(MATCH(orderHistory[status],$D$11,0)*MATCH(YEAR(orderHistory[invoice_date]),$D$15,0)),MATCH(ROW(orderHistory[customer]),ROW(orderHistory[customer])),""),ROWS($A$15:A58)+$B$3))),IF($D$15="",INDEX(orderHistory[custom_docs],SMALL(IF(ISNUMBER(MATCH(orderHistory[status],$D$11,0)*MATCH(orderHistory[order_type],$D$13,0)),MATCH(ROW(orderHistory[customer]),ROW(orderHistory[customer])),""),ROWS($A$15:A58)+$B$3)),INDEX(orderHistory[custom_docs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custom_docs],SMALL(IF(ISNUMBER(MATCH(orderHistory[customer],$D$9,0)),MATCH(ROW(orderHistory[customer]),ROW(orderHistory[customer])),""),ROWS($A$15:A58)+$B$3)),INDEX(orderHistory[custom_docs],SMALL(IF(ISNUMBER(MATCH(orderHistory[customer],$D$9,0)*MATCH(YEAR(orderHistory[invoice_date]),$D$15,0)),MATCH(ROW(orderHistory[customer]),ROW(orderHistory[customer])),""),ROWS($A$15:A58)+$B$3))),IF($D$15="",INDEX(orderHistory[custom_docs],SMALL(IF(ISNUMBER(MATCH(orderHistory[customer],$D$9,0)*MATCH(orderHistory[order_type],$D$13,0)),MATCH(ROW(orderHistory[customer]),ROW(orderHistory[customer])),""),ROWS($A$15:A58)+$B$3)),INDEX(orderHistory[custom_docs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custom_docs],SMALL(IF(ISNUMBER(MATCH(orderHistory[customer],$D$9,0)*MATCH(orderHistory[status],$D$11,0)),MATCH(ROW(orderHistory[customer]),ROW(orderHistory[customer])),""),ROWS($A$15:A58)+$B$3)),INDEX(orderHistory[custom_docs],SMALL(IF(ISNUMBER(MATCH(orderHistory[customer],$D$9,0)*MATCH(orderHistory[status],$D$11,0)*MATCH(YEAR(orderHistory[status]),$D$15,0)),MATCH(ROW(orderHistory[customer]),ROW(orderHistory[customer])),""),ROWS($A$15:A58)+$B$3))),IF($D$15="",INDEX(orderHistory[custom_docs],SMALL(IF(ISNUMBER(MATCH(orderHistory[customer],$D$9,0)*MATCH(orderHistory[status],$D$11,0)*MATCH(orderHistory[order_type],$D$13,0)),MATCH(ROW(orderHistory[customer]),ROW(orderHistory[customer])),""),ROWS($A$15:A58)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OK</v>
      </c>
      <c r="AQ53" s="280"/>
      <c r="AR53" s="280" t="s">
        <v>376</v>
      </c>
      <c r="BG53" s="215"/>
      <c r="BK53" s="296"/>
      <c r="BL53" s="297"/>
      <c r="BM53" s="298"/>
      <c r="BN53" s="297"/>
      <c r="BO53" s="298"/>
      <c r="BZ53" s="412"/>
      <c r="CA53" s="401" t="str">
        <f>IFERROR(IF(BZ53="","",INDEX(bhpc_data[description],MATCH(BZ53,bhpc_data[sku],0))),"")</f>
        <v/>
      </c>
      <c r="CB53" s="403"/>
      <c r="CC53" s="886"/>
      <c r="CD53" s="411"/>
      <c r="CE53" s="890"/>
      <c r="CF53" s="404"/>
      <c r="CG53" s="405" t="str">
        <f>IFERROR(ROUNDUP(CB53/INDEX(bhpc_data[units_per_carton],MATCH(BZ53,bhpc_data[sku],0)),0),"")</f>
        <v/>
      </c>
      <c r="CH53" s="406" t="str">
        <f>IFERROR(ROUNDUP(CD53/INDEX(bhpc_data[units_per_carton],MATCH(BZ53,bhpc_data[sku],0)),0),"")</f>
        <v/>
      </c>
      <c r="CI53" s="406" t="str">
        <f>IFERROR(ROUNDUP(CF53/INDEX(bhpc_data[units_per_carton],MATCH(BZ53,bhpc_data[sku])),0),"")</f>
        <v/>
      </c>
      <c r="CJ53" s="406" t="str">
        <f>IFERROR(((CB53+CD53+CF53)/INDEX(bhpc_data[units_per_carton],MATCH(BZ53,bhpc_data[sku],0)))*INDEX(bhpc_data[net_weight],MATCH(BZ53,bhpc_data[sku],0)),"")</f>
        <v/>
      </c>
      <c r="CK53" s="406" t="str">
        <f>IFERROR(((CB53+CD53+CF53)/INDEX(bhpc_data[units_per_carton],MATCH(BZ53,bhpc_data[sku],0)))*INDEX(bhpc_data[gross_weight],MATCH(BZ53,bhpc_data[sku],0)),"")</f>
        <v/>
      </c>
      <c r="CL53" s="602" t="str">
        <f>IFERROR((CB53+CD53+CF53)/INDEX(bhpc_data[units_per_carton],MATCH(BZ53,bhpc_data[sku],0))*INDEX(bhpc_data[length],MATCH(BZ53,bhpc_data[sku],0))*INDEX(bhpc_data[width],MATCH(BZ53,bhpc_data[sku],0))*INDEX(bhpc_data[height],MATCH(BZ53,bhpc_data[sku],0))/1000000000,"")</f>
        <v/>
      </c>
      <c r="CM53" s="407" t="str">
        <f>IFERROR(INDEX(bhpc_data[category],MATCH(BZ53,bhpc_data[sku],0)),"")</f>
        <v/>
      </c>
      <c r="CN53" s="407" t="str">
        <f>IFERROR(INDEX(bhpc_data[size],MATCH(BZ53,bhpc_data[sku],0)),"")</f>
        <v/>
      </c>
      <c r="CO53" s="408" t="str">
        <f>IFERROR(INDEX(bhpc_data[hs_code],MATCH(BZ53,bhpc_data[sku],0)),"")</f>
        <v/>
      </c>
      <c r="CP53" s="489" t="str">
        <f>IFERROR(INDEX(bhpc_data[sku_geko],MATCH(BZ53,bhpc_data[sku],0)),"")</f>
        <v/>
      </c>
      <c r="CQ53" s="404"/>
      <c r="CR53" s="516" t="str">
        <f>IFERROR(IF(BZ53="","",IF($BX$15="SALE",INDEX(inventory[COSTO UNITARIO],MATCH(BZ53,inventory[SKU],0)),IF($BX$15="SAMPLING",INDEX(inventory[COSTO UNITARIO],MATCH(BZ53,inventory[SKU],0)),""))),"")</f>
        <v/>
      </c>
      <c r="CS53" s="516" t="str">
        <f t="shared" si="7"/>
        <v/>
      </c>
      <c r="CT53" s="896" t="str">
        <f t="shared" si="8"/>
        <v/>
      </c>
      <c r="CU53" s="469" t="str">
        <f t="shared" si="0"/>
        <v/>
      </c>
      <c r="CV53" s="280"/>
      <c r="CW53" s="280"/>
      <c r="CX53" s="280"/>
      <c r="CY53" s="280"/>
      <c r="CZ53" s="280"/>
      <c r="DA53" s="280"/>
      <c r="DB53" s="280" t="str">
        <f>IFERROR(VLOOKUP(BZ53,bhpc_data[],22,FALSE),"")</f>
        <v/>
      </c>
      <c r="EE53" s="439" t="str" cm="1">
        <f t="array" ref="EE53">IFERROR(IF($EC$9="",IF($EC$11="",IF($EC$13="",INDEX(bhpc_data[sku],SMALL(MATCH(ROW(bhpc_data[sku]),ROW(bhpc_data[sku])),ROWS($A$15:A58)+$B$3)),INDEX(bhpc_data[sku],SMALL(IF(ISNUMBER(MATCH(bhpc_data[size],$EC$13,0)),MATCH(ROW(bhpc_data[sku]),ROW(bhpc_data[sku])),""),ROWS($A$15:A58)+$B$3))),IF($EC$13="",INDEX(bhpc_data[sku],SMALL(IF(ISNUMBER(MATCH(bhpc_data[sex],$EC$11,0)),MATCH(ROW(bhpc_data[sku]),ROW(bhpc_data[sku])),""),ROWS($A$15:A58)+$B$3)),INDEX(bhpc_data[sku],SMALL(IF(ISNUMBER(MATCH(bhpc_data[sex],$EC$11,0)*MATCH(bhpc_data[size],$EC$13,0)),MATCH(ROW(bhpc_data[sku]),ROW(bhpc_data[sku])),""),ROWS($A$15:A58)+$B$3)))),IF($EC$11="",IF($EC$13="",INDEX(bhpc_data[sku],SMALL(IF(ISNUMBER(MATCH(bhpc_data[category],$EC$9,0)),MATCH(ROW(bhpc_data[sku]),ROW(bhpc_data[sku])),""),ROWS($A$15:A58)+$B$3)),INDEX(bhpc_data[sku],SMALL(IF(ISNUMBER(MATCH(bhpc_data[category],$EC$9,0)*MATCH(bhpc_data[size],$EC$13,0)),MATCH(ROW(bhpc_data[sku]),ROW(bhpc_data[sku])),""),ROWS($A$15:A58)+$B$3))),IF($EC$13="",INDEX(bhpc_data[sku],SMALL(IF(ISNUMBER(MATCH(bhpc_data[category],$EC$9,0)*MATCH(bhpc_data[sex],$EC$11,0)),MATCH(ROW(bhpc_data[sku]),ROW(bhpc_data[sku])),""),ROWS($A$15:A58)+$B$3)),INDEX(bhpc_data[sku],SMALL(IF(ISNUMBER(MATCH(bhpc_data[category],$EC$9,0)*MATCH(bhpc_data[sex],$EC$11,0)*MATCH(bhpc_data[size],$EC$13,0)),MATCH(ROW(bhpc_data[sku]),ROW(bhpc_data[sku])),""),ROWS($A$15:A58)+$B$3))))),"")</f>
        <v>PT6005</v>
      </c>
      <c r="EF53" s="440" t="str" cm="1">
        <f t="array" ref="EF53">IFERROR(IF($EC$9="",IF($EC$11="",IF($EC$13="",INDEX(bhpc_data[description],SMALL(MATCH(ROW(bhpc_data[sku]),ROW(bhpc_data[sku])),ROWS($A$15:A58)+$B$3)),INDEX(bhpc_data[description],SMALL(IF(ISNUMBER(MATCH(bhpc_data[size],$EC$13,0)),MATCH(ROW(bhpc_data[sku]),ROW(bhpc_data[sku])),""),ROWS($A$15:A58)+$B$3))),IF($EC$13="",INDEX(bhpc_data[description],SMALL(IF(ISNUMBER(MATCH(bhpc_data[sex],$EC$11,0)),MATCH(ROW(bhpc_data[sku]),ROW(bhpc_data[sku])),""),ROWS($A$15:A58)+$B$3)),INDEX(bhpc_data[description],SMALL(IF(ISNUMBER(MATCH(bhpc_data[sex],$EC$11,0)*MATCH(bhpc_data[size],$EC$13,0)),MATCH(ROW(bhpc_data[sku]),ROW(bhpc_data[sku])),""),ROWS($A$15:A58)+$B$3)))),IF($EC$11="",IF($EC$13="",INDEX(bhpc_data[description],SMALL(IF(ISNUMBER(MATCH(bhpc_data[category],$EC$9,0)),MATCH(ROW(bhpc_data[sku]),ROW(bhpc_data[sku])),""),ROWS($A$15:A58)+$B$3)),INDEX(bhpc_data[description],SMALL(IF(ISNUMBER(MATCH(bhpc_data[category],$EC$9,0)*MATCH(bhpc_data[size],$EC$13,0)),MATCH(ROW(bhpc_data[sku]),ROW(bhpc_data[sku])),""),ROWS($A$15:A58)+$B$3))),IF($EC$13="",INDEX(bhpc_data[description],SMALL(IF(ISNUMBER(MATCH(bhpc_data[category],$EC$9,0)*MATCH(bhpc_data[sex],$EC$11,0)),MATCH(ROW(bhpc_data[sku]),ROW(bhpc_data[sku])),""),ROWS($A$15:A58)+$B$3)),INDEX(bhpc_data[description],SMALL(IF(ISNUMBER(MATCH(bhpc_data[category],$EC$9,0)*MATCH(bhpc_data[sex],$EC$11,0)*MATCH(bhpc_data[size],$EC$13,0)),MATCH(ROW(bhpc_data[sku]),ROW(bhpc_data[sku])),""),ROWS($A$15:A58)+$B$3))))),"")</f>
        <v>BHPC TESTERS CHALLENGE 100ML EDP WOMEN</v>
      </c>
      <c r="EG53" s="441">
        <f>IFERROR(IF('BHPC MANAGER'!$EE53="","",INDEX(inventory[ESISTENZA],MATCH('BHPC MANAGER'!$EE53,inventory[SKU],0))),0)</f>
        <v>0</v>
      </c>
      <c r="EH53" s="442">
        <v>0</v>
      </c>
      <c r="EI53" s="442">
        <f t="shared" si="1"/>
        <v>0</v>
      </c>
      <c r="EJ53" s="443">
        <v>0</v>
      </c>
      <c r="EK53" s="444">
        <f t="shared" si="2"/>
        <v>0</v>
      </c>
      <c r="EO53" s="215" t="str">
        <f t="array" ref="EO53">IFERROR(INDEX(orderHistory[order_no],SMALL(IF(ISNUMBER(MATCH(orderHistory[status],$EO$7,0)),MATCH(ROW(orderHistory[order_no]),ROW(orderHistory[order_no])),""),ROWS($A$15:A58))),"")</f>
        <v/>
      </c>
    </row>
    <row r="54" spans="10:145" ht="15" customHeight="1" x14ac:dyDescent="0.35">
      <c r="J54" s="264"/>
      <c r="K54" s="264"/>
      <c r="L54" s="381" t="str">
        <f t="array" ref="L54">IFERROR(IF($D$9="",IF($D$11="",IF($D$13="",IF($D$15="",INDEX(orderHistory[customer],SMALL(MATCH(ROW(orderHistory[customer]),ROW(orderHistory[customer])),ROWS($A$15:A59)+$B$3)),INDEX(orderHistory[customer],SMALL(IF(ISNUMBER(MATCH(YEAR(orderHistory[invoice_date]),$D$15,0)),MATCH(ROW(orderHistory[customer]),ROW(orderHistory[customer])),""),ROWS($A$15:A59)+$B$3))),IF($D$15="",INDEX(orderHistory[customer],SMALL(IF(ISNUMBER(MATCH(orderHistory[order_type],$D$13,0)),MATCH(ROW(orderHistory[customer]),ROW(orderHistory[customer])),""),ROWS($A$15:A59)+$B$3)),INDEX(orderHistory[customer],SMALL(IF(ISNUMBER(MATCH(orderHistory[order_type],$D$13,0)*MATCH(YEAR(orderHistory[invoice_date]),$D$15,0)),MATCH(ROW(orderHistory[customer]),ROW(orderHistory[customer])),""),ROWS($A$15:A59)+$B$3)))),IF($D$13="",IF($D$15="",INDEX(orderHistory[customer],SMALL(IF(ISNUMBER(MATCH(orderHistory[status],$D$11,0)),MATCH(ROW(orderHistory[customer]),ROW(orderHistory[customer])),""),ROWS($A$15:A59)+$B$3)),INDEX(orderHistory[customer],SMALL(IF(ISNUMBER(MATCH(orderHistory[status],$D$11,0)*MATCH(YEAR(orderHistory[invoice_date]),$D$15,0)),MATCH(ROW(orderHistory[customer]),ROW(orderHistory[customer])),""),ROWS($A$15:A59)+$B$3))),IF($D$15="",INDEX(orderHistory[customer],SMALL(IF(ISNUMBER(MATCH(orderHistory[status],$D$11,0)*MATCH(orderHistory[order_type],$D$13,0)),MATCH(ROW(orderHistory[customer]),ROW(orderHistory[customer])),""),ROWS($A$15:A59)+$B$3)),INDEX(orderHistory[customer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customer],SMALL(IF(ISNUMBER(MATCH(orderHistory[customer],$D$9,0)),MATCH(ROW(orderHistory[customer]),ROW(orderHistory[customer])),""),ROWS($A$15:A59)+$B$3)),INDEX(orderHistory[customer],SMALL(IF(ISNUMBER(MATCH(orderHistory[customer],$D$9,0)*MATCH(YEAR(orderHistory[invoice_date]),$D$15,0)),MATCH(ROW(orderHistory[customer]),ROW(orderHistory[customer])),""),ROWS($A$15:A59)+$B$3))),IF($D$15="",INDEX(orderHistory[customer],SMALL(IF(ISNUMBER(MATCH(orderHistory[customer],$D$9,0)*MATCH(orderHistory[order_type],$D$13,0)),MATCH(ROW(orderHistory[customer]),ROW(orderHistory[customer])),""),ROWS($A$15:A59)+$B$3)),INDEX(orderHistory[customer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customer],SMALL(IF(ISNUMBER(MATCH(orderHistory[customer],$D$9,0)*MATCH(orderHistory[status],$D$11,0)),MATCH(ROW(orderHistory[customer]),ROW(orderHistory[customer])),""),ROWS($A$15:A59)+$B$3)),INDEX(orderHistory[customer],SMALL(IF(ISNUMBER(MATCH(orderHistory[customer],$D$9,0)*MATCH(orderHistory[status],$D$11,0)*MATCH(YEAR(orderHistory[invoice_date]),$D$15,0)),MATCH(ROW(orderHistory[customer]),ROW(orderHistory[customer])),""),ROWS($A$15:A59)+$B$3))),IF($D$15="",INDEX(orderHistory[customer],SMALL(IF(ISNUMBER(MATCH(orderHistory[customer],$D$9,0)*MATCH(orderHistory[status],$D$11,0)*MATCH(orderHistory[order_type],$D$13,0)),MATCH(ROW(orderHistory[customer]),ROW(orderHistory[customer])),""),ROWS($A$15:A59)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LINDO CHAIN</v>
      </c>
      <c r="M54" s="382">
        <f t="array" ref="M54">IFERROR(IF($D$9="",IF($D$11="",IF($D$13="",IF($D$15="",INDEX(orderHistory[order_no],SMALL(MATCH(ROW(orderHistory[customer]),ROW(orderHistory[customer])),ROWS($A$15:A59)+$B$3)),INDEX(orderHistory[order_no],SMALL(IF(ISNUMBER(MATCH(YEAR(orderHistory[invoice_date]),$D$15,0)),MATCH(ROW(orderHistory[customer]),ROW(orderHistory[customer])),""),ROWS($A$15:A59)+$B$3))),IF($D$15="",INDEX(orderHistory[order_no],SMALL(IF(ISNUMBER(MATCH(orderHistory[order_type],$D$13,0)),MATCH(ROW(orderHistory[customer]),ROW(orderHistory[customer])),""),ROWS($A$15:A59)+$B$3)),INDEX(orderHistory[order_no],SMALL(IF(ISNUMBER(MATCH(orderHistory[order_type],$D$13,0)*MATCH(YEAR(orderHistory[invoice_date]),$D$15,0)),MATCH(ROW(orderHistory[customer]),ROW(orderHistory[customer])),""),ROWS($A$15:A59)+$B$3)))),IF($D$13="",IF($D$15="",INDEX(orderHistory[order_no],SMALL(IF(ISNUMBER(MATCH(orderHistory[status],$D$11,0)),MATCH(ROW(orderHistory[customer]),ROW(orderHistory[customer])),""),ROWS($A$15:A59)+$B$3)),INDEX(orderHistory[order_no],SMALL(IF(ISNUMBER(MATCH(orderHistory[status],$D$11,0)*MATCH(YEAR(orderHistory[invoice_date]),$D$15,0)),MATCH(ROW(orderHistory[customer]),ROW(orderHistory[customer])),""),ROWS($A$15:A59)+$B$3))),IF($D$15="",INDEX(orderHistory[order_no],SMALL(IF(ISNUMBER(MATCH(orderHistory[status],$D$11,0)*MATCH(orderHistory[order_type],$D$13,0)),MATCH(ROW(orderHistory[customer]),ROW(orderHistory[customer])),""),ROWS($A$15:A59)+$B$3)),INDEX(orderHistory[order_no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order_no],SMALL(IF(ISNUMBER(MATCH(orderHistory[customer],$D$9,0)),MATCH(ROW(orderHistory[customer]),ROW(orderHistory[customer])),""),ROWS($A$15:A59)+$B$3)),INDEX(orderHistory[order_no],SMALL(IF(ISNUMBER(MATCH(orderHistory[customer],$D$9,0)*MATCH(YEAR(orderHistory[invoice_date]),$D$15,0)),MATCH(ROW(orderHistory[customer]),ROW(orderHistory[customer])),""),ROWS($A$15:A59)+$B$3))),IF($D$15="",INDEX(orderHistory[order_no],SMALL(IF(ISNUMBER(MATCH(orderHistory[customer],$D$9,0)*MATCH(orderHistory[order_type],$D$13,0)),MATCH(ROW(orderHistory[customer]),ROW(orderHistory[customer])),""),ROWS($A$15:A59)+$B$3)),INDEX(orderHistory[order_no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order_no],SMALL(IF(ISNUMBER(MATCH(orderHistory[customer],$D$9,0)*MATCH(orderHistory[status],$D$11,0)),MATCH(ROW(orderHistory[customer]),ROW(orderHistory[customer])),""),ROWS($A$15:A59)+$B$3)),INDEX(orderHistory[order_no],SMALL(IF(ISNUMBER(MATCH(orderHistory[customer],$D$9,0)*MATCH(orderHistory[status],$D$11,0)*MATCH(YEAR(orderHistory[invoice_date]),$D$15,0)),MATCH(ROW(orderHistory[customer]),ROW(orderHistory[customer])),""),ROWS($A$15:A59)+$B$3))),IF($D$15="",INDEX(orderHistory[order_no],SMALL(IF(ISNUMBER(MATCH(orderHistory[customer],$D$9,0)*MATCH(orderHistory[status],$D$11,0)*MATCH(orderHistory[order_type],$D$13,0)),MATCH(ROW(orderHistory[customer]),ROW(orderHistory[customer])),""),ROWS($A$15:A59)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3</v>
      </c>
      <c r="N54" s="383" t="str">
        <f t="array" ref="N54">IFERROR(IF($D$9="",IF($D$11="",IF($D$13="",IF($D$15="",INDEX(orderHistory[order_type],SMALL(MATCH(ROW(orderHistory[customer]),ROW(orderHistory[customer])),ROWS($A$15:A59)+$B$3)),INDEX(orderHistory[order_type],SMALL(IF(ISNUMBER(MATCH(YEAR(orderHistory[invoice_date]),$D$15,0)),MATCH(ROW(orderHistory[customer]),ROW(orderHistory[customer])),""),ROWS($A$15:A59)+$B$3))),IF($D$15="",INDEX(orderHistory[order_type],SMALL(IF(ISNUMBER(MATCH(orderHistory[order_type],$D$13,0)),MATCH(ROW(orderHistory[customer]),ROW(orderHistory[customer])),""),ROWS($A$15:A59)+$B$3)),INDEX(orderHistory[order_type],SMALL(IF(ISNUMBER(MATCH(orderHistory[order_type],$D$13,0)*MATCH(YEAR(orderHistory[invoice_date]),$D$15,0)),MATCH(ROW(orderHistory[customer]),ROW(orderHistory[customer])),""),ROWS($A$15:A59)+$B$3)))),IF($D$13="",IF($D$15="",INDEX(orderHistory[order_type],SMALL(IF(ISNUMBER(MATCH(orderHistory[status],$D$11,0)),MATCH(ROW(orderHistory[customer]),ROW(orderHistory[customer])),""),ROWS($A$15:A59)+$B$3)),INDEX(orderHistory[order_type],SMALL(IF(ISNUMBER(MATCH(orderHistory[status],$D$11,0)*MATCH(YEAR(orderHistory[invoice_date]),$D$15,0)),MATCH(ROW(orderHistory[customer]),ROW(orderHistory[customer])),""),ROWS($A$15:A59)+$B$3))),IF($D$15="",INDEX(orderHistory[order_type],SMALL(IF(ISNUMBER(MATCH(orderHistory[status],$D$11,0)*MATCH(orderHistory[order_type],$D$13,0)),MATCH(ROW(orderHistory[customer]),ROW(orderHistory[customer])),""),ROWS($A$15:A59)+$B$3)),INDEX(orderHistory[order_type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order_type],SMALL(IF(ISNUMBER(MATCH(orderHistory[customer],$D$9,0)),MATCH(ROW(orderHistory[customer]),ROW(orderHistory[customer])),""),ROWS($A$15:A59)+$B$3)),INDEX(orderHistory[order_type],SMALL(IF(ISNUMBER(MATCH(orderHistory[customer],$D$9,0)*MATCH(YEAR(orderHistory[invoice_date]),$D$15,0)),MATCH(ROW(orderHistory[customer]),ROW(orderHistory[customer])),""),ROWS($A$15:A59)+$B$3))),IF($D$15="",INDEX(orderHistory[order_type],SMALL(IF(ISNUMBER(MATCH(orderHistory[customer],$D$9,0)*MATCH(orderHistory[order_type],$D$13,0)),MATCH(ROW(orderHistory[customer]),ROW(orderHistory[customer])),""),ROWS($A$15:A59)+$B$3)),INDEX(orderHistory[order_type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order_type],SMALL(IF(ISNUMBER(MATCH(orderHistory[customer],$D$9,0)*MATCH(orderHistory[status],$D$11,0)),MATCH(ROW(orderHistory[customer]),ROW(orderHistory[customer])),""),ROWS($A$15:A59)+$B$3)),INDEX(orderHistory[order_type],SMALL(IF(ISNUMBER(MATCH(orderHistory[customer],$D$9,0)*MATCH(orderHistory[status],$D$11,0)*MATCH(YEAR(orderHistory[invoice_date]),$D$15,0)),MATCH(ROW(orderHistory[customer]),ROW(orderHistory[customer])),""),ROWS($A$15:A59)+$B$3))),IF($D$15="",INDEX(orderHistory[order_type],SMALL(IF(ISNUMBER(MATCH(orderHistory[customer],$D$9,0)*MATCH(orderHistory[status],$D$11,0)*MATCH(orderHistory[order_type],$D$13,0)),MATCH(ROW(orderHistory[customer]),ROW(orderHistory[customer])),""),ROWS($A$15:A59)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SALE</v>
      </c>
      <c r="O54" s="384">
        <f t="array" ref="O54">IFERROR(IF($D$9="",IF($D$11="",IF($D$13="",IF($D$15="",INDEX(orderHistory[order_date],SMALL(MATCH(ROW(orderHistory[customer]),ROW(orderHistory[customer])),ROWS($A$15:A59)+$B$3)),INDEX(orderHistory[order_date],SMALL(IF(ISNUMBER(MATCH(YEAR(orderHistory[invoice_date]),$D$15,0)),MATCH(ROW(orderHistory[customer]),ROW(orderHistory[customer])),""),ROWS($A$15:A59)+$B$3))),IF($D$15="",INDEX(orderHistory[order_date],SMALL(IF(ISNUMBER(MATCH(orderHistory[order_type],$D$13,0)),MATCH(ROW(orderHistory[customer]),ROW(orderHistory[customer])),""),ROWS($A$15:A59)+$B$3)),INDEX(orderHistory[order_date],SMALL(IF(ISNUMBER(MATCH(orderHistory[order_type],$D$13,0)*MATCH(YEAR(orderHistory[invoice_date]),$D$15,0)),MATCH(ROW(orderHistory[customer]),ROW(orderHistory[customer])),""),ROWS($A$15:A59)+$B$3)))),IF($D$13="",IF($D$15="",INDEX(orderHistory[order_date],SMALL(IF(ISNUMBER(MATCH(orderHistory[status],$D$11,0)),MATCH(ROW(orderHistory[customer]),ROW(orderHistory[customer])),""),ROWS($A$15:A59)+$B$3)),INDEX(orderHistory[order_date],SMALL(IF(ISNUMBER(MATCH(orderHistory[status],$D$11,0)*MATCH(YEAR(orderHistory[invoice_date]),$D$15,0)),MATCH(ROW(orderHistory[customer]),ROW(orderHistory[customer])),""),ROWS($A$15:A59)+$B$3))),IF($D$15="",INDEX(orderHistory[order_date],SMALL(IF(ISNUMBER(MATCH(orderHistory[status],$D$11,0)*MATCH(orderHistory[order_type],$D$13,0)),MATCH(ROW(orderHistory[customer]),ROW(orderHistory[customer])),""),ROWS($A$15:A59)+$B$3)),INDEX(orderHistory[order_date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order_date],SMALL(IF(ISNUMBER(MATCH(orderHistory[customer],$D$9,0)),MATCH(ROW(orderHistory[customer]),ROW(orderHistory[customer])),""),ROWS($A$15:A59)+$B$3)),INDEX(orderHistory[order_date],SMALL(IF(ISNUMBER(MATCH(orderHistory[customer],$D$9,0)*MATCH(YEAR(orderHistory[invoice_date]),$D$15,0)),MATCH(ROW(orderHistory[customer]),ROW(orderHistory[customer])),""),ROWS($A$15:A59)+$B$3))),IF($D$15="",INDEX(orderHistory[order_date],SMALL(IF(ISNUMBER(MATCH(orderHistory[customer],$D$9,0)*MATCH(orderHistory[order_type],$D$13,0)),MATCH(ROW(orderHistory[customer]),ROW(orderHistory[customer])),""),ROWS($A$15:A59)+$B$3)),INDEX(orderHistory[order_date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order_date],SMALL(IF(ISNUMBER(MATCH(orderHistory[customer],$D$9,0)*MATCH(orderHistory[status],$D$11,0)),MATCH(ROW(orderHistory[customer]),ROW(orderHistory[customer])),""),ROWS($A$15:A59)+$B$3)),INDEX(orderHistory[order_date],SMALL(IF(ISNUMBER(MATCH(orderHistory[customer],$D$9,0)*MATCH(orderHistory[status],$D$11,0)*MATCH(YEAR(orderHistory[invoice_date]),$D$15,0)),MATCH(ROW(orderHistory[customer]),ROW(orderHistory[customer])),""),ROWS($A$15:A59)+$B$3))),IF($D$15="",INDEX(orderHistory[order_date],SMALL(IF(ISNUMBER(MATCH(orderHistory[customer],$D$9,0)*MATCH(orderHistory[status],$D$11,0)*MATCH(orderHistory[order_type],$D$13,0)),MATCH(ROW(orderHistory[customer]),ROW(orderHistory[customer])),""),ROWS($A$15:A59)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45300</v>
      </c>
      <c r="P54" s="385" t="str">
        <f t="array" ref="P54">IFERROR(IF($D$9="",IF($D$11="",IF($D$13="",IF($D$15="",INDEX(orderHistory[invoice_no],SMALL(MATCH(ROW(orderHistory[customer]),ROW(orderHistory[customer])),ROWS($A$15:A59)+$B$3)),INDEX(orderHistory[invoice_no],SMALL(IF(ISNUMBER(MATCH(YEAR(orderHistory[invoice_date]),$D$15,0)),MATCH(ROW(orderHistory[customer]),ROW(orderHistory[customer])),""),ROWS($A$15:A59)+$B$3))),IF($D$15="",INDEX(orderHistory[invoice_no],SMALL(IF(ISNUMBER(MATCH(orderHistory[order_type],$D$13,0)),MATCH(ROW(orderHistory[customer]),ROW(orderHistory[customer])),""),ROWS($A$15:A59)+$B$3)),INDEX(orderHistory[invoice_no],SMALL(IF(ISNUMBER(MATCH(orderHistory[order_type],$D$13,0)*MATCH(YEAR(orderHistory[invoice_date]),$D$15,0)),MATCH(ROW(orderHistory[customer]),ROW(orderHistory[customer])),""),ROWS($A$15:A59)+$B$3)))),IF($D$13="",IF($D$15="",INDEX(orderHistory[invoice_no],SMALL(IF(ISNUMBER(MATCH(orderHistory[status],$D$11,0)),MATCH(ROW(orderHistory[customer]),ROW(orderHistory[customer])),""),ROWS($A$15:A59)+$B$3)),INDEX(orderHistory[invoice_no],SMALL(IF(ISNUMBER(MATCH(orderHistory[status],$D$11,0)*MATCH(YEAR(orderHistory[invoice_date]),$D$15,0)),MATCH(ROW(orderHistory[customer]),ROW(orderHistory[customer])),""),ROWS($A$15:A59)+$B$3))),IF($D$15="",INDEX(orderHistory[invoice_no],SMALL(IF(ISNUMBER(MATCH(orderHistory[status],$D$11,0)*MATCH(orderHistory[order_type],$D$13,0)),MATCH(ROW(orderHistory[customer]),ROW(orderHistory[customer])),""),ROWS($A$15:A59)+$B$3)),INDEX(orderHistory[invoice_no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invoice_no],SMALL(IF(ISNUMBER(MATCH(orderHistory[customer],$D$9,0)),MATCH(ROW(orderHistory[customer]),ROW(orderHistory[customer])),""),ROWS($A$15:A59)+$B$3)),INDEX(orderHistory[invoice_no],SMALL(IF(ISNUMBER(MATCH(orderHistory[customer],$D$9,0)*MATCH(YEAR(orderHistory[invoice_date]),$D$15,0)),MATCH(ROW(orderHistory[customer]),ROW(orderHistory[customer])),""),ROWS($A$15:A59)+$B$3))),IF($D$15="",INDEX(orderHistory[invoice_no],SMALL(IF(ISNUMBER(MATCH(orderHistory[customer],$D$9,0)*MATCH(orderHistory[order_type],$D$13,0)),MATCH(ROW(orderHistory[customer]),ROW(orderHistory[customer])),""),ROWS($A$15:A59)+$B$3)),INDEX(orderHistory[invoice_no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invoice_no],SMALL(IF(ISNUMBER(MATCH(orderHistory[customer],$D$9,0)*MATCH(orderHistory[status],$D$11,0)),MATCH(ROW(orderHistory[customer]),ROW(orderHistory[customer])),""),ROWS($A$15:A59)+$B$3)),INDEX(orderHistory[invoice_no],SMALL(IF(ISNUMBER(MATCH(orderHistory[customer],$D$9,0)*MATCH(orderHistory[status],$D$11,0)*MATCH(YEAR(orderHistory[invoice_date]),$D$15,0)),MATCH(ROW(orderHistory[customer]),ROW(orderHistory[customer])),""),ROWS($A$15:A59)+$B$3))),IF($D$15="",INDEX(orderHistory[invoice_no],SMALL(IF(ISNUMBER(MATCH(orderHistory[customer],$D$9,0)*MATCH(orderHistory[status],$D$11,0)*MATCH(orderHistory[order_type],$D$13,0)),MATCH(ROW(orderHistory[customer]),ROW(orderHistory[customer])),""),ROWS($A$15:A59)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5</v>
      </c>
      <c r="Q54" s="386">
        <f t="array" ref="Q54">IFERROR(IF($D$9="",IF($D$11="",IF($D$13="",IF($D$15="",INDEX(orderHistory[invoice_date],SMALL(MATCH(ROW(orderHistory[customer]),ROW(orderHistory[customer])),ROWS($A$15:A59)+$B$3)),INDEX(orderHistory[invoice_date],SMALL(IF(ISNUMBER(MATCH(YEAR(orderHistory[invoice_date]),$D$15,0)),MATCH(ROW(orderHistory[customer]),ROW(orderHistory[customer])),""),ROWS($A$15:A59)+$B$3))),IF($D$15="",INDEX(orderHistory[invoice_date],SMALL(IF(ISNUMBER(MATCH(orderHistory[order_type],$D$13,0)),MATCH(ROW(orderHistory[customer]),ROW(orderHistory[customer])),""),ROWS($A$15:A59)+$B$3)),INDEX(orderHistory[invoice_date],SMALL(IF(ISNUMBER(MATCH(orderHistory[order_type],$D$13,0)*MATCH(YEAR(orderHistory[invoice_date]),$D$15,0)),MATCH(ROW(orderHistory[customer]),ROW(orderHistory[customer])),""),ROWS($A$15:A59)+$B$3)))),IF($D$13="",IF($D$15="",INDEX(orderHistory[invoice_date],SMALL(IF(ISNUMBER(MATCH(orderHistory[status],$D$11,0)),MATCH(ROW(orderHistory[customer]),ROW(orderHistory[customer])),""),ROWS($A$15:A59)+$B$3)),INDEX(orderHistory[invoice_date],SMALL(IF(ISNUMBER(MATCH(orderHistory[status],$D$11,0)*MATCH(YEAR(orderHistory[invoice_date]),$D$15,0)),MATCH(ROW(orderHistory[customer]),ROW(orderHistory[customer])),""),ROWS($A$15:A59)+$B$3))),IF($D$15="",INDEX(orderHistory[invoice_date],SMALL(IF(ISNUMBER(MATCH(orderHistory[status],$D$11,0)*MATCH(orderHistory[order_type],$D$13,0)),MATCH(ROW(orderHistory[customer]),ROW(orderHistory[customer])),""),ROWS($A$15:A59)+$B$3)),INDEX(orderHistory[invoice_date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invoice_date],SMALL(IF(ISNUMBER(MATCH(orderHistory[customer],$D$9,0)),MATCH(ROW(orderHistory[customer]),ROW(orderHistory[customer])),""),ROWS($A$15:A59)+$B$3)),INDEX(orderHistory[invoice_date],SMALL(IF(ISNUMBER(MATCH(orderHistory[customer],$D$9,0)*MATCH(YEAR(orderHistory[invoice_date]),$D$15,0)),MATCH(ROW(orderHistory[customer]),ROW(orderHistory[customer])),""),ROWS($A$15:A59)+$B$3))),IF($D$15="",INDEX(orderHistory[invoice_date],SMALL(IF(ISNUMBER(MATCH(orderHistory[customer],$D$9,0)*MATCH(orderHistory[order_type],$D$13,0)),MATCH(ROW(orderHistory[customer]),ROW(orderHistory[customer])),""),ROWS($A$15:A59)+$B$3)),INDEX(orderHistory[invoice_date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invoice_date],SMALL(IF(ISNUMBER(MATCH(orderHistory[customer],$D$9,0)*MATCH(orderHistory[status],$D$11,0)),MATCH(ROW(orderHistory[customer]),ROW(orderHistory[customer])),""),ROWS($A$15:A59)+$B$3)),INDEX(orderHistory[invoice_date],SMALL(IF(ISNUMBER(MATCH(orderHistory[customer],$D$9,0)*MATCH(orderHistory[status],$D$11,0)*MATCH(YEAR(orderHistory[invoice_date]),$D$15,0)),MATCH(ROW(orderHistory[customer]),ROW(orderHistory[customer])),""),ROWS($A$15:A59)+$B$3))),IF($D$15="",INDEX(orderHistory[invoice_date],SMALL(IF(ISNUMBER(MATCH(orderHistory[customer],$D$9,0)*MATCH(orderHistory[status],$D$11,0)*MATCH(orderHistory[order_type],$D$13,0)),MATCH(ROW(orderHistory[customer]),ROW(orderHistory[customer])),""),ROWS($A$15:A59)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45300</v>
      </c>
      <c r="R54" s="387">
        <f t="array" ref="R54">IFERROR(IF($D$9="",IF($D$11="",IF($D$13="",IF($D$15="",INDEX(orderHistory[inv_amount],SMALL(MATCH(ROW(orderHistory[customer]),ROW(orderHistory[customer])),ROWS($A$15:A59)+$B$3)),INDEX(orderHistory[inv_amount],SMALL(IF(ISNUMBER(MATCH(YEAR(orderHistory[invoice_date]),$D$15,0)),MATCH(ROW(orderHistory[customer]),ROW(orderHistory[customer])),""),ROWS($A$15:A59)+$B$3))),IF($D$15="",INDEX(orderHistory[inv_amount],SMALL(IF(ISNUMBER(MATCH(orderHistory[order_type],$D$13,0)),MATCH(ROW(orderHistory[customer]),ROW(orderHistory[customer])),""),ROWS($A$15:A59)+$B$3)),INDEX(orderHistory[inv_amount],SMALL(IF(ISNUMBER(MATCH(orderHistory[order_type],$D$13,0)*MATCH(YEAR(orderHistory[invoice_date]),$D$15,0)),MATCH(ROW(orderHistory[customer]),ROW(orderHistory[customer])),""),ROWS($A$15:A59)+$B$3)))),IF($D$13="",IF($D$15="",INDEX(orderHistory[inv_amount],SMALL(IF(ISNUMBER(MATCH(orderHistory[status],$D$11,0)),MATCH(ROW(orderHistory[customer]),ROW(orderHistory[customer])),""),ROWS($A$15:A59)+$B$3)),INDEX(orderHistory[inv_amount],SMALL(IF(ISNUMBER(MATCH(orderHistory[status],$D$11,0)*MATCH(YEAR(orderHistory[invoice_date]),$D$15,0)),MATCH(ROW(orderHistory[customer]),ROW(orderHistory[customer])),""),ROWS($A$15:A59)+$B$3))),IF($D$15="",INDEX(orderHistory[inv_amount],SMALL(IF(ISNUMBER(MATCH(orderHistory[status],$D$11,0)*MATCH(orderHistory[order_type],$D$13,0)),MATCH(ROW(orderHistory[customer]),ROW(orderHistory[customer])),""),ROWS($A$15:A59)+$B$3)),INDEX(orderHistory[inv_amount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inv_amount],SMALL(IF(ISNUMBER(MATCH(orderHistory[customer],$D$9,0)),MATCH(ROW(orderHistory[customer]),ROW(orderHistory[customer])),""),ROWS($A$15:A59)+$B$3)),INDEX(orderHistory[inv_amount],SMALL(IF(ISNUMBER(MATCH(orderHistory[customer],$D$9,0)*MATCH(YEAR(orderHistory[invoice_date]),$D$15,0)),MATCH(ROW(orderHistory[customer]),ROW(orderHistory[customer])),""),ROWS($A$15:A59)+$B$3))),IF($D$15="",INDEX(orderHistory[inv_amount],SMALL(IF(ISNUMBER(MATCH(orderHistory[customer],$D$9,0)*MATCH(orderHistory[order_type],$D$13,0)),MATCH(ROW(orderHistory[customer]),ROW(orderHistory[customer])),""),ROWS($A$15:A59)+$B$3)),INDEX(orderHistory[inv_amount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inv_amount],SMALL(IF(ISNUMBER(MATCH(orderHistory[customer],$D$9,0)*MATCH(orderHistory[status],$D$11,0)),MATCH(ROW(orderHistory[customer]),ROW(orderHistory[customer])),""),ROWS($A$15:A59)+$B$3)),INDEX(orderHistory[inv_amount],SMALL(IF(ISNUMBER(MATCH(orderHistory[customer],$D$9,0)*MATCH(orderHistory[status],$D$11,0)*MATCH(YEAR(orderHistory[inv_amount]),$D$15,0)),MATCH(ROW(orderHistory[customer]),ROW(orderHistory[customer])),""),ROWS($A$15:A59)+$B$3))),IF($D$15="",INDEX(orderHistory[inv_amount],SMALL(IF(ISNUMBER(MATCH(orderHistory[customer],$D$9,0)*MATCH(orderHistory[status],$D$11,0)*MATCH(orderHistory[order_type],$D$13,0)),MATCH(ROW(orderHistory[customer]),ROW(orderHistory[customer])),""),ROWS($A$15:A59)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53721.599999999999</v>
      </c>
      <c r="S54" s="465" t="str">
        <f t="array" ref="S54">IFERROR(IF($D$9="",IF($D$11="",IF($D$13="",IF($D$15="",INDEX(orderHistory[lock_goods],SMALL(MATCH(ROW(orderHistory[customer]),ROW(orderHistory[customer])),ROWS($A$15:A59)+$B$3)),INDEX(orderHistory[lock_goods],SMALL(IF(ISNUMBER(MATCH(YEAR(orderHistory[invoice_date]),$D$15,0)),MATCH(ROW(orderHistory[customer]),ROW(orderHistory[customer])),""),ROWS($A$15:A59)+$B$3))),IF($D$15="",INDEX(orderHistory[lock_goods],SMALL(IF(ISNUMBER(MATCH(orderHistory[order_type],$D$13,0)),MATCH(ROW(orderHistory[customer]),ROW(orderHistory[customer])),""),ROWS($A$15:A59)+$B$3)),INDEX(orderHistory[lock_goods],SMALL(IF(ISNUMBER(MATCH(orderHistory[order_type],$D$13,0)*MATCH(YEAR(orderHistory[invoice_date]),$D$15,0)),MATCH(ROW(orderHistory[customer]),ROW(orderHistory[customer])),""),ROWS($A$15:A59)+$B$3)))),IF($D$13="",IF($D$15="",INDEX(orderHistory[lock_goods],SMALL(IF(ISNUMBER(MATCH(orderHistory[status],$D$11,0)),MATCH(ROW(orderHistory[customer]),ROW(orderHistory[customer])),""),ROWS($A$15:A59)+$B$3)),INDEX(orderHistory[lock_goods],SMALL(IF(ISNUMBER(MATCH(orderHistory[status],$D$11,0)*MATCH(YEAR(orderHistory[invoice_date]),$D$15,0)),MATCH(ROW(orderHistory[customer]),ROW(orderHistory[customer])),""),ROWS($A$15:A59)+$B$3))),IF($D$15="",INDEX(orderHistory[lock_goods],SMALL(IF(ISNUMBER(MATCH(orderHistory[status],$D$11,0)*MATCH(orderHistory[order_type],$D$13,0)),MATCH(ROW(orderHistory[customer]),ROW(orderHistory[customer])),""),ROWS($A$15:A59)+$B$3)),INDEX(orderHistory[lock_goods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lock_goods],SMALL(IF(ISNUMBER(MATCH(orderHistory[customer],$D$9,0)),MATCH(ROW(orderHistory[customer]),ROW(orderHistory[customer])),""),ROWS($A$15:A59)+$B$3)),INDEX(orderHistory[lock_goods],SMALL(IF(ISNUMBER(MATCH(orderHistory[customer],$D$9,0)*MATCH(YEAR(orderHistory[invoice_date]),$D$15,0)),MATCH(ROW(orderHistory[customer]),ROW(orderHistory[customer])),""),ROWS($A$15:A59)+$B$3))),IF($D$15="",INDEX(orderHistory[lock_goods],SMALL(IF(ISNUMBER(MATCH(orderHistory[customer],$D$9,0)*MATCH(orderHistory[order_type],$D$13,0)),MATCH(ROW(orderHistory[customer]),ROW(orderHistory[customer])),""),ROWS($A$15:A59)+$B$3)),INDEX(orderHistory[lock_goods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lock_goods],SMALL(IF(ISNUMBER(MATCH(orderHistory[customer],$D$9,0)*MATCH(orderHistory[status],$D$11,0)),MATCH(ROW(orderHistory[customer]),ROW(orderHistory[customer])),""),ROWS($A$15:A59)+$B$3)),INDEX(orderHistory[lock_goods],SMALL(IF(ISNUMBER(MATCH(orderHistory[customer],$D$9,0)*MATCH(orderHistory[status],$D$11,0)*MATCH(YEAR(orderHistory[payed]),$D$15,0)),MATCH(ROW(orderHistory[customer]),ROW(orderHistory[customer])),""),ROWS($A$15:A59)+$B$3))),IF($D$15="",INDEX(orderHistory[lock_goods],SMALL(IF(ISNUMBER(MATCH(orderHistory[customer],$D$9,0)*MATCH(orderHistory[status],$D$11,0)*MATCH(orderHistory[order_type],$D$13,0)),MATCH(ROW(orderHistory[customer]),ROW(orderHistory[customer])),""),ROWS($A$15:A59)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GOODS SENT</v>
      </c>
      <c r="T54" s="388" t="b">
        <f t="array" ref="T54">IFERROR(IF($D$9="",IF($D$11="",IF($D$13="",IF($D$15="",INDEX(orderHistory[payed],SMALL(MATCH(ROW(orderHistory[customer]),ROW(orderHistory[customer])),ROWS($A$15:A59)+$B$3)),INDEX(orderHistory[payed],SMALL(IF(ISNUMBER(MATCH(YEAR(orderHistory[invoice_date]),$D$15,0)),MATCH(ROW(orderHistory[customer]),ROW(orderHistory[customer])),""),ROWS($A$15:A59)+$B$3))),IF($D$15="",INDEX(orderHistory[payed],SMALL(IF(ISNUMBER(MATCH(orderHistory[order_type],$D$13,0)),MATCH(ROW(orderHistory[customer]),ROW(orderHistory[customer])),""),ROWS($A$15:A59)+$B$3)),INDEX(orderHistory[payed],SMALL(IF(ISNUMBER(MATCH(orderHistory[order_type],$D$13,0)*MATCH(YEAR(orderHistory[invoice_date]),$D$15,0)),MATCH(ROW(orderHistory[customer]),ROW(orderHistory[customer])),""),ROWS($A$15:A59)+$B$3)))),IF($D$13="",IF($D$15="",INDEX(orderHistory[payed],SMALL(IF(ISNUMBER(MATCH(orderHistory[status],$D$11,0)),MATCH(ROW(orderHistory[customer]),ROW(orderHistory[customer])),""),ROWS($A$15:A59)+$B$3)),INDEX(orderHistory[payed],SMALL(IF(ISNUMBER(MATCH(orderHistory[status],$D$11,0)*MATCH(YEAR(orderHistory[invoice_date]),$D$15,0)),MATCH(ROW(orderHistory[customer]),ROW(orderHistory[customer])),""),ROWS($A$15:A59)+$B$3))),IF($D$15="",INDEX(orderHistory[payed],SMALL(IF(ISNUMBER(MATCH(orderHistory[status],$D$11,0)*MATCH(orderHistory[order_type],$D$13,0)),MATCH(ROW(orderHistory[customer]),ROW(orderHistory[customer])),""),ROWS($A$15:A59)+$B$3)),INDEX(orderHistory[payed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payed],SMALL(IF(ISNUMBER(MATCH(orderHistory[customer],$D$9,0)),MATCH(ROW(orderHistory[customer]),ROW(orderHistory[customer])),""),ROWS($A$15:A59)+$B$3)),INDEX(orderHistory[payed],SMALL(IF(ISNUMBER(MATCH(orderHistory[customer],$D$9,0)*MATCH(YEAR(orderHistory[invoice_date]),$D$15,0)),MATCH(ROW(orderHistory[customer]),ROW(orderHistory[customer])),""),ROWS($A$15:A59)+$B$3))),IF($D$15="",INDEX(orderHistory[payed],SMALL(IF(ISNUMBER(MATCH(orderHistory[customer],$D$9,0)*MATCH(orderHistory[order_type],$D$13,0)),MATCH(ROW(orderHistory[customer]),ROW(orderHistory[customer])),""),ROWS($A$15:A59)+$B$3)),INDEX(orderHistory[payed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payed],SMALL(IF(ISNUMBER(MATCH(orderHistory[customer],$D$9,0)*MATCH(orderHistory[status],$D$11,0)),MATCH(ROW(orderHistory[customer]),ROW(orderHistory[customer])),""),ROWS($A$15:A59)+$B$3)),INDEX(orderHistory[payed],SMALL(IF(ISNUMBER(MATCH(orderHistory[customer],$D$9,0)*MATCH(orderHistory[status],$D$11,0)*MATCH(YEAR(orderHistory[payed]),$D$15,0)),MATCH(ROW(orderHistory[customer]),ROW(orderHistory[customer])),""),ROWS($A$15:A59)+$B$3))),IF($D$15="",INDEX(orderHistory[payed],SMALL(IF(ISNUMBER(MATCH(orderHistory[customer],$D$9,0)*MATCH(orderHistory[status],$D$11,0)*MATCH(orderHistory[order_type],$D$13,0)),MATCH(ROW(orderHistory[customer]),ROW(orderHistory[customer])),""),ROWS($A$15:A59)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1</v>
      </c>
      <c r="U54" s="383" t="str">
        <f t="array" ref="U54">IFERROR(IF($D$9="",IF($D$11="",IF($D$13="",IF($D$15="",INDEX(orderHistory[shipping_method],SMALL(MATCH(ROW(orderHistory[customer]),ROW(orderHistory[customer])),ROWS($A$15:A59)+$B$3)),INDEX(orderHistory[shipping_method],SMALL(IF(ISNUMBER(MATCH(YEAR(orderHistory[invoice_date]),$D$15,0)),MATCH(ROW(orderHistory[customer]),ROW(orderHistory[customer])),""),ROWS($A$15:A59)+$B$3))),IF($D$15="",INDEX(orderHistory[shipping_method],SMALL(IF(ISNUMBER(MATCH(orderHistory[order_type],$D$13,0)),MATCH(ROW(orderHistory[customer]),ROW(orderHistory[customer])),""),ROWS($A$15:A59)+$B$3)),INDEX(orderHistory[shipping_method],SMALL(IF(ISNUMBER(MATCH(orderHistory[order_type],$D$13,0)*MATCH(YEAR(orderHistory[invoice_date]),$D$15,0)),MATCH(ROW(orderHistory[customer]),ROW(orderHistory[customer])),""),ROWS($A$15:A59)+$B$3)))),IF($D$13="",IF($D$15="",INDEX(orderHistory[shipping_method],SMALL(IF(ISNUMBER(MATCH(orderHistory[status],$D$11,0)),MATCH(ROW(orderHistory[customer]),ROW(orderHistory[customer])),""),ROWS($A$15:A59)+$B$3)),INDEX(orderHistory[shipping_method],SMALL(IF(ISNUMBER(MATCH(orderHistory[status],$D$11,0)*MATCH(YEAR(orderHistory[invoice_date]),$D$15,0)),MATCH(ROW(orderHistory[customer]),ROW(orderHistory[customer])),""),ROWS($A$15:A59)+$B$3))),IF($D$15="",INDEX(orderHistory[shipping_method],SMALL(IF(ISNUMBER(MATCH(orderHistory[status],$D$11,0)*MATCH(orderHistory[order_type],$D$13,0)),MATCH(ROW(orderHistory[customer]),ROW(orderHistory[customer])),""),ROWS($A$15:A59)+$B$3)),INDEX(orderHistory[shipping_method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shipping_method],SMALL(IF(ISNUMBER(MATCH(orderHistory[customer],$D$9,0)),MATCH(ROW(orderHistory[customer]),ROW(orderHistory[customer])),""),ROWS($A$15:A59)+$B$3)),INDEX(orderHistory[shipping_method],SMALL(IF(ISNUMBER(MATCH(orderHistory[customer],$D$9,0)*MATCH(YEAR(orderHistory[invoice_date]),$D$15,0)),MATCH(ROW(orderHistory[customer]),ROW(orderHistory[customer])),""),ROWS($A$15:A59)+$B$3))),IF($D$15="",INDEX(orderHistory[shipping_method],SMALL(IF(ISNUMBER(MATCH(orderHistory[customer],$D$9,0)*MATCH(orderHistory[order_type],$D$13,0)),MATCH(ROW(orderHistory[customer]),ROW(orderHistory[customer])),""),ROWS($A$15:A59)+$B$3)),INDEX(orderHistory[shipping_method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shipping_method],SMALL(IF(ISNUMBER(MATCH(orderHistory[customer],$D$9,0)*MATCH(orderHistory[status],$D$11,0)),MATCH(ROW(orderHistory[customer]),ROW(orderHistory[customer])),""),ROWS($A$15:A59)+$B$3)),INDEX(orderHistory[shipping_method],SMALL(IF(ISNUMBER(MATCH(orderHistory[customer],$D$9,0)*MATCH(orderHistory[status],$D$11,0)*MATCH(YEAR(orderHistory[shipping_method]),$D$15,0)),MATCH(ROW(orderHistory[customer]),ROW(orderHistory[customer])),""),ROWS($A$15:A59)+$B$3))),IF($D$15="",INDEX(orderHistory[shipping_method],SMALL(IF(ISNUMBER(MATCH(orderHistory[customer],$D$9,0)*MATCH(orderHistory[status],$D$11,0)*MATCH(orderHistory[order_type],$D$13,0)),MATCH(ROW(orderHistory[customer]),ROW(orderHistory[customer])),""),ROWS($A$15:A59)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BY ROAD</v>
      </c>
      <c r="V54" s="388" t="str">
        <f t="array" ref="V54">IFERROR(IF($D$9="",IF($D$11="",IF($D$13="",IF($D$15="",INDEX(orderHistory[status],SMALL(MATCH(ROW(orderHistory[customer]),ROW(orderHistory[customer])),ROWS($A$15:A59)+$B$3)),INDEX(orderHistory[status],SMALL(IF(ISNUMBER(MATCH(YEAR(orderHistory[invoice_date]),$D$15,0)),MATCH(ROW(orderHistory[customer]),ROW(orderHistory[customer])),""),ROWS($A$15:A59)+$B$3))),IF($D$15="",INDEX(orderHistory[status],SMALL(IF(ISNUMBER(MATCH(orderHistory[order_type],$D$13,0)),MATCH(ROW(orderHistory[customer]),ROW(orderHistory[customer])),""),ROWS($A$15:A59)+$B$3)),INDEX(orderHistory[status],SMALL(IF(ISNUMBER(MATCH(orderHistory[order_type],$D$13,0)*MATCH(YEAR(orderHistory[invoice_date]),$D$15,0)),MATCH(ROW(orderHistory[customer]),ROW(orderHistory[customer])),""),ROWS($A$15:A59)+$B$3)))),IF($D$13="",IF($D$15="",INDEX(orderHistory[status],SMALL(IF(ISNUMBER(MATCH(orderHistory[status],$D$11,0)),MATCH(ROW(orderHistory[customer]),ROW(orderHistory[customer])),""),ROWS($A$15:A59)+$B$3)),INDEX(orderHistory[status],SMALL(IF(ISNUMBER(MATCH(orderHistory[status],$D$11,0)*MATCH(YEAR(orderHistory[invoice_date]),$D$15,0)),MATCH(ROW(orderHistory[customer]),ROW(orderHistory[customer])),""),ROWS($A$15:A59)+$B$3))),IF($D$15="",INDEX(orderHistory[status],SMALL(IF(ISNUMBER(MATCH(orderHistory[status],$D$11,0)*MATCH(orderHistory[order_type],$D$13,0)),MATCH(ROW(orderHistory[customer]),ROW(orderHistory[customer])),""),ROWS($A$15:A59)+$B$3)),INDEX(orderHistory[status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status],SMALL(IF(ISNUMBER(MATCH(orderHistory[customer],$D$9,0)),MATCH(ROW(orderHistory[customer]),ROW(orderHistory[customer])),""),ROWS($A$15:A59)+$B$3)),INDEX(orderHistory[status],SMALL(IF(ISNUMBER(MATCH(orderHistory[customer],$D$9,0)*MATCH(YEAR(orderHistory[invoice_date]),$D$15,0)),MATCH(ROW(orderHistory[customer]),ROW(orderHistory[customer])),""),ROWS($A$15:A59)+$B$3))),IF($D$15="",INDEX(orderHistory[status],SMALL(IF(ISNUMBER(MATCH(orderHistory[customer],$D$9,0)*MATCH(orderHistory[order_type],$D$13,0)),MATCH(ROW(orderHistory[customer]),ROW(orderHistory[customer])),""),ROWS($A$15:A59)+$B$3)),INDEX(orderHistory[status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status],SMALL(IF(ISNUMBER(MATCH(orderHistory[customer],$D$9,0)*MATCH(orderHistory[status],$D$11,0)),MATCH(ROW(orderHistory[customer]),ROW(orderHistory[customer])),""),ROWS($A$15:A59)+$B$3)),INDEX(orderHistory[status],SMALL(IF(ISNUMBER(MATCH(orderHistory[customer],$D$9,0)*MATCH(orderHistory[status],$D$11,0)*MATCH(YEAR(orderHistory[status]),$D$15,0)),MATCH(ROW(orderHistory[customer]),ROW(orderHistory[customer])),""),ROWS($A$15:A59)+$B$3))),IF($D$15="",INDEX(orderHistory[status],SMALL(IF(ISNUMBER(MATCH(orderHistory[customer],$D$9,0)*MATCH(orderHistory[status],$D$11,0)*MATCH(orderHistory[order_type],$D$13,0)),MATCH(ROW(orderHistory[customer]),ROW(orderHistory[customer])),""),ROWS($A$15:A59)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SHIPPED</v>
      </c>
      <c r="W54" s="547" t="str">
        <f t="array" ref="W54">IFERROR(IF($D$9="",IF($D$11="",IF($D$13="",IF($D$15="",INDEX(orderHistory[custom_docs],SMALL(MATCH(ROW(orderHistory[customer]),ROW(orderHistory[customer])),ROWS($A$15:A59)+$B$3)),INDEX(orderHistory[custom_docs],SMALL(IF(ISNUMBER(MATCH(YEAR(orderHistory[invoice_date]),$D$15,0)),MATCH(ROW(orderHistory[customer]),ROW(orderHistory[customer])),""),ROWS($A$15:A59)+$B$3))),IF($D$15="",INDEX(orderHistory[custom_docs],SMALL(IF(ISNUMBER(MATCH(orderHistory[order_type],$D$13,0)),MATCH(ROW(orderHistory[customer]),ROW(orderHistory[customer])),""),ROWS($A$15:A59)+$B$3)),INDEX(orderHistory[custom_docs],SMALL(IF(ISNUMBER(MATCH(orderHistory[order_type],$D$13,0)*MATCH(YEAR(orderHistory[invoice_date]),$D$15,0)),MATCH(ROW(orderHistory[customer]),ROW(orderHistory[customer])),""),ROWS($A$15:A59)+$B$3)))),IF($D$13="",IF($D$15="",INDEX(orderHistory[custom_docs],SMALL(IF(ISNUMBER(MATCH(orderHistory[status],$D$11,0)),MATCH(ROW(orderHistory[customer]),ROW(orderHistory[customer])),""),ROWS($A$15:A59)+$B$3)),INDEX(orderHistory[custom_docs],SMALL(IF(ISNUMBER(MATCH(orderHistory[status],$D$11,0)*MATCH(YEAR(orderHistory[invoice_date]),$D$15,0)),MATCH(ROW(orderHistory[customer]),ROW(orderHistory[customer])),""),ROWS($A$15:A59)+$B$3))),IF($D$15="",INDEX(orderHistory[custom_docs],SMALL(IF(ISNUMBER(MATCH(orderHistory[status],$D$11,0)*MATCH(orderHistory[order_type],$D$13,0)),MATCH(ROW(orderHistory[customer]),ROW(orderHistory[customer])),""),ROWS($A$15:A59)+$B$3)),INDEX(orderHistory[custom_docs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custom_docs],SMALL(IF(ISNUMBER(MATCH(orderHistory[customer],$D$9,0)),MATCH(ROW(orderHistory[customer]),ROW(orderHistory[customer])),""),ROWS($A$15:A59)+$B$3)),INDEX(orderHistory[custom_docs],SMALL(IF(ISNUMBER(MATCH(orderHistory[customer],$D$9,0)*MATCH(YEAR(orderHistory[invoice_date]),$D$15,0)),MATCH(ROW(orderHistory[customer]),ROW(orderHistory[customer])),""),ROWS($A$15:A59)+$B$3))),IF($D$15="",INDEX(orderHistory[custom_docs],SMALL(IF(ISNUMBER(MATCH(orderHistory[customer],$D$9,0)*MATCH(orderHistory[order_type],$D$13,0)),MATCH(ROW(orderHistory[customer]),ROW(orderHistory[customer])),""),ROWS($A$15:A59)+$B$3)),INDEX(orderHistory[custom_docs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custom_docs],SMALL(IF(ISNUMBER(MATCH(orderHistory[customer],$D$9,0)*MATCH(orderHistory[status],$D$11,0)),MATCH(ROW(orderHistory[customer]),ROW(orderHistory[customer])),""),ROWS($A$15:A59)+$B$3)),INDEX(orderHistory[custom_docs],SMALL(IF(ISNUMBER(MATCH(orderHistory[customer],$D$9,0)*MATCH(orderHistory[status],$D$11,0)*MATCH(YEAR(orderHistory[status]),$D$15,0)),MATCH(ROW(orderHistory[customer]),ROW(orderHistory[customer])),""),ROWS($A$15:A59)+$B$3))),IF($D$15="",INDEX(orderHistory[custom_docs],SMALL(IF(ISNUMBER(MATCH(orderHistory[customer],$D$9,0)*MATCH(orderHistory[status],$D$11,0)*MATCH(orderHistory[order_type],$D$13,0)),MATCH(ROW(orderHistory[customer]),ROW(orderHistory[customer])),""),ROWS($A$15:A59)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OK</v>
      </c>
      <c r="AQ54" s="280"/>
      <c r="AR54" s="280" t="s">
        <v>577</v>
      </c>
      <c r="BG54" s="215"/>
      <c r="BK54" s="296"/>
      <c r="BL54" s="297"/>
      <c r="BM54" s="298"/>
      <c r="BN54" s="297"/>
      <c r="BO54" s="298"/>
      <c r="BZ54" s="414"/>
      <c r="CA54" s="401" t="str">
        <f>IFERROR(IF(BZ54="","",INDEX(bhpc_data[description],MATCH(BZ54,bhpc_data[sku],0))),"")</f>
        <v/>
      </c>
      <c r="CB54" s="403"/>
      <c r="CC54" s="886"/>
      <c r="CD54" s="411"/>
      <c r="CE54" s="890"/>
      <c r="CF54" s="404"/>
      <c r="CG54" s="405" t="str">
        <f>IFERROR(ROUNDUP(CB54/INDEX(bhpc_data[units_per_carton],MATCH(BZ54,bhpc_data[sku],0)),0),"")</f>
        <v/>
      </c>
      <c r="CH54" s="406" t="str">
        <f>IFERROR(ROUNDUP(CD54/INDEX(bhpc_data[units_per_carton],MATCH(BZ54,bhpc_data[sku],0)),0),"")</f>
        <v/>
      </c>
      <c r="CI54" s="406" t="str">
        <f>IFERROR(ROUNDUP(CF54/INDEX(bhpc_data[units_per_carton],MATCH(BZ54,bhpc_data[sku])),0),"")</f>
        <v/>
      </c>
      <c r="CJ54" s="406" t="str">
        <f>IFERROR(((CB54+CD54+CF54)/INDEX(bhpc_data[units_per_carton],MATCH(BZ54,bhpc_data[sku],0)))*INDEX(bhpc_data[net_weight],MATCH(BZ54,bhpc_data[sku],0)),"")</f>
        <v/>
      </c>
      <c r="CK54" s="406" t="str">
        <f>IFERROR(((CB54+CD54+CF54)/INDEX(bhpc_data[units_per_carton],MATCH(BZ54,bhpc_data[sku],0)))*INDEX(bhpc_data[gross_weight],MATCH(BZ54,bhpc_data[sku],0)),"")</f>
        <v/>
      </c>
      <c r="CL54" s="602" t="str">
        <f>IFERROR((CB54+CD54+CF54)/INDEX(bhpc_data[units_per_carton],MATCH(BZ54,bhpc_data[sku],0))*INDEX(bhpc_data[length],MATCH(BZ54,bhpc_data[sku],0))*INDEX(bhpc_data[width],MATCH(BZ54,bhpc_data[sku],0))*INDEX(bhpc_data[height],MATCH(BZ54,bhpc_data[sku],0))/1000000000,"")</f>
        <v/>
      </c>
      <c r="CM54" s="407" t="str">
        <f>IFERROR(INDEX(bhpc_data[category],MATCH(BZ54,bhpc_data[sku],0)),"")</f>
        <v/>
      </c>
      <c r="CN54" s="407" t="str">
        <f>IFERROR(INDEX(bhpc_data[size],MATCH(BZ54,bhpc_data[sku],0)),"")</f>
        <v/>
      </c>
      <c r="CO54" s="408" t="str">
        <f>IFERROR(INDEX(bhpc_data[hs_code],MATCH(BZ54,bhpc_data[sku],0)),"")</f>
        <v/>
      </c>
      <c r="CP54" s="489" t="str">
        <f>IFERROR(INDEX(bhpc_data[sku_geko],MATCH(BZ54,bhpc_data[sku],0)),"")</f>
        <v/>
      </c>
      <c r="CQ54" s="404"/>
      <c r="CR54" s="517" t="str">
        <f>IFERROR(IF(BZ54="","",IF($BX$15="SALE",INDEX(inventory[COSTO UNITARIO],MATCH(BZ54,inventory[SKU],0)),IF($BX$15="SAMPLING",INDEX(inventory[COSTO UNITARIO],MATCH(BZ54,inventory[SKU],0)),""))),"")</f>
        <v/>
      </c>
      <c r="CS54" s="517" t="str">
        <f t="shared" si="7"/>
        <v/>
      </c>
      <c r="CT54" s="896" t="str">
        <f t="shared" si="8"/>
        <v/>
      </c>
      <c r="CU54" s="469" t="str">
        <f t="shared" si="0"/>
        <v/>
      </c>
      <c r="CV54" s="280"/>
      <c r="CW54" s="280"/>
      <c r="CX54" s="280"/>
      <c r="CY54" s="280"/>
      <c r="CZ54" s="280"/>
      <c r="DA54" s="280"/>
      <c r="DB54" s="280" t="str">
        <f>IFERROR(VLOOKUP(BZ54,bhpc_data[],22,FALSE),"")</f>
        <v/>
      </c>
      <c r="EE54" s="445" t="str" cm="1">
        <f t="array" ref="EE54">IFERROR(IF($EC$9="",IF($EC$11="",IF($EC$13="",INDEX(bhpc_data[sku],SMALL(MATCH(ROW(bhpc_data[sku]),ROW(bhpc_data[sku])),ROWS($A$15:A59)+$B$3)),INDEX(bhpc_data[sku],SMALL(IF(ISNUMBER(MATCH(bhpc_data[size],$EC$13,0)),MATCH(ROW(bhpc_data[sku]),ROW(bhpc_data[sku])),""),ROWS($A$15:A59)+$B$3))),IF($EC$13="",INDEX(bhpc_data[sku],SMALL(IF(ISNUMBER(MATCH(bhpc_data[sex],$EC$11,0)),MATCH(ROW(bhpc_data[sku]),ROW(bhpc_data[sku])),""),ROWS($A$15:A59)+$B$3)),INDEX(bhpc_data[sku],SMALL(IF(ISNUMBER(MATCH(bhpc_data[sex],$EC$11,0)*MATCH(bhpc_data[size],$EC$13,0)),MATCH(ROW(bhpc_data[sku]),ROW(bhpc_data[sku])),""),ROWS($A$15:A59)+$B$3)))),IF($EC$11="",IF($EC$13="",INDEX(bhpc_data[sku],SMALL(IF(ISNUMBER(MATCH(bhpc_data[category],$EC$9,0)),MATCH(ROW(bhpc_data[sku]),ROW(bhpc_data[sku])),""),ROWS($A$15:A59)+$B$3)),INDEX(bhpc_data[sku],SMALL(IF(ISNUMBER(MATCH(bhpc_data[category],$EC$9,0)*MATCH(bhpc_data[size],$EC$13,0)),MATCH(ROW(bhpc_data[sku]),ROW(bhpc_data[sku])),""),ROWS($A$15:A59)+$B$3))),IF($EC$13="",INDEX(bhpc_data[sku],SMALL(IF(ISNUMBER(MATCH(bhpc_data[category],$EC$9,0)*MATCH(bhpc_data[sex],$EC$11,0)),MATCH(ROW(bhpc_data[sku]),ROW(bhpc_data[sku])),""),ROWS($A$15:A59)+$B$3)),INDEX(bhpc_data[sku],SMALL(IF(ISNUMBER(MATCH(bhpc_data[category],$EC$9,0)*MATCH(bhpc_data[sex],$EC$11,0)*MATCH(bhpc_data[size],$EC$13,0)),MATCH(ROW(bhpc_data[sku]),ROW(bhpc_data[sku])),""),ROWS($A$15:A59)+$B$3))))),"")</f>
        <v>PT6006</v>
      </c>
      <c r="EF54" s="446" t="str" cm="1">
        <f t="array" ref="EF54">IFERROR(IF($EC$9="",IF($EC$11="",IF($EC$13="",INDEX(bhpc_data[description],SMALL(MATCH(ROW(bhpc_data[sku]),ROW(bhpc_data[sku])),ROWS($A$15:A59)+$B$3)),INDEX(bhpc_data[description],SMALL(IF(ISNUMBER(MATCH(bhpc_data[size],$EC$13,0)),MATCH(ROW(bhpc_data[sku]),ROW(bhpc_data[sku])),""),ROWS($A$15:A59)+$B$3))),IF($EC$13="",INDEX(bhpc_data[description],SMALL(IF(ISNUMBER(MATCH(bhpc_data[sex],$EC$11,0)),MATCH(ROW(bhpc_data[sku]),ROW(bhpc_data[sku])),""),ROWS($A$15:A59)+$B$3)),INDEX(bhpc_data[description],SMALL(IF(ISNUMBER(MATCH(bhpc_data[sex],$EC$11,0)*MATCH(bhpc_data[size],$EC$13,0)),MATCH(ROW(bhpc_data[sku]),ROW(bhpc_data[sku])),""),ROWS($A$15:A59)+$B$3)))),IF($EC$11="",IF($EC$13="",INDEX(bhpc_data[description],SMALL(IF(ISNUMBER(MATCH(bhpc_data[category],$EC$9,0)),MATCH(ROW(bhpc_data[sku]),ROW(bhpc_data[sku])),""),ROWS($A$15:A59)+$B$3)),INDEX(bhpc_data[description],SMALL(IF(ISNUMBER(MATCH(bhpc_data[category],$EC$9,0)*MATCH(bhpc_data[size],$EC$13,0)),MATCH(ROW(bhpc_data[sku]),ROW(bhpc_data[sku])),""),ROWS($A$15:A59)+$B$3))),IF($EC$13="",INDEX(bhpc_data[description],SMALL(IF(ISNUMBER(MATCH(bhpc_data[category],$EC$9,0)*MATCH(bhpc_data[sex],$EC$11,0)),MATCH(ROW(bhpc_data[sku]),ROW(bhpc_data[sku])),""),ROWS($A$15:A59)+$B$3)),INDEX(bhpc_data[description],SMALL(IF(ISNUMBER(MATCH(bhpc_data[category],$EC$9,0)*MATCH(bhpc_data[sex],$EC$11,0)*MATCH(bhpc_data[size],$EC$13,0)),MATCH(ROW(bhpc_data[sku]),ROW(bhpc_data[sku])),""),ROWS($A$15:A59)+$B$3))))),"")</f>
        <v>BHPC TESTERS MYSTIQUE 100ML EDP WOMEN</v>
      </c>
      <c r="EG54" s="447">
        <f>IFERROR(IF('BHPC MANAGER'!$EE54="","",INDEX(inventory[ESISTENZA],MATCH('BHPC MANAGER'!$EE54,inventory[SKU],0))),0)</f>
        <v>0</v>
      </c>
      <c r="EH54" s="448" t="s">
        <v>861</v>
      </c>
      <c r="EI54" s="448">
        <f t="shared" si="1"/>
        <v>0</v>
      </c>
      <c r="EJ54" s="449" t="s">
        <v>861</v>
      </c>
      <c r="EK54" s="450">
        <f t="shared" si="2"/>
        <v>0</v>
      </c>
      <c r="EO54" s="215" t="str">
        <f t="array" ref="EO54">IFERROR(INDEX(orderHistory[order_no],SMALL(IF(ISNUMBER(MATCH(orderHistory[status],$EO$7,0)),MATCH(ROW(orderHistory[order_no]),ROW(orderHistory[order_no])),""),ROWS($A$15:A59))),"")</f>
        <v/>
      </c>
    </row>
    <row r="55" spans="10:145" ht="15" customHeight="1" x14ac:dyDescent="0.35">
      <c r="J55" s="264"/>
      <c r="K55" s="264"/>
      <c r="L55" s="381" t="str">
        <f t="array" ref="L55">IFERROR(IF($D$9="",IF($D$11="",IF($D$13="",IF($D$15="",INDEX(orderHistory[customer],SMALL(MATCH(ROW(orderHistory[customer]),ROW(orderHistory[customer])),ROWS($A$15:A60)+$B$3)),INDEX(orderHistory[customer],SMALL(IF(ISNUMBER(MATCH(YEAR(orderHistory[invoice_date]),$D$15,0)),MATCH(ROW(orderHistory[customer]),ROW(orderHistory[customer])),""),ROWS($A$15:A60)+$B$3))),IF($D$15="",INDEX(orderHistory[customer],SMALL(IF(ISNUMBER(MATCH(orderHistory[order_type],$D$13,0)),MATCH(ROW(orderHistory[customer]),ROW(orderHistory[customer])),""),ROWS($A$15:A60)+$B$3)),INDEX(orderHistory[customer],SMALL(IF(ISNUMBER(MATCH(orderHistory[order_type],$D$13,0)*MATCH(YEAR(orderHistory[invoice_date]),$D$15,0)),MATCH(ROW(orderHistory[customer]),ROW(orderHistory[customer])),""),ROWS($A$15:A60)+$B$3)))),IF($D$13="",IF($D$15="",INDEX(orderHistory[customer],SMALL(IF(ISNUMBER(MATCH(orderHistory[status],$D$11,0)),MATCH(ROW(orderHistory[customer]),ROW(orderHistory[customer])),""),ROWS($A$15:A60)+$B$3)),INDEX(orderHistory[customer],SMALL(IF(ISNUMBER(MATCH(orderHistory[status],$D$11,0)*MATCH(YEAR(orderHistory[invoice_date]),$D$15,0)),MATCH(ROW(orderHistory[customer]),ROW(orderHistory[customer])),""),ROWS($A$15:A60)+$B$3))),IF($D$15="",INDEX(orderHistory[customer],SMALL(IF(ISNUMBER(MATCH(orderHistory[status],$D$11,0)*MATCH(orderHistory[order_type],$D$13,0)),MATCH(ROW(orderHistory[customer]),ROW(orderHistory[customer])),""),ROWS($A$15:A60)+$B$3)),INDEX(orderHistory[customer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customer],SMALL(IF(ISNUMBER(MATCH(orderHistory[customer],$D$9,0)),MATCH(ROW(orderHistory[customer]),ROW(orderHistory[customer])),""),ROWS($A$15:A60)+$B$3)),INDEX(orderHistory[customer],SMALL(IF(ISNUMBER(MATCH(orderHistory[customer],$D$9,0)*MATCH(YEAR(orderHistory[invoice_date]),$D$15,0)),MATCH(ROW(orderHistory[customer]),ROW(orderHistory[customer])),""),ROWS($A$15:A60)+$B$3))),IF($D$15="",INDEX(orderHistory[customer],SMALL(IF(ISNUMBER(MATCH(orderHistory[customer],$D$9,0)*MATCH(orderHistory[order_type],$D$13,0)),MATCH(ROW(orderHistory[customer]),ROW(orderHistory[customer])),""),ROWS($A$15:A60)+$B$3)),INDEX(orderHistory[customer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customer],SMALL(IF(ISNUMBER(MATCH(orderHistory[customer],$D$9,0)*MATCH(orderHistory[status],$D$11,0)),MATCH(ROW(orderHistory[customer]),ROW(orderHistory[customer])),""),ROWS($A$15:A60)+$B$3)),INDEX(orderHistory[customer],SMALL(IF(ISNUMBER(MATCH(orderHistory[customer],$D$9,0)*MATCH(orderHistory[status],$D$11,0)*MATCH(YEAR(orderHistory[invoice_date]),$D$15,0)),MATCH(ROW(orderHistory[customer]),ROW(orderHistory[customer])),""),ROWS($A$15:A60)+$B$3))),IF($D$15="",INDEX(orderHistory[customer],SMALL(IF(ISNUMBER(MATCH(orderHistory[customer],$D$9,0)*MATCH(orderHistory[status],$D$11,0)*MATCH(orderHistory[order_type],$D$13,0)),MATCH(ROW(orderHistory[customer]),ROW(orderHistory[customer])),""),ROWS($A$15:A60)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4BEAUTY4YOU</v>
      </c>
      <c r="M55" s="382">
        <f t="array" ref="M55">IFERROR(IF($D$9="",IF($D$11="",IF($D$13="",IF($D$15="",INDEX(orderHistory[order_no],SMALL(MATCH(ROW(orderHistory[customer]),ROW(orderHistory[customer])),ROWS($A$15:A60)+$B$3)),INDEX(orderHistory[order_no],SMALL(IF(ISNUMBER(MATCH(YEAR(orderHistory[invoice_date]),$D$15,0)),MATCH(ROW(orderHistory[customer]),ROW(orderHistory[customer])),""),ROWS($A$15:A60)+$B$3))),IF($D$15="",INDEX(orderHistory[order_no],SMALL(IF(ISNUMBER(MATCH(orderHistory[order_type],$D$13,0)),MATCH(ROW(orderHistory[customer]),ROW(orderHistory[customer])),""),ROWS($A$15:A60)+$B$3)),INDEX(orderHistory[order_no],SMALL(IF(ISNUMBER(MATCH(orderHistory[order_type],$D$13,0)*MATCH(YEAR(orderHistory[invoice_date]),$D$15,0)),MATCH(ROW(orderHistory[customer]),ROW(orderHistory[customer])),""),ROWS($A$15:A60)+$B$3)))),IF($D$13="",IF($D$15="",INDEX(orderHistory[order_no],SMALL(IF(ISNUMBER(MATCH(orderHistory[status],$D$11,0)),MATCH(ROW(orderHistory[customer]),ROW(orderHistory[customer])),""),ROWS($A$15:A60)+$B$3)),INDEX(orderHistory[order_no],SMALL(IF(ISNUMBER(MATCH(orderHistory[status],$D$11,0)*MATCH(YEAR(orderHistory[invoice_date]),$D$15,0)),MATCH(ROW(orderHistory[customer]),ROW(orderHistory[customer])),""),ROWS($A$15:A60)+$B$3))),IF($D$15="",INDEX(orderHistory[order_no],SMALL(IF(ISNUMBER(MATCH(orderHistory[status],$D$11,0)*MATCH(orderHistory[order_type],$D$13,0)),MATCH(ROW(orderHistory[customer]),ROW(orderHistory[customer])),""),ROWS($A$15:A60)+$B$3)),INDEX(orderHistory[order_no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order_no],SMALL(IF(ISNUMBER(MATCH(orderHistory[customer],$D$9,0)),MATCH(ROW(orderHistory[customer]),ROW(orderHistory[customer])),""),ROWS($A$15:A60)+$B$3)),INDEX(orderHistory[order_no],SMALL(IF(ISNUMBER(MATCH(orderHistory[customer],$D$9,0)*MATCH(YEAR(orderHistory[invoice_date]),$D$15,0)),MATCH(ROW(orderHistory[customer]),ROW(orderHistory[customer])),""),ROWS($A$15:A60)+$B$3))),IF($D$15="",INDEX(orderHistory[order_no],SMALL(IF(ISNUMBER(MATCH(orderHistory[customer],$D$9,0)*MATCH(orderHistory[order_type],$D$13,0)),MATCH(ROW(orderHistory[customer]),ROW(orderHistory[customer])),""),ROWS($A$15:A60)+$B$3)),INDEX(orderHistory[order_no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order_no],SMALL(IF(ISNUMBER(MATCH(orderHistory[customer],$D$9,0)*MATCH(orderHistory[status],$D$11,0)),MATCH(ROW(orderHistory[customer]),ROW(orderHistory[customer])),""),ROWS($A$15:A60)+$B$3)),INDEX(orderHistory[order_no],SMALL(IF(ISNUMBER(MATCH(orderHistory[customer],$D$9,0)*MATCH(orderHistory[status],$D$11,0)*MATCH(YEAR(orderHistory[invoice_date]),$D$15,0)),MATCH(ROW(orderHistory[customer]),ROW(orderHistory[customer])),""),ROWS($A$15:A60)+$B$3))),IF($D$15="",INDEX(orderHistory[order_no],SMALL(IF(ISNUMBER(MATCH(orderHistory[customer],$D$9,0)*MATCH(orderHistory[status],$D$11,0)*MATCH(orderHistory[order_type],$D$13,0)),MATCH(ROW(orderHistory[customer]),ROW(orderHistory[customer])),""),ROWS($A$15:A60)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2</v>
      </c>
      <c r="N55" s="383" t="str">
        <f t="array" ref="N55">IFERROR(IF($D$9="",IF($D$11="",IF($D$13="",IF($D$15="",INDEX(orderHistory[order_type],SMALL(MATCH(ROW(orderHistory[customer]),ROW(orderHistory[customer])),ROWS($A$15:A60)+$B$3)),INDEX(orderHistory[order_type],SMALL(IF(ISNUMBER(MATCH(YEAR(orderHistory[invoice_date]),$D$15,0)),MATCH(ROW(orderHistory[customer]),ROW(orderHistory[customer])),""),ROWS($A$15:A60)+$B$3))),IF($D$15="",INDEX(orderHistory[order_type],SMALL(IF(ISNUMBER(MATCH(orderHistory[order_type],$D$13,0)),MATCH(ROW(orderHistory[customer]),ROW(orderHistory[customer])),""),ROWS($A$15:A60)+$B$3)),INDEX(orderHistory[order_type],SMALL(IF(ISNUMBER(MATCH(orderHistory[order_type],$D$13,0)*MATCH(YEAR(orderHistory[invoice_date]),$D$15,0)),MATCH(ROW(orderHistory[customer]),ROW(orderHistory[customer])),""),ROWS($A$15:A60)+$B$3)))),IF($D$13="",IF($D$15="",INDEX(orderHistory[order_type],SMALL(IF(ISNUMBER(MATCH(orderHistory[status],$D$11,0)),MATCH(ROW(orderHistory[customer]),ROW(orderHistory[customer])),""),ROWS($A$15:A60)+$B$3)),INDEX(orderHistory[order_type],SMALL(IF(ISNUMBER(MATCH(orderHistory[status],$D$11,0)*MATCH(YEAR(orderHistory[invoice_date]),$D$15,0)),MATCH(ROW(orderHistory[customer]),ROW(orderHistory[customer])),""),ROWS($A$15:A60)+$B$3))),IF($D$15="",INDEX(orderHistory[order_type],SMALL(IF(ISNUMBER(MATCH(orderHistory[status],$D$11,0)*MATCH(orderHistory[order_type],$D$13,0)),MATCH(ROW(orderHistory[customer]),ROW(orderHistory[customer])),""),ROWS($A$15:A60)+$B$3)),INDEX(orderHistory[order_type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order_type],SMALL(IF(ISNUMBER(MATCH(orderHistory[customer],$D$9,0)),MATCH(ROW(orderHistory[customer]),ROW(orderHistory[customer])),""),ROWS($A$15:A60)+$B$3)),INDEX(orderHistory[order_type],SMALL(IF(ISNUMBER(MATCH(orderHistory[customer],$D$9,0)*MATCH(YEAR(orderHistory[invoice_date]),$D$15,0)),MATCH(ROW(orderHistory[customer]),ROW(orderHistory[customer])),""),ROWS($A$15:A60)+$B$3))),IF($D$15="",INDEX(orderHistory[order_type],SMALL(IF(ISNUMBER(MATCH(orderHistory[customer],$D$9,0)*MATCH(orderHistory[order_type],$D$13,0)),MATCH(ROW(orderHistory[customer]),ROW(orderHistory[customer])),""),ROWS($A$15:A60)+$B$3)),INDEX(orderHistory[order_type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order_type],SMALL(IF(ISNUMBER(MATCH(orderHistory[customer],$D$9,0)*MATCH(orderHistory[status],$D$11,0)),MATCH(ROW(orderHistory[customer]),ROW(orderHistory[customer])),""),ROWS($A$15:A60)+$B$3)),INDEX(orderHistory[order_type],SMALL(IF(ISNUMBER(MATCH(orderHistory[customer],$D$9,0)*MATCH(orderHistory[status],$D$11,0)*MATCH(YEAR(orderHistory[invoice_date]),$D$15,0)),MATCH(ROW(orderHistory[customer]),ROW(orderHistory[customer])),""),ROWS($A$15:A60)+$B$3))),IF($D$15="",INDEX(orderHistory[order_type],SMALL(IF(ISNUMBER(MATCH(orderHistory[customer],$D$9,0)*MATCH(orderHistory[status],$D$11,0)*MATCH(orderHistory[order_type],$D$13,0)),MATCH(ROW(orderHistory[customer]),ROW(orderHistory[customer])),""),ROWS($A$15:A60)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SALE</v>
      </c>
      <c r="O55" s="384">
        <f t="array" ref="O55">IFERROR(IF($D$9="",IF($D$11="",IF($D$13="",IF($D$15="",INDEX(orderHistory[order_date],SMALL(MATCH(ROW(orderHistory[customer]),ROW(orderHistory[customer])),ROWS($A$15:A60)+$B$3)),INDEX(orderHistory[order_date],SMALL(IF(ISNUMBER(MATCH(YEAR(orderHistory[invoice_date]),$D$15,0)),MATCH(ROW(orderHistory[customer]),ROW(orderHistory[customer])),""),ROWS($A$15:A60)+$B$3))),IF($D$15="",INDEX(orderHistory[order_date],SMALL(IF(ISNUMBER(MATCH(orderHistory[order_type],$D$13,0)),MATCH(ROW(orderHistory[customer]),ROW(orderHistory[customer])),""),ROWS($A$15:A60)+$B$3)),INDEX(orderHistory[order_date],SMALL(IF(ISNUMBER(MATCH(orderHistory[order_type],$D$13,0)*MATCH(YEAR(orderHistory[invoice_date]),$D$15,0)),MATCH(ROW(orderHistory[customer]),ROW(orderHistory[customer])),""),ROWS($A$15:A60)+$B$3)))),IF($D$13="",IF($D$15="",INDEX(orderHistory[order_date],SMALL(IF(ISNUMBER(MATCH(orderHistory[status],$D$11,0)),MATCH(ROW(orderHistory[customer]),ROW(orderHistory[customer])),""),ROWS($A$15:A60)+$B$3)),INDEX(orderHistory[order_date],SMALL(IF(ISNUMBER(MATCH(orderHistory[status],$D$11,0)*MATCH(YEAR(orderHistory[invoice_date]),$D$15,0)),MATCH(ROW(orderHistory[customer]),ROW(orderHistory[customer])),""),ROWS($A$15:A60)+$B$3))),IF($D$15="",INDEX(orderHistory[order_date],SMALL(IF(ISNUMBER(MATCH(orderHistory[status],$D$11,0)*MATCH(orderHistory[order_type],$D$13,0)),MATCH(ROW(orderHistory[customer]),ROW(orderHistory[customer])),""),ROWS($A$15:A60)+$B$3)),INDEX(orderHistory[order_date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order_date],SMALL(IF(ISNUMBER(MATCH(orderHistory[customer],$D$9,0)),MATCH(ROW(orderHistory[customer]),ROW(orderHistory[customer])),""),ROWS($A$15:A60)+$B$3)),INDEX(orderHistory[order_date],SMALL(IF(ISNUMBER(MATCH(orderHistory[customer],$D$9,0)*MATCH(YEAR(orderHistory[invoice_date]),$D$15,0)),MATCH(ROW(orderHistory[customer]),ROW(orderHistory[customer])),""),ROWS($A$15:A60)+$B$3))),IF($D$15="",INDEX(orderHistory[order_date],SMALL(IF(ISNUMBER(MATCH(orderHistory[customer],$D$9,0)*MATCH(orderHistory[order_type],$D$13,0)),MATCH(ROW(orderHistory[customer]),ROW(orderHistory[customer])),""),ROWS($A$15:A60)+$B$3)),INDEX(orderHistory[order_date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order_date],SMALL(IF(ISNUMBER(MATCH(orderHistory[customer],$D$9,0)*MATCH(orderHistory[status],$D$11,0)),MATCH(ROW(orderHistory[customer]),ROW(orderHistory[customer])),""),ROWS($A$15:A60)+$B$3)),INDEX(orderHistory[order_date],SMALL(IF(ISNUMBER(MATCH(orderHistory[customer],$D$9,0)*MATCH(orderHistory[status],$D$11,0)*MATCH(YEAR(orderHistory[invoice_date]),$D$15,0)),MATCH(ROW(orderHistory[customer]),ROW(orderHistory[customer])),""),ROWS($A$15:A60)+$B$3))),IF($D$15="",INDEX(orderHistory[order_date],SMALL(IF(ISNUMBER(MATCH(orderHistory[customer],$D$9,0)*MATCH(orderHistory[status],$D$11,0)*MATCH(orderHistory[order_type],$D$13,0)),MATCH(ROW(orderHistory[customer]),ROW(orderHistory[customer])),""),ROWS($A$15:A60)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45299</v>
      </c>
      <c r="P55" s="385" t="str">
        <f t="array" ref="P55">IFERROR(IF($D$9="",IF($D$11="",IF($D$13="",IF($D$15="",INDEX(orderHistory[invoice_no],SMALL(MATCH(ROW(orderHistory[customer]),ROW(orderHistory[customer])),ROWS($A$15:A60)+$B$3)),INDEX(orderHistory[invoice_no],SMALL(IF(ISNUMBER(MATCH(YEAR(orderHistory[invoice_date]),$D$15,0)),MATCH(ROW(orderHistory[customer]),ROW(orderHistory[customer])),""),ROWS($A$15:A60)+$B$3))),IF($D$15="",INDEX(orderHistory[invoice_no],SMALL(IF(ISNUMBER(MATCH(orderHistory[order_type],$D$13,0)),MATCH(ROW(orderHistory[customer]),ROW(orderHistory[customer])),""),ROWS($A$15:A60)+$B$3)),INDEX(orderHistory[invoice_no],SMALL(IF(ISNUMBER(MATCH(orderHistory[order_type],$D$13,0)*MATCH(YEAR(orderHistory[invoice_date]),$D$15,0)),MATCH(ROW(orderHistory[customer]),ROW(orderHistory[customer])),""),ROWS($A$15:A60)+$B$3)))),IF($D$13="",IF($D$15="",INDEX(orderHistory[invoice_no],SMALL(IF(ISNUMBER(MATCH(orderHistory[status],$D$11,0)),MATCH(ROW(orderHistory[customer]),ROW(orderHistory[customer])),""),ROWS($A$15:A60)+$B$3)),INDEX(orderHistory[invoice_no],SMALL(IF(ISNUMBER(MATCH(orderHistory[status],$D$11,0)*MATCH(YEAR(orderHistory[invoice_date]),$D$15,0)),MATCH(ROW(orderHistory[customer]),ROW(orderHistory[customer])),""),ROWS($A$15:A60)+$B$3))),IF($D$15="",INDEX(orderHistory[invoice_no],SMALL(IF(ISNUMBER(MATCH(orderHistory[status],$D$11,0)*MATCH(orderHistory[order_type],$D$13,0)),MATCH(ROW(orderHistory[customer]),ROW(orderHistory[customer])),""),ROWS($A$15:A60)+$B$3)),INDEX(orderHistory[invoice_no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invoice_no],SMALL(IF(ISNUMBER(MATCH(orderHistory[customer],$D$9,0)),MATCH(ROW(orderHistory[customer]),ROW(orderHistory[customer])),""),ROWS($A$15:A60)+$B$3)),INDEX(orderHistory[invoice_no],SMALL(IF(ISNUMBER(MATCH(orderHistory[customer],$D$9,0)*MATCH(YEAR(orderHistory[invoice_date]),$D$15,0)),MATCH(ROW(orderHistory[customer]),ROW(orderHistory[customer])),""),ROWS($A$15:A60)+$B$3))),IF($D$15="",INDEX(orderHistory[invoice_no],SMALL(IF(ISNUMBER(MATCH(orderHistory[customer],$D$9,0)*MATCH(orderHistory[order_type],$D$13,0)),MATCH(ROW(orderHistory[customer]),ROW(orderHistory[customer])),""),ROWS($A$15:A60)+$B$3)),INDEX(orderHistory[invoice_no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invoice_no],SMALL(IF(ISNUMBER(MATCH(orderHistory[customer],$D$9,0)*MATCH(orderHistory[status],$D$11,0)),MATCH(ROW(orderHistory[customer]),ROW(orderHistory[customer])),""),ROWS($A$15:A60)+$B$3)),INDEX(orderHistory[invoice_no],SMALL(IF(ISNUMBER(MATCH(orderHistory[customer],$D$9,0)*MATCH(orderHistory[status],$D$11,0)*MATCH(YEAR(orderHistory[invoice_date]),$D$15,0)),MATCH(ROW(orderHistory[customer]),ROW(orderHistory[customer])),""),ROWS($A$15:A60)+$B$3))),IF($D$15="",INDEX(orderHistory[invoice_no],SMALL(IF(ISNUMBER(MATCH(orderHistory[customer],$D$9,0)*MATCH(orderHistory[status],$D$11,0)*MATCH(orderHistory[order_type],$D$13,0)),MATCH(ROW(orderHistory[customer]),ROW(orderHistory[customer])),""),ROWS($A$15:A60)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3</v>
      </c>
      <c r="Q55" s="386">
        <f t="array" ref="Q55">IFERROR(IF($D$9="",IF($D$11="",IF($D$13="",IF($D$15="",INDEX(orderHistory[invoice_date],SMALL(MATCH(ROW(orderHistory[customer]),ROW(orderHistory[customer])),ROWS($A$15:A60)+$B$3)),INDEX(orderHistory[invoice_date],SMALL(IF(ISNUMBER(MATCH(YEAR(orderHistory[invoice_date]),$D$15,0)),MATCH(ROW(orderHistory[customer]),ROW(orderHistory[customer])),""),ROWS($A$15:A60)+$B$3))),IF($D$15="",INDEX(orderHistory[invoice_date],SMALL(IF(ISNUMBER(MATCH(orderHistory[order_type],$D$13,0)),MATCH(ROW(orderHistory[customer]),ROW(orderHistory[customer])),""),ROWS($A$15:A60)+$B$3)),INDEX(orderHistory[invoice_date],SMALL(IF(ISNUMBER(MATCH(orderHistory[order_type],$D$13,0)*MATCH(YEAR(orderHistory[invoice_date]),$D$15,0)),MATCH(ROW(orderHistory[customer]),ROW(orderHistory[customer])),""),ROWS($A$15:A60)+$B$3)))),IF($D$13="",IF($D$15="",INDEX(orderHistory[invoice_date],SMALL(IF(ISNUMBER(MATCH(orderHistory[status],$D$11,0)),MATCH(ROW(orderHistory[customer]),ROW(orderHistory[customer])),""),ROWS($A$15:A60)+$B$3)),INDEX(orderHistory[invoice_date],SMALL(IF(ISNUMBER(MATCH(orderHistory[status],$D$11,0)*MATCH(YEAR(orderHistory[invoice_date]),$D$15,0)),MATCH(ROW(orderHistory[customer]),ROW(orderHistory[customer])),""),ROWS($A$15:A60)+$B$3))),IF($D$15="",INDEX(orderHistory[invoice_date],SMALL(IF(ISNUMBER(MATCH(orderHistory[status],$D$11,0)*MATCH(orderHistory[order_type],$D$13,0)),MATCH(ROW(orderHistory[customer]),ROW(orderHistory[customer])),""),ROWS($A$15:A60)+$B$3)),INDEX(orderHistory[invoice_date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invoice_date],SMALL(IF(ISNUMBER(MATCH(orderHistory[customer],$D$9,0)),MATCH(ROW(orderHistory[customer]),ROW(orderHistory[customer])),""),ROWS($A$15:A60)+$B$3)),INDEX(orderHistory[invoice_date],SMALL(IF(ISNUMBER(MATCH(orderHistory[customer],$D$9,0)*MATCH(YEAR(orderHistory[invoice_date]),$D$15,0)),MATCH(ROW(orderHistory[customer]),ROW(orderHistory[customer])),""),ROWS($A$15:A60)+$B$3))),IF($D$15="",INDEX(orderHistory[invoice_date],SMALL(IF(ISNUMBER(MATCH(orderHistory[customer],$D$9,0)*MATCH(orderHistory[order_type],$D$13,0)),MATCH(ROW(orderHistory[customer]),ROW(orderHistory[customer])),""),ROWS($A$15:A60)+$B$3)),INDEX(orderHistory[invoice_date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invoice_date],SMALL(IF(ISNUMBER(MATCH(orderHistory[customer],$D$9,0)*MATCH(orderHistory[status],$D$11,0)),MATCH(ROW(orderHistory[customer]),ROW(orderHistory[customer])),""),ROWS($A$15:A60)+$B$3)),INDEX(orderHistory[invoice_date],SMALL(IF(ISNUMBER(MATCH(orderHistory[customer],$D$9,0)*MATCH(orderHistory[status],$D$11,0)*MATCH(YEAR(orderHistory[invoice_date]),$D$15,0)),MATCH(ROW(orderHistory[customer]),ROW(orderHistory[customer])),""),ROWS($A$15:A60)+$B$3))),IF($D$15="",INDEX(orderHistory[invoice_date],SMALL(IF(ISNUMBER(MATCH(orderHistory[customer],$D$9,0)*MATCH(orderHistory[status],$D$11,0)*MATCH(orderHistory[order_type],$D$13,0)),MATCH(ROW(orderHistory[customer]),ROW(orderHistory[customer])),""),ROWS($A$15:A60)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45299</v>
      </c>
      <c r="R55" s="387">
        <f t="array" ref="R55">IFERROR(IF($D$9="",IF($D$11="",IF($D$13="",IF($D$15="",INDEX(orderHistory[inv_amount],SMALL(MATCH(ROW(orderHistory[customer]),ROW(orderHistory[customer])),ROWS($A$15:A60)+$B$3)),INDEX(orderHistory[inv_amount],SMALL(IF(ISNUMBER(MATCH(YEAR(orderHistory[invoice_date]),$D$15,0)),MATCH(ROW(orderHistory[customer]),ROW(orderHistory[customer])),""),ROWS($A$15:A60)+$B$3))),IF($D$15="",INDEX(orderHistory[inv_amount],SMALL(IF(ISNUMBER(MATCH(orderHistory[order_type],$D$13,0)),MATCH(ROW(orderHistory[customer]),ROW(orderHistory[customer])),""),ROWS($A$15:A60)+$B$3)),INDEX(orderHistory[inv_amount],SMALL(IF(ISNUMBER(MATCH(orderHistory[order_type],$D$13,0)*MATCH(YEAR(orderHistory[invoice_date]),$D$15,0)),MATCH(ROW(orderHistory[customer]),ROW(orderHistory[customer])),""),ROWS($A$15:A60)+$B$3)))),IF($D$13="",IF($D$15="",INDEX(orderHistory[inv_amount],SMALL(IF(ISNUMBER(MATCH(orderHistory[status],$D$11,0)),MATCH(ROW(orderHistory[customer]),ROW(orderHistory[customer])),""),ROWS($A$15:A60)+$B$3)),INDEX(orderHistory[inv_amount],SMALL(IF(ISNUMBER(MATCH(orderHistory[status],$D$11,0)*MATCH(YEAR(orderHistory[invoice_date]),$D$15,0)),MATCH(ROW(orderHistory[customer]),ROW(orderHistory[customer])),""),ROWS($A$15:A60)+$B$3))),IF($D$15="",INDEX(orderHistory[inv_amount],SMALL(IF(ISNUMBER(MATCH(orderHistory[status],$D$11,0)*MATCH(orderHistory[order_type],$D$13,0)),MATCH(ROW(orderHistory[customer]),ROW(orderHistory[customer])),""),ROWS($A$15:A60)+$B$3)),INDEX(orderHistory[inv_amount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inv_amount],SMALL(IF(ISNUMBER(MATCH(orderHistory[customer],$D$9,0)),MATCH(ROW(orderHistory[customer]),ROW(orderHistory[customer])),""),ROWS($A$15:A60)+$B$3)),INDEX(orderHistory[inv_amount],SMALL(IF(ISNUMBER(MATCH(orderHistory[customer],$D$9,0)*MATCH(YEAR(orderHistory[invoice_date]),$D$15,0)),MATCH(ROW(orderHistory[customer]),ROW(orderHistory[customer])),""),ROWS($A$15:A60)+$B$3))),IF($D$15="",INDEX(orderHistory[inv_amount],SMALL(IF(ISNUMBER(MATCH(orderHistory[customer],$D$9,0)*MATCH(orderHistory[order_type],$D$13,0)),MATCH(ROW(orderHistory[customer]),ROW(orderHistory[customer])),""),ROWS($A$15:A60)+$B$3)),INDEX(orderHistory[inv_amount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inv_amount],SMALL(IF(ISNUMBER(MATCH(orderHistory[customer],$D$9,0)*MATCH(orderHistory[status],$D$11,0)),MATCH(ROW(orderHistory[customer]),ROW(orderHistory[customer])),""),ROWS($A$15:A60)+$B$3)),INDEX(orderHistory[inv_amount],SMALL(IF(ISNUMBER(MATCH(orderHistory[customer],$D$9,0)*MATCH(orderHistory[status],$D$11,0)*MATCH(YEAR(orderHistory[inv_amount]),$D$15,0)),MATCH(ROW(orderHistory[customer]),ROW(orderHistory[customer])),""),ROWS($A$15:A60)+$B$3))),IF($D$15="",INDEX(orderHistory[inv_amount],SMALL(IF(ISNUMBER(MATCH(orderHistory[customer],$D$9,0)*MATCH(orderHistory[status],$D$11,0)*MATCH(orderHistory[order_type],$D$13,0)),MATCH(ROW(orderHistory[customer]),ROW(orderHistory[customer])),""),ROWS($A$15:A60)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83692.800000000003</v>
      </c>
      <c r="S55" s="465" t="str">
        <f t="array" ref="S55">IFERROR(IF($D$9="",IF($D$11="",IF($D$13="",IF($D$15="",INDEX(orderHistory[lock_goods],SMALL(MATCH(ROW(orderHistory[customer]),ROW(orderHistory[customer])),ROWS($A$15:A60)+$B$3)),INDEX(orderHistory[lock_goods],SMALL(IF(ISNUMBER(MATCH(YEAR(orderHistory[invoice_date]),$D$15,0)),MATCH(ROW(orderHistory[customer]),ROW(orderHistory[customer])),""),ROWS($A$15:A60)+$B$3))),IF($D$15="",INDEX(orderHistory[lock_goods],SMALL(IF(ISNUMBER(MATCH(orderHistory[order_type],$D$13,0)),MATCH(ROW(orderHistory[customer]),ROW(orderHistory[customer])),""),ROWS($A$15:A60)+$B$3)),INDEX(orderHistory[lock_goods],SMALL(IF(ISNUMBER(MATCH(orderHistory[order_type],$D$13,0)*MATCH(YEAR(orderHistory[invoice_date]),$D$15,0)),MATCH(ROW(orderHistory[customer]),ROW(orderHistory[customer])),""),ROWS($A$15:A60)+$B$3)))),IF($D$13="",IF($D$15="",INDEX(orderHistory[lock_goods],SMALL(IF(ISNUMBER(MATCH(orderHistory[status],$D$11,0)),MATCH(ROW(orderHistory[customer]),ROW(orderHistory[customer])),""),ROWS($A$15:A60)+$B$3)),INDEX(orderHistory[lock_goods],SMALL(IF(ISNUMBER(MATCH(orderHistory[status],$D$11,0)*MATCH(YEAR(orderHistory[invoice_date]),$D$15,0)),MATCH(ROW(orderHistory[customer]),ROW(orderHistory[customer])),""),ROWS($A$15:A60)+$B$3))),IF($D$15="",INDEX(orderHistory[lock_goods],SMALL(IF(ISNUMBER(MATCH(orderHistory[status],$D$11,0)*MATCH(orderHistory[order_type],$D$13,0)),MATCH(ROW(orderHistory[customer]),ROW(orderHistory[customer])),""),ROWS($A$15:A60)+$B$3)),INDEX(orderHistory[lock_goods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lock_goods],SMALL(IF(ISNUMBER(MATCH(orderHistory[customer],$D$9,0)),MATCH(ROW(orderHistory[customer]),ROW(orderHistory[customer])),""),ROWS($A$15:A60)+$B$3)),INDEX(orderHistory[lock_goods],SMALL(IF(ISNUMBER(MATCH(orderHistory[customer],$D$9,0)*MATCH(YEAR(orderHistory[invoice_date]),$D$15,0)),MATCH(ROW(orderHistory[customer]),ROW(orderHistory[customer])),""),ROWS($A$15:A60)+$B$3))),IF($D$15="",INDEX(orderHistory[lock_goods],SMALL(IF(ISNUMBER(MATCH(orderHistory[customer],$D$9,0)*MATCH(orderHistory[order_type],$D$13,0)),MATCH(ROW(orderHistory[customer]),ROW(orderHistory[customer])),""),ROWS($A$15:A60)+$B$3)),INDEX(orderHistory[lock_goods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lock_goods],SMALL(IF(ISNUMBER(MATCH(orderHistory[customer],$D$9,0)*MATCH(orderHistory[status],$D$11,0)),MATCH(ROW(orderHistory[customer]),ROW(orderHistory[customer])),""),ROWS($A$15:A60)+$B$3)),INDEX(orderHistory[lock_goods],SMALL(IF(ISNUMBER(MATCH(orderHistory[customer],$D$9,0)*MATCH(orderHistory[status],$D$11,0)*MATCH(YEAR(orderHistory[payed]),$D$15,0)),MATCH(ROW(orderHistory[customer]),ROW(orderHistory[customer])),""),ROWS($A$15:A60)+$B$3))),IF($D$15="",INDEX(orderHistory[lock_goods],SMALL(IF(ISNUMBER(MATCH(orderHistory[customer],$D$9,0)*MATCH(orderHistory[status],$D$11,0)*MATCH(orderHistory[order_type],$D$13,0)),MATCH(ROW(orderHistory[customer]),ROW(orderHistory[customer])),""),ROWS($A$15:A60)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GOODS SENT</v>
      </c>
      <c r="T55" s="388" t="b">
        <f t="array" ref="T55">IFERROR(IF($D$9="",IF($D$11="",IF($D$13="",IF($D$15="",INDEX(orderHistory[payed],SMALL(MATCH(ROW(orderHistory[customer]),ROW(orderHistory[customer])),ROWS($A$15:A60)+$B$3)),INDEX(orderHistory[payed],SMALL(IF(ISNUMBER(MATCH(YEAR(orderHistory[invoice_date]),$D$15,0)),MATCH(ROW(orderHistory[customer]),ROW(orderHistory[customer])),""),ROWS($A$15:A60)+$B$3))),IF($D$15="",INDEX(orderHistory[payed],SMALL(IF(ISNUMBER(MATCH(orderHistory[order_type],$D$13,0)),MATCH(ROW(orderHistory[customer]),ROW(orderHistory[customer])),""),ROWS($A$15:A60)+$B$3)),INDEX(orderHistory[payed],SMALL(IF(ISNUMBER(MATCH(orderHistory[order_type],$D$13,0)*MATCH(YEAR(orderHistory[invoice_date]),$D$15,0)),MATCH(ROW(orderHistory[customer]),ROW(orderHistory[customer])),""),ROWS($A$15:A60)+$B$3)))),IF($D$13="",IF($D$15="",INDEX(orderHistory[payed],SMALL(IF(ISNUMBER(MATCH(orderHistory[status],$D$11,0)),MATCH(ROW(orderHistory[customer]),ROW(orderHistory[customer])),""),ROWS($A$15:A60)+$B$3)),INDEX(orderHistory[payed],SMALL(IF(ISNUMBER(MATCH(orderHistory[status],$D$11,0)*MATCH(YEAR(orderHistory[invoice_date]),$D$15,0)),MATCH(ROW(orderHistory[customer]),ROW(orderHistory[customer])),""),ROWS($A$15:A60)+$B$3))),IF($D$15="",INDEX(orderHistory[payed],SMALL(IF(ISNUMBER(MATCH(orderHistory[status],$D$11,0)*MATCH(orderHistory[order_type],$D$13,0)),MATCH(ROW(orderHistory[customer]),ROW(orderHistory[customer])),""),ROWS($A$15:A60)+$B$3)),INDEX(orderHistory[payed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payed],SMALL(IF(ISNUMBER(MATCH(orderHistory[customer],$D$9,0)),MATCH(ROW(orderHistory[customer]),ROW(orderHistory[customer])),""),ROWS($A$15:A60)+$B$3)),INDEX(orderHistory[payed],SMALL(IF(ISNUMBER(MATCH(orderHistory[customer],$D$9,0)*MATCH(YEAR(orderHistory[invoice_date]),$D$15,0)),MATCH(ROW(orderHistory[customer]),ROW(orderHistory[customer])),""),ROWS($A$15:A60)+$B$3))),IF($D$15="",INDEX(orderHistory[payed],SMALL(IF(ISNUMBER(MATCH(orderHistory[customer],$D$9,0)*MATCH(orderHistory[order_type],$D$13,0)),MATCH(ROW(orderHistory[customer]),ROW(orderHistory[customer])),""),ROWS($A$15:A60)+$B$3)),INDEX(orderHistory[payed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payed],SMALL(IF(ISNUMBER(MATCH(orderHistory[customer],$D$9,0)*MATCH(orderHistory[status],$D$11,0)),MATCH(ROW(orderHistory[customer]),ROW(orderHistory[customer])),""),ROWS($A$15:A60)+$B$3)),INDEX(orderHistory[payed],SMALL(IF(ISNUMBER(MATCH(orderHistory[customer],$D$9,0)*MATCH(orderHistory[status],$D$11,0)*MATCH(YEAR(orderHistory[payed]),$D$15,0)),MATCH(ROW(orderHistory[customer]),ROW(orderHistory[customer])),""),ROWS($A$15:A60)+$B$3))),IF($D$15="",INDEX(orderHistory[payed],SMALL(IF(ISNUMBER(MATCH(orderHistory[customer],$D$9,0)*MATCH(orderHistory[status],$D$11,0)*MATCH(orderHistory[order_type],$D$13,0)),MATCH(ROW(orderHistory[customer]),ROW(orderHistory[customer])),""),ROWS($A$15:A60)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1</v>
      </c>
      <c r="U55" s="383" t="str">
        <f t="array" ref="U55">IFERROR(IF($D$9="",IF($D$11="",IF($D$13="",IF($D$15="",INDEX(orderHistory[shipping_method],SMALL(MATCH(ROW(orderHistory[customer]),ROW(orderHistory[customer])),ROWS($A$15:A60)+$B$3)),INDEX(orderHistory[shipping_method],SMALL(IF(ISNUMBER(MATCH(YEAR(orderHistory[invoice_date]),$D$15,0)),MATCH(ROW(orderHistory[customer]),ROW(orderHistory[customer])),""),ROWS($A$15:A60)+$B$3))),IF($D$15="",INDEX(orderHistory[shipping_method],SMALL(IF(ISNUMBER(MATCH(orderHistory[order_type],$D$13,0)),MATCH(ROW(orderHistory[customer]),ROW(orderHistory[customer])),""),ROWS($A$15:A60)+$B$3)),INDEX(orderHistory[shipping_method],SMALL(IF(ISNUMBER(MATCH(orderHistory[order_type],$D$13,0)*MATCH(YEAR(orderHistory[invoice_date]),$D$15,0)),MATCH(ROW(orderHistory[customer]),ROW(orderHistory[customer])),""),ROWS($A$15:A60)+$B$3)))),IF($D$13="",IF($D$15="",INDEX(orderHistory[shipping_method],SMALL(IF(ISNUMBER(MATCH(orderHistory[status],$D$11,0)),MATCH(ROW(orderHistory[customer]),ROW(orderHistory[customer])),""),ROWS($A$15:A60)+$B$3)),INDEX(orderHistory[shipping_method],SMALL(IF(ISNUMBER(MATCH(orderHistory[status],$D$11,0)*MATCH(YEAR(orderHistory[invoice_date]),$D$15,0)),MATCH(ROW(orderHistory[customer]),ROW(orderHistory[customer])),""),ROWS($A$15:A60)+$B$3))),IF($D$15="",INDEX(orderHistory[shipping_method],SMALL(IF(ISNUMBER(MATCH(orderHistory[status],$D$11,0)*MATCH(orderHistory[order_type],$D$13,0)),MATCH(ROW(orderHistory[customer]),ROW(orderHistory[customer])),""),ROWS($A$15:A60)+$B$3)),INDEX(orderHistory[shipping_method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shipping_method],SMALL(IF(ISNUMBER(MATCH(orderHistory[customer],$D$9,0)),MATCH(ROW(orderHistory[customer]),ROW(orderHistory[customer])),""),ROWS($A$15:A60)+$B$3)),INDEX(orderHistory[shipping_method],SMALL(IF(ISNUMBER(MATCH(orderHistory[customer],$D$9,0)*MATCH(YEAR(orderHistory[invoice_date]),$D$15,0)),MATCH(ROW(orderHistory[customer]),ROW(orderHistory[customer])),""),ROWS($A$15:A60)+$B$3))),IF($D$15="",INDEX(orderHistory[shipping_method],SMALL(IF(ISNUMBER(MATCH(orderHistory[customer],$D$9,0)*MATCH(orderHistory[order_type],$D$13,0)),MATCH(ROW(orderHistory[customer]),ROW(orderHistory[customer])),""),ROWS($A$15:A60)+$B$3)),INDEX(orderHistory[shipping_method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shipping_method],SMALL(IF(ISNUMBER(MATCH(orderHistory[customer],$D$9,0)*MATCH(orderHistory[status],$D$11,0)),MATCH(ROW(orderHistory[customer]),ROW(orderHistory[customer])),""),ROWS($A$15:A60)+$B$3)),INDEX(orderHistory[shipping_method],SMALL(IF(ISNUMBER(MATCH(orderHistory[customer],$D$9,0)*MATCH(orderHistory[status],$D$11,0)*MATCH(YEAR(orderHistory[shipping_method]),$D$15,0)),MATCH(ROW(orderHistory[customer]),ROW(orderHistory[customer])),""),ROWS($A$15:A60)+$B$3))),IF($D$15="",INDEX(orderHistory[shipping_method],SMALL(IF(ISNUMBER(MATCH(orderHistory[customer],$D$9,0)*MATCH(orderHistory[status],$D$11,0)*MATCH(orderHistory[order_type],$D$13,0)),MATCH(ROW(orderHistory[customer]),ROW(orderHistory[customer])),""),ROWS($A$15:A60)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BY ROAD</v>
      </c>
      <c r="V55" s="388" t="str">
        <f t="array" ref="V55">IFERROR(IF($D$9="",IF($D$11="",IF($D$13="",IF($D$15="",INDEX(orderHistory[status],SMALL(MATCH(ROW(orderHistory[customer]),ROW(orderHistory[customer])),ROWS($A$15:A60)+$B$3)),INDEX(orderHistory[status],SMALL(IF(ISNUMBER(MATCH(YEAR(orderHistory[invoice_date]),$D$15,0)),MATCH(ROW(orderHistory[customer]),ROW(orderHistory[customer])),""),ROWS($A$15:A60)+$B$3))),IF($D$15="",INDEX(orderHistory[status],SMALL(IF(ISNUMBER(MATCH(orderHistory[order_type],$D$13,0)),MATCH(ROW(orderHistory[customer]),ROW(orderHistory[customer])),""),ROWS($A$15:A60)+$B$3)),INDEX(orderHistory[status],SMALL(IF(ISNUMBER(MATCH(orderHistory[order_type],$D$13,0)*MATCH(YEAR(orderHistory[invoice_date]),$D$15,0)),MATCH(ROW(orderHistory[customer]),ROW(orderHistory[customer])),""),ROWS($A$15:A60)+$B$3)))),IF($D$13="",IF($D$15="",INDEX(orderHistory[status],SMALL(IF(ISNUMBER(MATCH(orderHistory[status],$D$11,0)),MATCH(ROW(orderHistory[customer]),ROW(orderHistory[customer])),""),ROWS($A$15:A60)+$B$3)),INDEX(orderHistory[status],SMALL(IF(ISNUMBER(MATCH(orderHistory[status],$D$11,0)*MATCH(YEAR(orderHistory[invoice_date]),$D$15,0)),MATCH(ROW(orderHistory[customer]),ROW(orderHistory[customer])),""),ROWS($A$15:A60)+$B$3))),IF($D$15="",INDEX(orderHistory[status],SMALL(IF(ISNUMBER(MATCH(orderHistory[status],$D$11,0)*MATCH(orderHistory[order_type],$D$13,0)),MATCH(ROW(orderHistory[customer]),ROW(orderHistory[customer])),""),ROWS($A$15:A60)+$B$3)),INDEX(orderHistory[status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status],SMALL(IF(ISNUMBER(MATCH(orderHistory[customer],$D$9,0)),MATCH(ROW(orderHistory[customer]),ROW(orderHistory[customer])),""),ROWS($A$15:A60)+$B$3)),INDEX(orderHistory[status],SMALL(IF(ISNUMBER(MATCH(orderHistory[customer],$D$9,0)*MATCH(YEAR(orderHistory[invoice_date]),$D$15,0)),MATCH(ROW(orderHistory[customer]),ROW(orderHistory[customer])),""),ROWS($A$15:A60)+$B$3))),IF($D$15="",INDEX(orderHistory[status],SMALL(IF(ISNUMBER(MATCH(orderHistory[customer],$D$9,0)*MATCH(orderHistory[order_type],$D$13,0)),MATCH(ROW(orderHistory[customer]),ROW(orderHistory[customer])),""),ROWS($A$15:A60)+$B$3)),INDEX(orderHistory[status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status],SMALL(IF(ISNUMBER(MATCH(orderHistory[customer],$D$9,0)*MATCH(orderHistory[status],$D$11,0)),MATCH(ROW(orderHistory[customer]),ROW(orderHistory[customer])),""),ROWS($A$15:A60)+$B$3)),INDEX(orderHistory[status],SMALL(IF(ISNUMBER(MATCH(orderHistory[customer],$D$9,0)*MATCH(orderHistory[status],$D$11,0)*MATCH(YEAR(orderHistory[status]),$D$15,0)),MATCH(ROW(orderHistory[customer]),ROW(orderHistory[customer])),""),ROWS($A$15:A60)+$B$3))),IF($D$15="",INDEX(orderHistory[status],SMALL(IF(ISNUMBER(MATCH(orderHistory[customer],$D$9,0)*MATCH(orderHistory[status],$D$11,0)*MATCH(orderHistory[order_type],$D$13,0)),MATCH(ROW(orderHistory[customer]),ROW(orderHistory[customer])),""),ROWS($A$15:A60)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SHIPPED</v>
      </c>
      <c r="W55" s="547" t="str">
        <f t="array" ref="W55">IFERROR(IF($D$9="",IF($D$11="",IF($D$13="",IF($D$15="",INDEX(orderHistory[custom_docs],SMALL(MATCH(ROW(orderHistory[customer]),ROW(orderHistory[customer])),ROWS($A$15:A60)+$B$3)),INDEX(orderHistory[custom_docs],SMALL(IF(ISNUMBER(MATCH(YEAR(orderHistory[invoice_date]),$D$15,0)),MATCH(ROW(orderHistory[customer]),ROW(orderHistory[customer])),""),ROWS($A$15:A60)+$B$3))),IF($D$15="",INDEX(orderHistory[custom_docs],SMALL(IF(ISNUMBER(MATCH(orderHistory[order_type],$D$13,0)),MATCH(ROW(orderHistory[customer]),ROW(orderHistory[customer])),""),ROWS($A$15:A60)+$B$3)),INDEX(orderHistory[custom_docs],SMALL(IF(ISNUMBER(MATCH(orderHistory[order_type],$D$13,0)*MATCH(YEAR(orderHistory[invoice_date]),$D$15,0)),MATCH(ROW(orderHistory[customer]),ROW(orderHistory[customer])),""),ROWS($A$15:A60)+$B$3)))),IF($D$13="",IF($D$15="",INDEX(orderHistory[custom_docs],SMALL(IF(ISNUMBER(MATCH(orderHistory[status],$D$11,0)),MATCH(ROW(orderHistory[customer]),ROW(orderHistory[customer])),""),ROWS($A$15:A60)+$B$3)),INDEX(orderHistory[custom_docs],SMALL(IF(ISNUMBER(MATCH(orderHistory[status],$D$11,0)*MATCH(YEAR(orderHistory[invoice_date]),$D$15,0)),MATCH(ROW(orderHistory[customer]),ROW(orderHistory[customer])),""),ROWS($A$15:A60)+$B$3))),IF($D$15="",INDEX(orderHistory[custom_docs],SMALL(IF(ISNUMBER(MATCH(orderHistory[status],$D$11,0)*MATCH(orderHistory[order_type],$D$13,0)),MATCH(ROW(orderHistory[customer]),ROW(orderHistory[customer])),""),ROWS($A$15:A60)+$B$3)),INDEX(orderHistory[custom_docs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custom_docs],SMALL(IF(ISNUMBER(MATCH(orderHistory[customer],$D$9,0)),MATCH(ROW(orderHistory[customer]),ROW(orderHistory[customer])),""),ROWS($A$15:A60)+$B$3)),INDEX(orderHistory[custom_docs],SMALL(IF(ISNUMBER(MATCH(orderHistory[customer],$D$9,0)*MATCH(YEAR(orderHistory[invoice_date]),$D$15,0)),MATCH(ROW(orderHistory[customer]),ROW(orderHistory[customer])),""),ROWS($A$15:A60)+$B$3))),IF($D$15="",INDEX(orderHistory[custom_docs],SMALL(IF(ISNUMBER(MATCH(orderHistory[customer],$D$9,0)*MATCH(orderHistory[order_type],$D$13,0)),MATCH(ROW(orderHistory[customer]),ROW(orderHistory[customer])),""),ROWS($A$15:A60)+$B$3)),INDEX(orderHistory[custom_docs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custom_docs],SMALL(IF(ISNUMBER(MATCH(orderHistory[customer],$D$9,0)*MATCH(orderHistory[status],$D$11,0)),MATCH(ROW(orderHistory[customer]),ROW(orderHistory[customer])),""),ROWS($A$15:A60)+$B$3)),INDEX(orderHistory[custom_docs],SMALL(IF(ISNUMBER(MATCH(orderHistory[customer],$D$9,0)*MATCH(orderHistory[status],$D$11,0)*MATCH(YEAR(orderHistory[status]),$D$15,0)),MATCH(ROW(orderHistory[customer]),ROW(orderHistory[customer])),""),ROWS($A$15:A60)+$B$3))),IF($D$15="",INDEX(orderHistory[custom_docs],SMALL(IF(ISNUMBER(MATCH(orderHistory[customer],$D$9,0)*MATCH(orderHistory[status],$D$11,0)*MATCH(orderHistory[order_type],$D$13,0)),MATCH(ROW(orderHistory[customer]),ROW(orderHistory[customer])),""),ROWS($A$15:A60)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OK</v>
      </c>
      <c r="AQ55" s="280"/>
      <c r="AR55" s="280" t="s">
        <v>375</v>
      </c>
      <c r="BG55" s="215"/>
      <c r="BK55" s="296"/>
      <c r="BL55" s="297"/>
      <c r="BM55" s="298"/>
      <c r="BN55" s="297"/>
      <c r="BO55" s="298"/>
      <c r="BZ55" s="414"/>
      <c r="CA55" s="401" t="str">
        <f>IFERROR(IF(BZ55="","",INDEX(bhpc_data[description],MATCH(BZ55,bhpc_data[sku],0))),"")</f>
        <v/>
      </c>
      <c r="CB55" s="403"/>
      <c r="CC55" s="886"/>
      <c r="CD55" s="411"/>
      <c r="CE55" s="890"/>
      <c r="CF55" s="404"/>
      <c r="CG55" s="405" t="str">
        <f>IFERROR(ROUNDUP(CB55/INDEX(bhpc_data[units_per_carton],MATCH(BZ55,bhpc_data[sku],0)),0),"")</f>
        <v/>
      </c>
      <c r="CH55" s="406" t="str">
        <f>IFERROR(ROUNDUP(CD55/INDEX(bhpc_data[units_per_carton],MATCH(BZ55,bhpc_data[sku],0)),0),"")</f>
        <v/>
      </c>
      <c r="CI55" s="406" t="str">
        <f>IFERROR(ROUNDUP(CF55/INDEX(bhpc_data[units_per_carton],MATCH(BZ55,bhpc_data[sku])),0),"")</f>
        <v/>
      </c>
      <c r="CJ55" s="406" t="str">
        <f>IFERROR(((CB55+CD55+CF55)/INDEX(bhpc_data[units_per_carton],MATCH(BZ55,bhpc_data[sku],0)))*INDEX(bhpc_data[net_weight],MATCH(BZ55,bhpc_data[sku],0)),"")</f>
        <v/>
      </c>
      <c r="CK55" s="406" t="str">
        <f>IFERROR(((CB55+CD55+CF55)/INDEX(bhpc_data[units_per_carton],MATCH(BZ55,bhpc_data[sku],0)))*INDEX(bhpc_data[gross_weight],MATCH(BZ55,bhpc_data[sku],0)),"")</f>
        <v/>
      </c>
      <c r="CL55" s="602" t="str">
        <f>IFERROR((CB55+CD55+CF55)/INDEX(bhpc_data[units_per_carton],MATCH(BZ55,bhpc_data[sku],0))*INDEX(bhpc_data[length],MATCH(BZ55,bhpc_data[sku],0))*INDEX(bhpc_data[width],MATCH(BZ55,bhpc_data[sku],0))*INDEX(bhpc_data[height],MATCH(BZ55,bhpc_data[sku],0))/1000000000,"")</f>
        <v/>
      </c>
      <c r="CM55" s="407" t="str">
        <f>IFERROR(INDEX(bhpc_data[category],MATCH(BZ55,bhpc_data[sku],0)),"")</f>
        <v/>
      </c>
      <c r="CN55" s="407" t="str">
        <f>IFERROR(INDEX(bhpc_data[size],MATCH(BZ55,bhpc_data[sku],0)),"")</f>
        <v/>
      </c>
      <c r="CO55" s="408" t="str">
        <f>IFERROR(INDEX(bhpc_data[hs_code],MATCH(BZ55,bhpc_data[sku],0)),"")</f>
        <v/>
      </c>
      <c r="CP55" s="489" t="str">
        <f>IFERROR(INDEX(bhpc_data[sku_geko],MATCH(BZ55,bhpc_data[sku],0)),"")</f>
        <v/>
      </c>
      <c r="CQ55" s="404"/>
      <c r="CR55" s="517" t="str">
        <f>IFERROR(IF(BZ55="","",IF($BX$15="SALE",INDEX(inventory[COSTO UNITARIO],MATCH(BZ55,inventory[SKU],0)),IF($BX$15="SAMPLING",INDEX(inventory[COSTO UNITARIO],MATCH(BZ55,inventory[SKU],0)),""))),"")</f>
        <v/>
      </c>
      <c r="CS55" s="517" t="str">
        <f t="shared" si="7"/>
        <v/>
      </c>
      <c r="CT55" s="896" t="str">
        <f t="shared" si="8"/>
        <v/>
      </c>
      <c r="CU55" s="469" t="str">
        <f t="shared" si="0"/>
        <v/>
      </c>
      <c r="CV55" s="280"/>
      <c r="CW55" s="280"/>
      <c r="CX55" s="280"/>
      <c r="CY55" s="280"/>
      <c r="CZ55" s="280"/>
      <c r="DA55" s="280"/>
      <c r="DB55" s="280" t="str">
        <f>IFERROR(VLOOKUP(BZ55,bhpc_data[],22,FALSE),"")</f>
        <v/>
      </c>
      <c r="EE55" s="439" t="str" cm="1">
        <f t="array" ref="EE55">IFERROR(IF($EC$9="",IF($EC$11="",IF($EC$13="",INDEX(bhpc_data[sku],SMALL(MATCH(ROW(bhpc_data[sku]),ROW(bhpc_data[sku])),ROWS($A$15:A60)+$B$3)),INDEX(bhpc_data[sku],SMALL(IF(ISNUMBER(MATCH(bhpc_data[size],$EC$13,0)),MATCH(ROW(bhpc_data[sku]),ROW(bhpc_data[sku])),""),ROWS($A$15:A60)+$B$3))),IF($EC$13="",INDEX(bhpc_data[sku],SMALL(IF(ISNUMBER(MATCH(bhpc_data[sex],$EC$11,0)),MATCH(ROW(bhpc_data[sku]),ROW(bhpc_data[sku])),""),ROWS($A$15:A60)+$B$3)),INDEX(bhpc_data[sku],SMALL(IF(ISNUMBER(MATCH(bhpc_data[sex],$EC$11,0)*MATCH(bhpc_data[size],$EC$13,0)),MATCH(ROW(bhpc_data[sku]),ROW(bhpc_data[sku])),""),ROWS($A$15:A60)+$B$3)))),IF($EC$11="",IF($EC$13="",INDEX(bhpc_data[sku],SMALL(IF(ISNUMBER(MATCH(bhpc_data[category],$EC$9,0)),MATCH(ROW(bhpc_data[sku]),ROW(bhpc_data[sku])),""),ROWS($A$15:A60)+$B$3)),INDEX(bhpc_data[sku],SMALL(IF(ISNUMBER(MATCH(bhpc_data[category],$EC$9,0)*MATCH(bhpc_data[size],$EC$13,0)),MATCH(ROW(bhpc_data[sku]),ROW(bhpc_data[sku])),""),ROWS($A$15:A60)+$B$3))),IF($EC$13="",INDEX(bhpc_data[sku],SMALL(IF(ISNUMBER(MATCH(bhpc_data[category],$EC$9,0)*MATCH(bhpc_data[sex],$EC$11,0)),MATCH(ROW(bhpc_data[sku]),ROW(bhpc_data[sku])),""),ROWS($A$15:A60)+$B$3)),INDEX(bhpc_data[sku],SMALL(IF(ISNUMBER(MATCH(bhpc_data[category],$EC$9,0)*MATCH(bhpc_data[sex],$EC$11,0)*MATCH(bhpc_data[size],$EC$13,0)),MATCH(ROW(bhpc_data[sku]),ROW(bhpc_data[sku])),""),ROWS($A$15:A60)+$B$3))))),"")</f>
        <v>PT6007</v>
      </c>
      <c r="EF55" s="440" t="str" cm="1">
        <f t="array" ref="EF55">IFERROR(IF($EC$9="",IF($EC$11="",IF($EC$13="",INDEX(bhpc_data[description],SMALL(MATCH(ROW(bhpc_data[sku]),ROW(bhpc_data[sku])),ROWS($A$15:A60)+$B$3)),INDEX(bhpc_data[description],SMALL(IF(ISNUMBER(MATCH(bhpc_data[size],$EC$13,0)),MATCH(ROW(bhpc_data[sku]),ROW(bhpc_data[sku])),""),ROWS($A$15:A60)+$B$3))),IF($EC$13="",INDEX(bhpc_data[description],SMALL(IF(ISNUMBER(MATCH(bhpc_data[sex],$EC$11,0)),MATCH(ROW(bhpc_data[sku]),ROW(bhpc_data[sku])),""),ROWS($A$15:A60)+$B$3)),INDEX(bhpc_data[description],SMALL(IF(ISNUMBER(MATCH(bhpc_data[sex],$EC$11,0)*MATCH(bhpc_data[size],$EC$13,0)),MATCH(ROW(bhpc_data[sku]),ROW(bhpc_data[sku])),""),ROWS($A$15:A60)+$B$3)))),IF($EC$11="",IF($EC$13="",INDEX(bhpc_data[description],SMALL(IF(ISNUMBER(MATCH(bhpc_data[category],$EC$9,0)),MATCH(ROW(bhpc_data[sku]),ROW(bhpc_data[sku])),""),ROWS($A$15:A60)+$B$3)),INDEX(bhpc_data[description],SMALL(IF(ISNUMBER(MATCH(bhpc_data[category],$EC$9,0)*MATCH(bhpc_data[size],$EC$13,0)),MATCH(ROW(bhpc_data[sku]),ROW(bhpc_data[sku])),""),ROWS($A$15:A60)+$B$3))),IF($EC$13="",INDEX(bhpc_data[description],SMALL(IF(ISNUMBER(MATCH(bhpc_data[category],$EC$9,0)*MATCH(bhpc_data[sex],$EC$11,0)),MATCH(ROW(bhpc_data[sku]),ROW(bhpc_data[sku])),""),ROWS($A$15:A60)+$B$3)),INDEX(bhpc_data[description],SMALL(IF(ISNUMBER(MATCH(bhpc_data[category],$EC$9,0)*MATCH(bhpc_data[sex],$EC$11,0)*MATCH(bhpc_data[size],$EC$13,0)),MATCH(ROW(bhpc_data[sku]),ROW(bhpc_data[sku])),""),ROWS($A$15:A60)+$B$3))))),"")</f>
        <v>BHPC TESTERS PASSION 100ML EDP WOMEN</v>
      </c>
      <c r="EG55" s="441">
        <f>IFERROR(IF('BHPC MANAGER'!$EE55="","",INDEX(inventory[ESISTENZA],MATCH('BHPC MANAGER'!$EE55,inventory[SKU],0))),0)</f>
        <v>0</v>
      </c>
      <c r="EH55" s="442" t="s">
        <v>861</v>
      </c>
      <c r="EI55" s="442">
        <f t="shared" si="1"/>
        <v>0</v>
      </c>
      <c r="EJ55" s="443" t="s">
        <v>861</v>
      </c>
      <c r="EK55" s="444">
        <f t="shared" si="2"/>
        <v>0</v>
      </c>
      <c r="EO55" s="215" t="str">
        <f t="array" ref="EO55">IFERROR(INDEX(orderHistory[order_no],SMALL(IF(ISNUMBER(MATCH(orderHistory[status],$EO$7,0)),MATCH(ROW(orderHistory[order_no]),ROW(orderHistory[order_no])),""),ROWS($A$15:A60))),"")</f>
        <v/>
      </c>
    </row>
    <row r="56" spans="10:145" ht="15" customHeight="1" x14ac:dyDescent="0.35">
      <c r="L56" s="381" t="str">
        <f t="array" ref="L56">IFERROR(IF($D$9="",IF($D$11="",IF($D$13="",IF($D$15="",INDEX(orderHistory[customer],SMALL(MATCH(ROW(orderHistory[customer]),ROW(orderHistory[customer])),ROWS($A$15:A61)+$B$3)),INDEX(orderHistory[customer],SMALL(IF(ISNUMBER(MATCH(YEAR(orderHistory[invoice_date]),$D$15,0)),MATCH(ROW(orderHistory[customer]),ROW(orderHistory[customer])),""),ROWS($A$15:A61)+$B$3))),IF($D$15="",INDEX(orderHistory[customer],SMALL(IF(ISNUMBER(MATCH(orderHistory[order_type],$D$13,0)),MATCH(ROW(orderHistory[customer]),ROW(orderHistory[customer])),""),ROWS($A$15:A61)+$B$3)),INDEX(orderHistory[customer],SMALL(IF(ISNUMBER(MATCH(orderHistory[order_type],$D$13,0)*MATCH(YEAR(orderHistory[invoice_date]),$D$15,0)),MATCH(ROW(orderHistory[customer]),ROW(orderHistory[customer])),""),ROWS($A$15:A61)+$B$3)))),IF($D$13="",IF($D$15="",INDEX(orderHistory[customer],SMALL(IF(ISNUMBER(MATCH(orderHistory[status],$D$11,0)),MATCH(ROW(orderHistory[customer]),ROW(orderHistory[customer])),""),ROWS($A$15:A61)+$B$3)),INDEX(orderHistory[customer],SMALL(IF(ISNUMBER(MATCH(orderHistory[status],$D$11,0)*MATCH(YEAR(orderHistory[invoice_date]),$D$15,0)),MATCH(ROW(orderHistory[customer]),ROW(orderHistory[customer])),""),ROWS($A$15:A61)+$B$3))),IF($D$15="",INDEX(orderHistory[customer],SMALL(IF(ISNUMBER(MATCH(orderHistory[status],$D$11,0)*MATCH(orderHistory[order_type],$D$13,0)),MATCH(ROW(orderHistory[customer]),ROW(orderHistory[customer])),""),ROWS($A$15:A61)+$B$3)),INDEX(orderHistory[customer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customer],SMALL(IF(ISNUMBER(MATCH(orderHistory[customer],$D$9,0)),MATCH(ROW(orderHistory[customer]),ROW(orderHistory[customer])),""),ROWS($A$15:A61)+$B$3)),INDEX(orderHistory[customer],SMALL(IF(ISNUMBER(MATCH(orderHistory[customer],$D$9,0)*MATCH(YEAR(orderHistory[invoice_date]),$D$15,0)),MATCH(ROW(orderHistory[customer]),ROW(orderHistory[customer])),""),ROWS($A$15:A61)+$B$3))),IF($D$15="",INDEX(orderHistory[customer],SMALL(IF(ISNUMBER(MATCH(orderHistory[customer],$D$9,0)*MATCH(orderHistory[order_type],$D$13,0)),MATCH(ROW(orderHistory[customer]),ROW(orderHistory[customer])),""),ROWS($A$15:A61)+$B$3)),INDEX(orderHistory[customer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customer],SMALL(IF(ISNUMBER(MATCH(orderHistory[customer],$D$9,0)*MATCH(orderHistory[status],$D$11,0)),MATCH(ROW(orderHistory[customer]),ROW(orderHistory[customer])),""),ROWS($A$15:A61)+$B$3)),INDEX(orderHistory[customer],SMALL(IF(ISNUMBER(MATCH(orderHistory[customer],$D$9,0)*MATCH(orderHistory[status],$D$11,0)*MATCH(YEAR(orderHistory[invoice_date]),$D$15,0)),MATCH(ROW(orderHistory[customer]),ROW(orderHistory[customer])),""),ROWS($A$15:A61)+$B$3))),IF($D$15="",INDEX(orderHistory[customer],SMALL(IF(ISNUMBER(MATCH(orderHistory[customer],$D$9,0)*MATCH(orderHistory[status],$D$11,0)*MATCH(orderHistory[order_type],$D$13,0)),MATCH(ROW(orderHistory[customer]),ROW(orderHistory[customer])),""),ROWS($A$15:A61)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M56" s="382" t="str">
        <f t="array" ref="M56">IFERROR(IF($D$9="",IF($D$11="",IF($D$13="",IF($D$15="",INDEX(orderHistory[order_no],SMALL(MATCH(ROW(orderHistory[customer]),ROW(orderHistory[customer])),ROWS($A$15:A61)+$B$3)),INDEX(orderHistory[order_no],SMALL(IF(ISNUMBER(MATCH(YEAR(orderHistory[invoice_date]),$D$15,0)),MATCH(ROW(orderHistory[customer]),ROW(orderHistory[customer])),""),ROWS($A$15:A61)+$B$3))),IF($D$15="",INDEX(orderHistory[order_no],SMALL(IF(ISNUMBER(MATCH(orderHistory[order_type],$D$13,0)),MATCH(ROW(orderHistory[customer]),ROW(orderHistory[customer])),""),ROWS($A$15:A61)+$B$3)),INDEX(orderHistory[order_no],SMALL(IF(ISNUMBER(MATCH(orderHistory[order_type],$D$13,0)*MATCH(YEAR(orderHistory[invoice_date]),$D$15,0)),MATCH(ROW(orderHistory[customer]),ROW(orderHistory[customer])),""),ROWS($A$15:A61)+$B$3)))),IF($D$13="",IF($D$15="",INDEX(orderHistory[order_no],SMALL(IF(ISNUMBER(MATCH(orderHistory[status],$D$11,0)),MATCH(ROW(orderHistory[customer]),ROW(orderHistory[customer])),""),ROWS($A$15:A61)+$B$3)),INDEX(orderHistory[order_no],SMALL(IF(ISNUMBER(MATCH(orderHistory[status],$D$11,0)*MATCH(YEAR(orderHistory[invoice_date]),$D$15,0)),MATCH(ROW(orderHistory[customer]),ROW(orderHistory[customer])),""),ROWS($A$15:A61)+$B$3))),IF($D$15="",INDEX(orderHistory[order_no],SMALL(IF(ISNUMBER(MATCH(orderHistory[status],$D$11,0)*MATCH(orderHistory[order_type],$D$13,0)),MATCH(ROW(orderHistory[customer]),ROW(orderHistory[customer])),""),ROWS($A$15:A61)+$B$3)),INDEX(orderHistory[order_no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order_no],SMALL(IF(ISNUMBER(MATCH(orderHistory[customer],$D$9,0)),MATCH(ROW(orderHistory[customer]),ROW(orderHistory[customer])),""),ROWS($A$15:A61)+$B$3)),INDEX(orderHistory[order_no],SMALL(IF(ISNUMBER(MATCH(orderHistory[customer],$D$9,0)*MATCH(YEAR(orderHistory[invoice_date]),$D$15,0)),MATCH(ROW(orderHistory[customer]),ROW(orderHistory[customer])),""),ROWS($A$15:A61)+$B$3))),IF($D$15="",INDEX(orderHistory[order_no],SMALL(IF(ISNUMBER(MATCH(orderHistory[customer],$D$9,0)*MATCH(orderHistory[order_type],$D$13,0)),MATCH(ROW(orderHistory[customer]),ROW(orderHistory[customer])),""),ROWS($A$15:A61)+$B$3)),INDEX(orderHistory[order_no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order_no],SMALL(IF(ISNUMBER(MATCH(orderHistory[customer],$D$9,0)*MATCH(orderHistory[status],$D$11,0)),MATCH(ROW(orderHistory[customer]),ROW(orderHistory[customer])),""),ROWS($A$15:A61)+$B$3)),INDEX(orderHistory[order_no],SMALL(IF(ISNUMBER(MATCH(orderHistory[customer],$D$9,0)*MATCH(orderHistory[status],$D$11,0)*MATCH(YEAR(orderHistory[invoice_date]),$D$15,0)),MATCH(ROW(orderHistory[customer]),ROW(orderHistory[customer])),""),ROWS($A$15:A61)+$B$3))),IF($D$15="",INDEX(orderHistory[order_no],SMALL(IF(ISNUMBER(MATCH(orderHistory[customer],$D$9,0)*MATCH(orderHistory[status],$D$11,0)*MATCH(orderHistory[order_type],$D$13,0)),MATCH(ROW(orderHistory[customer]),ROW(orderHistory[customer])),""),ROWS($A$15:A61)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N56" s="383" t="str">
        <f t="array" ref="N56">IFERROR(IF($D$9="",IF($D$11="",IF($D$13="",IF($D$15="",INDEX(orderHistory[order_type],SMALL(MATCH(ROW(orderHistory[customer]),ROW(orderHistory[customer])),ROWS($A$15:A61)+$B$3)),INDEX(orderHistory[order_type],SMALL(IF(ISNUMBER(MATCH(YEAR(orderHistory[invoice_date]),$D$15,0)),MATCH(ROW(orderHistory[customer]),ROW(orderHistory[customer])),""),ROWS($A$15:A61)+$B$3))),IF($D$15="",INDEX(orderHistory[order_type],SMALL(IF(ISNUMBER(MATCH(orderHistory[order_type],$D$13,0)),MATCH(ROW(orderHistory[customer]),ROW(orderHistory[customer])),""),ROWS($A$15:A61)+$B$3)),INDEX(orderHistory[order_type],SMALL(IF(ISNUMBER(MATCH(orderHistory[order_type],$D$13,0)*MATCH(YEAR(orderHistory[invoice_date]),$D$15,0)),MATCH(ROW(orderHistory[customer]),ROW(orderHistory[customer])),""),ROWS($A$15:A61)+$B$3)))),IF($D$13="",IF($D$15="",INDEX(orderHistory[order_type],SMALL(IF(ISNUMBER(MATCH(orderHistory[status],$D$11,0)),MATCH(ROW(orderHistory[customer]),ROW(orderHistory[customer])),""),ROWS($A$15:A61)+$B$3)),INDEX(orderHistory[order_type],SMALL(IF(ISNUMBER(MATCH(orderHistory[status],$D$11,0)*MATCH(YEAR(orderHistory[invoice_date]),$D$15,0)),MATCH(ROW(orderHistory[customer]),ROW(orderHistory[customer])),""),ROWS($A$15:A61)+$B$3))),IF($D$15="",INDEX(orderHistory[order_type],SMALL(IF(ISNUMBER(MATCH(orderHistory[status],$D$11,0)*MATCH(orderHistory[order_type],$D$13,0)),MATCH(ROW(orderHistory[customer]),ROW(orderHistory[customer])),""),ROWS($A$15:A61)+$B$3)),INDEX(orderHistory[order_type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order_type],SMALL(IF(ISNUMBER(MATCH(orderHistory[customer],$D$9,0)),MATCH(ROW(orderHistory[customer]),ROW(orderHistory[customer])),""),ROWS($A$15:A61)+$B$3)),INDEX(orderHistory[order_type],SMALL(IF(ISNUMBER(MATCH(orderHistory[customer],$D$9,0)*MATCH(YEAR(orderHistory[invoice_date]),$D$15,0)),MATCH(ROW(orderHistory[customer]),ROW(orderHistory[customer])),""),ROWS($A$15:A61)+$B$3))),IF($D$15="",INDEX(orderHistory[order_type],SMALL(IF(ISNUMBER(MATCH(orderHistory[customer],$D$9,0)*MATCH(orderHistory[order_type],$D$13,0)),MATCH(ROW(orderHistory[customer]),ROW(orderHistory[customer])),""),ROWS($A$15:A61)+$B$3)),INDEX(orderHistory[order_type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order_type],SMALL(IF(ISNUMBER(MATCH(orderHistory[customer],$D$9,0)*MATCH(orderHistory[status],$D$11,0)),MATCH(ROW(orderHistory[customer]),ROW(orderHistory[customer])),""),ROWS($A$15:A61)+$B$3)),INDEX(orderHistory[order_type],SMALL(IF(ISNUMBER(MATCH(orderHistory[customer],$D$9,0)*MATCH(orderHistory[status],$D$11,0)*MATCH(YEAR(orderHistory[invoice_date]),$D$15,0)),MATCH(ROW(orderHistory[customer]),ROW(orderHistory[customer])),""),ROWS($A$15:A61)+$B$3))),IF($D$15="",INDEX(orderHistory[order_type],SMALL(IF(ISNUMBER(MATCH(orderHistory[customer],$D$9,0)*MATCH(orderHistory[status],$D$11,0)*MATCH(orderHistory[order_type],$D$13,0)),MATCH(ROW(orderHistory[customer]),ROW(orderHistory[customer])),""),ROWS($A$15:A61)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O56" s="384" t="str">
        <f t="array" ref="O56">IFERROR(IF($D$9="",IF($D$11="",IF($D$13="",IF($D$15="",INDEX(orderHistory[order_date],SMALL(MATCH(ROW(orderHistory[customer]),ROW(orderHistory[customer])),ROWS($A$15:A61)+$B$3)),INDEX(orderHistory[order_date],SMALL(IF(ISNUMBER(MATCH(YEAR(orderHistory[invoice_date]),$D$15,0)),MATCH(ROW(orderHistory[customer]),ROW(orderHistory[customer])),""),ROWS($A$15:A61)+$B$3))),IF($D$15="",INDEX(orderHistory[order_date],SMALL(IF(ISNUMBER(MATCH(orderHistory[order_type],$D$13,0)),MATCH(ROW(orderHistory[customer]),ROW(orderHistory[customer])),""),ROWS($A$15:A61)+$B$3)),INDEX(orderHistory[order_date],SMALL(IF(ISNUMBER(MATCH(orderHistory[order_type],$D$13,0)*MATCH(YEAR(orderHistory[invoice_date]),$D$15,0)),MATCH(ROW(orderHistory[customer]),ROW(orderHistory[customer])),""),ROWS($A$15:A61)+$B$3)))),IF($D$13="",IF($D$15="",INDEX(orderHistory[order_date],SMALL(IF(ISNUMBER(MATCH(orderHistory[status],$D$11,0)),MATCH(ROW(orderHistory[customer]),ROW(orderHistory[customer])),""),ROWS($A$15:A61)+$B$3)),INDEX(orderHistory[order_date],SMALL(IF(ISNUMBER(MATCH(orderHistory[status],$D$11,0)*MATCH(YEAR(orderHistory[invoice_date]),$D$15,0)),MATCH(ROW(orderHistory[customer]),ROW(orderHistory[customer])),""),ROWS($A$15:A61)+$B$3))),IF($D$15="",INDEX(orderHistory[order_date],SMALL(IF(ISNUMBER(MATCH(orderHistory[status],$D$11,0)*MATCH(orderHistory[order_type],$D$13,0)),MATCH(ROW(orderHistory[customer]),ROW(orderHistory[customer])),""),ROWS($A$15:A61)+$B$3)),INDEX(orderHistory[order_date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order_date],SMALL(IF(ISNUMBER(MATCH(orderHistory[customer],$D$9,0)),MATCH(ROW(orderHistory[customer]),ROW(orderHistory[customer])),""),ROWS($A$15:A61)+$B$3)),INDEX(orderHistory[order_date],SMALL(IF(ISNUMBER(MATCH(orderHistory[customer],$D$9,0)*MATCH(YEAR(orderHistory[invoice_date]),$D$15,0)),MATCH(ROW(orderHistory[customer]),ROW(orderHistory[customer])),""),ROWS($A$15:A61)+$B$3))),IF($D$15="",INDEX(orderHistory[order_date],SMALL(IF(ISNUMBER(MATCH(orderHistory[customer],$D$9,0)*MATCH(orderHistory[order_type],$D$13,0)),MATCH(ROW(orderHistory[customer]),ROW(orderHistory[customer])),""),ROWS($A$15:A61)+$B$3)),INDEX(orderHistory[order_date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order_date],SMALL(IF(ISNUMBER(MATCH(orderHistory[customer],$D$9,0)*MATCH(orderHistory[status],$D$11,0)),MATCH(ROW(orderHistory[customer]),ROW(orderHistory[customer])),""),ROWS($A$15:A61)+$B$3)),INDEX(orderHistory[order_date],SMALL(IF(ISNUMBER(MATCH(orderHistory[customer],$D$9,0)*MATCH(orderHistory[status],$D$11,0)*MATCH(YEAR(orderHistory[invoice_date]),$D$15,0)),MATCH(ROW(orderHistory[customer]),ROW(orderHistory[customer])),""),ROWS($A$15:A61)+$B$3))),IF($D$15="",INDEX(orderHistory[order_date],SMALL(IF(ISNUMBER(MATCH(orderHistory[customer],$D$9,0)*MATCH(orderHistory[status],$D$11,0)*MATCH(orderHistory[order_type],$D$13,0)),MATCH(ROW(orderHistory[customer]),ROW(orderHistory[customer])),""),ROWS($A$15:A61)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P56" s="385" t="str">
        <f t="array" ref="P56">IFERROR(IF($D$9="",IF($D$11="",IF($D$13="",IF($D$15="",INDEX(orderHistory[invoice_no],SMALL(MATCH(ROW(orderHistory[customer]),ROW(orderHistory[customer])),ROWS($A$15:A61)+$B$3)),INDEX(orderHistory[invoice_no],SMALL(IF(ISNUMBER(MATCH(YEAR(orderHistory[invoice_date]),$D$15,0)),MATCH(ROW(orderHistory[customer]),ROW(orderHistory[customer])),""),ROWS($A$15:A61)+$B$3))),IF($D$15="",INDEX(orderHistory[invoice_no],SMALL(IF(ISNUMBER(MATCH(orderHistory[order_type],$D$13,0)),MATCH(ROW(orderHistory[customer]),ROW(orderHistory[customer])),""),ROWS($A$15:A61)+$B$3)),INDEX(orderHistory[invoice_no],SMALL(IF(ISNUMBER(MATCH(orderHistory[order_type],$D$13,0)*MATCH(YEAR(orderHistory[invoice_date]),$D$15,0)),MATCH(ROW(orderHistory[customer]),ROW(orderHistory[customer])),""),ROWS($A$15:A61)+$B$3)))),IF($D$13="",IF($D$15="",INDEX(orderHistory[invoice_no],SMALL(IF(ISNUMBER(MATCH(orderHistory[status],$D$11,0)),MATCH(ROW(orderHistory[customer]),ROW(orderHistory[customer])),""),ROWS($A$15:A61)+$B$3)),INDEX(orderHistory[invoice_no],SMALL(IF(ISNUMBER(MATCH(orderHistory[status],$D$11,0)*MATCH(YEAR(orderHistory[invoice_date]),$D$15,0)),MATCH(ROW(orderHistory[customer]),ROW(orderHistory[customer])),""),ROWS($A$15:A61)+$B$3))),IF($D$15="",INDEX(orderHistory[invoice_no],SMALL(IF(ISNUMBER(MATCH(orderHistory[status],$D$11,0)*MATCH(orderHistory[order_type],$D$13,0)),MATCH(ROW(orderHistory[customer]),ROW(orderHistory[customer])),""),ROWS($A$15:A61)+$B$3)),INDEX(orderHistory[invoice_no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invoice_no],SMALL(IF(ISNUMBER(MATCH(orderHistory[customer],$D$9,0)),MATCH(ROW(orderHistory[customer]),ROW(orderHistory[customer])),""),ROWS($A$15:A61)+$B$3)),INDEX(orderHistory[invoice_no],SMALL(IF(ISNUMBER(MATCH(orderHistory[customer],$D$9,0)*MATCH(YEAR(orderHistory[invoice_date]),$D$15,0)),MATCH(ROW(orderHistory[customer]),ROW(orderHistory[customer])),""),ROWS($A$15:A61)+$B$3))),IF($D$15="",INDEX(orderHistory[invoice_no],SMALL(IF(ISNUMBER(MATCH(orderHistory[customer],$D$9,0)*MATCH(orderHistory[order_type],$D$13,0)),MATCH(ROW(orderHistory[customer]),ROW(orderHistory[customer])),""),ROWS($A$15:A61)+$B$3)),INDEX(orderHistory[invoice_no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invoice_no],SMALL(IF(ISNUMBER(MATCH(orderHistory[customer],$D$9,0)*MATCH(orderHistory[status],$D$11,0)),MATCH(ROW(orderHistory[customer]),ROW(orderHistory[customer])),""),ROWS($A$15:A61)+$B$3)),INDEX(orderHistory[invoice_no],SMALL(IF(ISNUMBER(MATCH(orderHistory[customer],$D$9,0)*MATCH(orderHistory[status],$D$11,0)*MATCH(YEAR(orderHistory[invoice_date]),$D$15,0)),MATCH(ROW(orderHistory[customer]),ROW(orderHistory[customer])),""),ROWS($A$15:A61)+$B$3))),IF($D$15="",INDEX(orderHistory[invoice_no],SMALL(IF(ISNUMBER(MATCH(orderHistory[customer],$D$9,0)*MATCH(orderHistory[status],$D$11,0)*MATCH(orderHistory[order_type],$D$13,0)),MATCH(ROW(orderHistory[customer]),ROW(orderHistory[customer])),""),ROWS($A$15:A61)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Q56" s="386" t="str">
        <f t="array" ref="Q56">IFERROR(IF($D$9="",IF($D$11="",IF($D$13="",IF($D$15="",INDEX(orderHistory[invoice_date],SMALL(MATCH(ROW(orderHistory[customer]),ROW(orderHistory[customer])),ROWS($A$15:A61)+$B$3)),INDEX(orderHistory[invoice_date],SMALL(IF(ISNUMBER(MATCH(YEAR(orderHistory[invoice_date]),$D$15,0)),MATCH(ROW(orderHistory[customer]),ROW(orderHistory[customer])),""),ROWS($A$15:A61)+$B$3))),IF($D$15="",INDEX(orderHistory[invoice_date],SMALL(IF(ISNUMBER(MATCH(orderHistory[order_type],$D$13,0)),MATCH(ROW(orderHistory[customer]),ROW(orderHistory[customer])),""),ROWS($A$15:A61)+$B$3)),INDEX(orderHistory[invoice_date],SMALL(IF(ISNUMBER(MATCH(orderHistory[order_type],$D$13,0)*MATCH(YEAR(orderHistory[invoice_date]),$D$15,0)),MATCH(ROW(orderHistory[customer]),ROW(orderHistory[customer])),""),ROWS($A$15:A61)+$B$3)))),IF($D$13="",IF($D$15="",INDEX(orderHistory[invoice_date],SMALL(IF(ISNUMBER(MATCH(orderHistory[status],$D$11,0)),MATCH(ROW(orderHistory[customer]),ROW(orderHistory[customer])),""),ROWS($A$15:A61)+$B$3)),INDEX(orderHistory[invoice_date],SMALL(IF(ISNUMBER(MATCH(orderHistory[status],$D$11,0)*MATCH(YEAR(orderHistory[invoice_date]),$D$15,0)),MATCH(ROW(orderHistory[customer]),ROW(orderHistory[customer])),""),ROWS($A$15:A61)+$B$3))),IF($D$15="",INDEX(orderHistory[invoice_date],SMALL(IF(ISNUMBER(MATCH(orderHistory[status],$D$11,0)*MATCH(orderHistory[order_type],$D$13,0)),MATCH(ROW(orderHistory[customer]),ROW(orderHistory[customer])),""),ROWS($A$15:A61)+$B$3)),INDEX(orderHistory[invoice_date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invoice_date],SMALL(IF(ISNUMBER(MATCH(orderHistory[customer],$D$9,0)),MATCH(ROW(orderHistory[customer]),ROW(orderHistory[customer])),""),ROWS($A$15:A61)+$B$3)),INDEX(orderHistory[invoice_date],SMALL(IF(ISNUMBER(MATCH(orderHistory[customer],$D$9,0)*MATCH(YEAR(orderHistory[invoice_date]),$D$15,0)),MATCH(ROW(orderHistory[customer]),ROW(orderHistory[customer])),""),ROWS($A$15:A61)+$B$3))),IF($D$15="",INDEX(orderHistory[invoice_date],SMALL(IF(ISNUMBER(MATCH(orderHistory[customer],$D$9,0)*MATCH(orderHistory[order_type],$D$13,0)),MATCH(ROW(orderHistory[customer]),ROW(orderHistory[customer])),""),ROWS($A$15:A61)+$B$3)),INDEX(orderHistory[invoice_date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invoice_date],SMALL(IF(ISNUMBER(MATCH(orderHistory[customer],$D$9,0)*MATCH(orderHistory[status],$D$11,0)),MATCH(ROW(orderHistory[customer]),ROW(orderHistory[customer])),""),ROWS($A$15:A61)+$B$3)),INDEX(orderHistory[invoice_date],SMALL(IF(ISNUMBER(MATCH(orderHistory[customer],$D$9,0)*MATCH(orderHistory[status],$D$11,0)*MATCH(YEAR(orderHistory[invoice_date]),$D$15,0)),MATCH(ROW(orderHistory[customer]),ROW(orderHistory[customer])),""),ROWS($A$15:A61)+$B$3))),IF($D$15="",INDEX(orderHistory[invoice_date],SMALL(IF(ISNUMBER(MATCH(orderHistory[customer],$D$9,0)*MATCH(orderHistory[status],$D$11,0)*MATCH(orderHistory[order_type],$D$13,0)),MATCH(ROW(orderHistory[customer]),ROW(orderHistory[customer])),""),ROWS($A$15:A61)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R56" s="387" t="str">
        <f t="array" ref="R56">IFERROR(IF($D$9="",IF($D$11="",IF($D$13="",IF($D$15="",INDEX(orderHistory[inv_amount],SMALL(MATCH(ROW(orderHistory[customer]),ROW(orderHistory[customer])),ROWS($A$15:A61)+$B$3)),INDEX(orderHistory[inv_amount],SMALL(IF(ISNUMBER(MATCH(YEAR(orderHistory[invoice_date]),$D$15,0)),MATCH(ROW(orderHistory[customer]),ROW(orderHistory[customer])),""),ROWS($A$15:A61)+$B$3))),IF($D$15="",INDEX(orderHistory[inv_amount],SMALL(IF(ISNUMBER(MATCH(orderHistory[order_type],$D$13,0)),MATCH(ROW(orderHistory[customer]),ROW(orderHistory[customer])),""),ROWS($A$15:A61)+$B$3)),INDEX(orderHistory[inv_amount],SMALL(IF(ISNUMBER(MATCH(orderHistory[order_type],$D$13,0)*MATCH(YEAR(orderHistory[invoice_date]),$D$15,0)),MATCH(ROW(orderHistory[customer]),ROW(orderHistory[customer])),""),ROWS($A$15:A61)+$B$3)))),IF($D$13="",IF($D$15="",INDEX(orderHistory[inv_amount],SMALL(IF(ISNUMBER(MATCH(orderHistory[status],$D$11,0)),MATCH(ROW(orderHistory[customer]),ROW(orderHistory[customer])),""),ROWS($A$15:A61)+$B$3)),INDEX(orderHistory[inv_amount],SMALL(IF(ISNUMBER(MATCH(orderHistory[status],$D$11,0)*MATCH(YEAR(orderHistory[invoice_date]),$D$15,0)),MATCH(ROW(orderHistory[customer]),ROW(orderHistory[customer])),""),ROWS($A$15:A61)+$B$3))),IF($D$15="",INDEX(orderHistory[inv_amount],SMALL(IF(ISNUMBER(MATCH(orderHistory[status],$D$11,0)*MATCH(orderHistory[order_type],$D$13,0)),MATCH(ROW(orderHistory[customer]),ROW(orderHistory[customer])),""),ROWS($A$15:A61)+$B$3)),INDEX(orderHistory[inv_amount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inv_amount],SMALL(IF(ISNUMBER(MATCH(orderHistory[customer],$D$9,0)),MATCH(ROW(orderHistory[customer]),ROW(orderHistory[customer])),""),ROWS($A$15:A61)+$B$3)),INDEX(orderHistory[inv_amount],SMALL(IF(ISNUMBER(MATCH(orderHistory[customer],$D$9,0)*MATCH(YEAR(orderHistory[invoice_date]),$D$15,0)),MATCH(ROW(orderHistory[customer]),ROW(orderHistory[customer])),""),ROWS($A$15:A61)+$B$3))),IF($D$15="",INDEX(orderHistory[inv_amount],SMALL(IF(ISNUMBER(MATCH(orderHistory[customer],$D$9,0)*MATCH(orderHistory[order_type],$D$13,0)),MATCH(ROW(orderHistory[customer]),ROW(orderHistory[customer])),""),ROWS($A$15:A61)+$B$3)),INDEX(orderHistory[inv_amount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inv_amount],SMALL(IF(ISNUMBER(MATCH(orderHistory[customer],$D$9,0)*MATCH(orderHistory[status],$D$11,0)),MATCH(ROW(orderHistory[customer]),ROW(orderHistory[customer])),""),ROWS($A$15:A61)+$B$3)),INDEX(orderHistory[inv_amount],SMALL(IF(ISNUMBER(MATCH(orderHistory[customer],$D$9,0)*MATCH(orderHistory[status],$D$11,0)*MATCH(YEAR(orderHistory[inv_amount]),$D$15,0)),MATCH(ROW(orderHistory[customer]),ROW(orderHistory[customer])),""),ROWS($A$15:A61)+$B$3))),IF($D$15="",INDEX(orderHistory[inv_amount],SMALL(IF(ISNUMBER(MATCH(orderHistory[customer],$D$9,0)*MATCH(orderHistory[status],$D$11,0)*MATCH(orderHistory[order_type],$D$13,0)),MATCH(ROW(orderHistory[customer]),ROW(orderHistory[customer])),""),ROWS($A$15:A61)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S56" s="465" t="str">
        <f t="array" ref="S56">IFERROR(IF($D$9="",IF($D$11="",IF($D$13="",IF($D$15="",INDEX(orderHistory[lock_goods],SMALL(MATCH(ROW(orderHistory[customer]),ROW(orderHistory[customer])),ROWS($A$15:A61)+$B$3)),INDEX(orderHistory[lock_goods],SMALL(IF(ISNUMBER(MATCH(YEAR(orderHistory[invoice_date]),$D$15,0)),MATCH(ROW(orderHistory[customer]),ROW(orderHistory[customer])),""),ROWS($A$15:A61)+$B$3))),IF($D$15="",INDEX(orderHistory[lock_goods],SMALL(IF(ISNUMBER(MATCH(orderHistory[order_type],$D$13,0)),MATCH(ROW(orderHistory[customer]),ROW(orderHistory[customer])),""),ROWS($A$15:A61)+$B$3)),INDEX(orderHistory[lock_goods],SMALL(IF(ISNUMBER(MATCH(orderHistory[order_type],$D$13,0)*MATCH(YEAR(orderHistory[invoice_date]),$D$15,0)),MATCH(ROW(orderHistory[customer]),ROW(orderHistory[customer])),""),ROWS($A$15:A61)+$B$3)))),IF($D$13="",IF($D$15="",INDEX(orderHistory[lock_goods],SMALL(IF(ISNUMBER(MATCH(orderHistory[status],$D$11,0)),MATCH(ROW(orderHistory[customer]),ROW(orderHistory[customer])),""),ROWS($A$15:A61)+$B$3)),INDEX(orderHistory[lock_goods],SMALL(IF(ISNUMBER(MATCH(orderHistory[status],$D$11,0)*MATCH(YEAR(orderHistory[invoice_date]),$D$15,0)),MATCH(ROW(orderHistory[customer]),ROW(orderHistory[customer])),""),ROWS($A$15:A61)+$B$3))),IF($D$15="",INDEX(orderHistory[lock_goods],SMALL(IF(ISNUMBER(MATCH(orderHistory[status],$D$11,0)*MATCH(orderHistory[order_type],$D$13,0)),MATCH(ROW(orderHistory[customer]),ROW(orderHistory[customer])),""),ROWS($A$15:A61)+$B$3)),INDEX(orderHistory[lock_goods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lock_goods],SMALL(IF(ISNUMBER(MATCH(orderHistory[customer],$D$9,0)),MATCH(ROW(orderHistory[customer]),ROW(orderHistory[customer])),""),ROWS($A$15:A61)+$B$3)),INDEX(orderHistory[lock_goods],SMALL(IF(ISNUMBER(MATCH(orderHistory[customer],$D$9,0)*MATCH(YEAR(orderHistory[invoice_date]),$D$15,0)),MATCH(ROW(orderHistory[customer]),ROW(orderHistory[customer])),""),ROWS($A$15:A61)+$B$3))),IF($D$15="",INDEX(orderHistory[lock_goods],SMALL(IF(ISNUMBER(MATCH(orderHistory[customer],$D$9,0)*MATCH(orderHistory[order_type],$D$13,0)),MATCH(ROW(orderHistory[customer]),ROW(orderHistory[customer])),""),ROWS($A$15:A61)+$B$3)),INDEX(orderHistory[lock_goods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lock_goods],SMALL(IF(ISNUMBER(MATCH(orderHistory[customer],$D$9,0)*MATCH(orderHistory[status],$D$11,0)),MATCH(ROW(orderHistory[customer]),ROW(orderHistory[customer])),""),ROWS($A$15:A61)+$B$3)),INDEX(orderHistory[lock_goods],SMALL(IF(ISNUMBER(MATCH(orderHistory[customer],$D$9,0)*MATCH(orderHistory[status],$D$11,0)*MATCH(YEAR(orderHistory[payed]),$D$15,0)),MATCH(ROW(orderHistory[customer]),ROW(orderHistory[customer])),""),ROWS($A$15:A61)+$B$3))),IF($D$15="",INDEX(orderHistory[lock_goods],SMALL(IF(ISNUMBER(MATCH(orderHistory[customer],$D$9,0)*MATCH(orderHistory[status],$D$11,0)*MATCH(orderHistory[order_type],$D$13,0)),MATCH(ROW(orderHistory[customer]),ROW(orderHistory[customer])),""),ROWS($A$15:A61)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T56" s="388" t="str">
        <f t="array" ref="T56">IFERROR(IF($D$9="",IF($D$11="",IF($D$13="",IF($D$15="",INDEX(orderHistory[payed],SMALL(MATCH(ROW(orderHistory[customer]),ROW(orderHistory[customer])),ROWS($A$15:A61)+$B$3)),INDEX(orderHistory[payed],SMALL(IF(ISNUMBER(MATCH(YEAR(orderHistory[invoice_date]),$D$15,0)),MATCH(ROW(orderHistory[customer]),ROW(orderHistory[customer])),""),ROWS($A$15:A61)+$B$3))),IF($D$15="",INDEX(orderHistory[payed],SMALL(IF(ISNUMBER(MATCH(orderHistory[order_type],$D$13,0)),MATCH(ROW(orderHistory[customer]),ROW(orderHistory[customer])),""),ROWS($A$15:A61)+$B$3)),INDEX(orderHistory[payed],SMALL(IF(ISNUMBER(MATCH(orderHistory[order_type],$D$13,0)*MATCH(YEAR(orderHistory[invoice_date]),$D$15,0)),MATCH(ROW(orderHistory[customer]),ROW(orderHistory[customer])),""),ROWS($A$15:A61)+$B$3)))),IF($D$13="",IF($D$15="",INDEX(orderHistory[payed],SMALL(IF(ISNUMBER(MATCH(orderHistory[status],$D$11,0)),MATCH(ROW(orderHistory[customer]),ROW(orderHistory[customer])),""),ROWS($A$15:A61)+$B$3)),INDEX(orderHistory[payed],SMALL(IF(ISNUMBER(MATCH(orderHistory[status],$D$11,0)*MATCH(YEAR(orderHistory[invoice_date]),$D$15,0)),MATCH(ROW(orderHistory[customer]),ROW(orderHistory[customer])),""),ROWS($A$15:A61)+$B$3))),IF($D$15="",INDEX(orderHistory[payed],SMALL(IF(ISNUMBER(MATCH(orderHistory[status],$D$11,0)*MATCH(orderHistory[order_type],$D$13,0)),MATCH(ROW(orderHistory[customer]),ROW(orderHistory[customer])),""),ROWS($A$15:A61)+$B$3)),INDEX(orderHistory[payed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payed],SMALL(IF(ISNUMBER(MATCH(orderHistory[customer],$D$9,0)),MATCH(ROW(orderHistory[customer]),ROW(orderHistory[customer])),""),ROWS($A$15:A61)+$B$3)),INDEX(orderHistory[payed],SMALL(IF(ISNUMBER(MATCH(orderHistory[customer],$D$9,0)*MATCH(YEAR(orderHistory[invoice_date]),$D$15,0)),MATCH(ROW(orderHistory[customer]),ROW(orderHistory[customer])),""),ROWS($A$15:A61)+$B$3))),IF($D$15="",INDEX(orderHistory[payed],SMALL(IF(ISNUMBER(MATCH(orderHistory[customer],$D$9,0)*MATCH(orderHistory[order_type],$D$13,0)),MATCH(ROW(orderHistory[customer]),ROW(orderHistory[customer])),""),ROWS($A$15:A61)+$B$3)),INDEX(orderHistory[payed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payed],SMALL(IF(ISNUMBER(MATCH(orderHistory[customer],$D$9,0)*MATCH(orderHistory[status],$D$11,0)),MATCH(ROW(orderHistory[customer]),ROW(orderHistory[customer])),""),ROWS($A$15:A61)+$B$3)),INDEX(orderHistory[payed],SMALL(IF(ISNUMBER(MATCH(orderHistory[customer],$D$9,0)*MATCH(orderHistory[status],$D$11,0)*MATCH(YEAR(orderHistory[payed]),$D$15,0)),MATCH(ROW(orderHistory[customer]),ROW(orderHistory[customer])),""),ROWS($A$15:A61)+$B$3))),IF($D$15="",INDEX(orderHistory[payed],SMALL(IF(ISNUMBER(MATCH(orderHistory[customer],$D$9,0)*MATCH(orderHistory[status],$D$11,0)*MATCH(orderHistory[order_type],$D$13,0)),MATCH(ROW(orderHistory[customer]),ROW(orderHistory[customer])),""),ROWS($A$15:A61)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U56" s="383" t="str">
        <f t="array" ref="U56">IFERROR(IF($D$9="",IF($D$11="",IF($D$13="",IF($D$15="",INDEX(orderHistory[shipping_method],SMALL(MATCH(ROW(orderHistory[customer]),ROW(orderHistory[customer])),ROWS($A$15:A61)+$B$3)),INDEX(orderHistory[shipping_method],SMALL(IF(ISNUMBER(MATCH(YEAR(orderHistory[invoice_date]),$D$15,0)),MATCH(ROW(orderHistory[customer]),ROW(orderHistory[customer])),""),ROWS($A$15:A61)+$B$3))),IF($D$15="",INDEX(orderHistory[shipping_method],SMALL(IF(ISNUMBER(MATCH(orderHistory[order_type],$D$13,0)),MATCH(ROW(orderHistory[customer]),ROW(orderHistory[customer])),""),ROWS($A$15:A61)+$B$3)),INDEX(orderHistory[shipping_method],SMALL(IF(ISNUMBER(MATCH(orderHistory[order_type],$D$13,0)*MATCH(YEAR(orderHistory[invoice_date]),$D$15,0)),MATCH(ROW(orderHistory[customer]),ROW(orderHistory[customer])),""),ROWS($A$15:A61)+$B$3)))),IF($D$13="",IF($D$15="",INDEX(orderHistory[shipping_method],SMALL(IF(ISNUMBER(MATCH(orderHistory[status],$D$11,0)),MATCH(ROW(orderHistory[customer]),ROW(orderHistory[customer])),""),ROWS($A$15:A61)+$B$3)),INDEX(orderHistory[shipping_method],SMALL(IF(ISNUMBER(MATCH(orderHistory[status],$D$11,0)*MATCH(YEAR(orderHistory[invoice_date]),$D$15,0)),MATCH(ROW(orderHistory[customer]),ROW(orderHistory[customer])),""),ROWS($A$15:A61)+$B$3))),IF($D$15="",INDEX(orderHistory[shipping_method],SMALL(IF(ISNUMBER(MATCH(orderHistory[status],$D$11,0)*MATCH(orderHistory[order_type],$D$13,0)),MATCH(ROW(orderHistory[customer]),ROW(orderHistory[customer])),""),ROWS($A$15:A61)+$B$3)),INDEX(orderHistory[shipping_method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shipping_method],SMALL(IF(ISNUMBER(MATCH(orderHistory[customer],$D$9,0)),MATCH(ROW(orderHistory[customer]),ROW(orderHistory[customer])),""),ROWS($A$15:A61)+$B$3)),INDEX(orderHistory[shipping_method],SMALL(IF(ISNUMBER(MATCH(orderHistory[customer],$D$9,0)*MATCH(YEAR(orderHistory[invoice_date]),$D$15,0)),MATCH(ROW(orderHistory[customer]),ROW(orderHistory[customer])),""),ROWS($A$15:A61)+$B$3))),IF($D$15="",INDEX(orderHistory[shipping_method],SMALL(IF(ISNUMBER(MATCH(orderHistory[customer],$D$9,0)*MATCH(orderHistory[order_type],$D$13,0)),MATCH(ROW(orderHistory[customer]),ROW(orderHistory[customer])),""),ROWS($A$15:A61)+$B$3)),INDEX(orderHistory[shipping_method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shipping_method],SMALL(IF(ISNUMBER(MATCH(orderHistory[customer],$D$9,0)*MATCH(orderHistory[status],$D$11,0)),MATCH(ROW(orderHistory[customer]),ROW(orderHistory[customer])),""),ROWS($A$15:A61)+$B$3)),INDEX(orderHistory[shipping_method],SMALL(IF(ISNUMBER(MATCH(orderHistory[customer],$D$9,0)*MATCH(orderHistory[status],$D$11,0)*MATCH(YEAR(orderHistory[shipping_method]),$D$15,0)),MATCH(ROW(orderHistory[customer]),ROW(orderHistory[customer])),""),ROWS($A$15:A61)+$B$3))),IF($D$15="",INDEX(orderHistory[shipping_method],SMALL(IF(ISNUMBER(MATCH(orderHistory[customer],$D$9,0)*MATCH(orderHistory[status],$D$11,0)*MATCH(orderHistory[order_type],$D$13,0)),MATCH(ROW(orderHistory[customer]),ROW(orderHistory[customer])),""),ROWS($A$15:A61)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V56" s="388" t="str">
        <f t="array" ref="V56">IFERROR(IF($D$9="",IF($D$11="",IF($D$13="",IF($D$15="",INDEX(orderHistory[status],SMALL(MATCH(ROW(orderHistory[customer]),ROW(orderHistory[customer])),ROWS($A$15:A61)+$B$3)),INDEX(orderHistory[status],SMALL(IF(ISNUMBER(MATCH(YEAR(orderHistory[invoice_date]),$D$15,0)),MATCH(ROW(orderHistory[customer]),ROW(orderHistory[customer])),""),ROWS($A$15:A61)+$B$3))),IF($D$15="",INDEX(orderHistory[status],SMALL(IF(ISNUMBER(MATCH(orderHistory[order_type],$D$13,0)),MATCH(ROW(orderHistory[customer]),ROW(orderHistory[customer])),""),ROWS($A$15:A61)+$B$3)),INDEX(orderHistory[status],SMALL(IF(ISNUMBER(MATCH(orderHistory[order_type],$D$13,0)*MATCH(YEAR(orderHistory[invoice_date]),$D$15,0)),MATCH(ROW(orderHistory[customer]),ROW(orderHistory[customer])),""),ROWS($A$15:A61)+$B$3)))),IF($D$13="",IF($D$15="",INDEX(orderHistory[status],SMALL(IF(ISNUMBER(MATCH(orderHistory[status],$D$11,0)),MATCH(ROW(orderHistory[customer]),ROW(orderHistory[customer])),""),ROWS($A$15:A61)+$B$3)),INDEX(orderHistory[status],SMALL(IF(ISNUMBER(MATCH(orderHistory[status],$D$11,0)*MATCH(YEAR(orderHistory[invoice_date]),$D$15,0)),MATCH(ROW(orderHistory[customer]),ROW(orderHistory[customer])),""),ROWS($A$15:A61)+$B$3))),IF($D$15="",INDEX(orderHistory[status],SMALL(IF(ISNUMBER(MATCH(orderHistory[status],$D$11,0)*MATCH(orderHistory[order_type],$D$13,0)),MATCH(ROW(orderHistory[customer]),ROW(orderHistory[customer])),""),ROWS($A$15:A61)+$B$3)),INDEX(orderHistory[status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status],SMALL(IF(ISNUMBER(MATCH(orderHistory[customer],$D$9,0)),MATCH(ROW(orderHistory[customer]),ROW(orderHistory[customer])),""),ROWS($A$15:A61)+$B$3)),INDEX(orderHistory[status],SMALL(IF(ISNUMBER(MATCH(orderHistory[customer],$D$9,0)*MATCH(YEAR(orderHistory[invoice_date]),$D$15,0)),MATCH(ROW(orderHistory[customer]),ROW(orderHistory[customer])),""),ROWS($A$15:A61)+$B$3))),IF($D$15="",INDEX(orderHistory[status],SMALL(IF(ISNUMBER(MATCH(orderHistory[customer],$D$9,0)*MATCH(orderHistory[order_type],$D$13,0)),MATCH(ROW(orderHistory[customer]),ROW(orderHistory[customer])),""),ROWS($A$15:A61)+$B$3)),INDEX(orderHistory[status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status],SMALL(IF(ISNUMBER(MATCH(orderHistory[customer],$D$9,0)*MATCH(orderHistory[status],$D$11,0)),MATCH(ROW(orderHistory[customer]),ROW(orderHistory[customer])),""),ROWS($A$15:A61)+$B$3)),INDEX(orderHistory[status],SMALL(IF(ISNUMBER(MATCH(orderHistory[customer],$D$9,0)*MATCH(orderHistory[status],$D$11,0)*MATCH(YEAR(orderHistory[status]),$D$15,0)),MATCH(ROW(orderHistory[customer]),ROW(orderHistory[customer])),""),ROWS($A$15:A61)+$B$3))),IF($D$15="",INDEX(orderHistory[status],SMALL(IF(ISNUMBER(MATCH(orderHistory[customer],$D$9,0)*MATCH(orderHistory[status],$D$11,0)*MATCH(orderHistory[order_type],$D$13,0)),MATCH(ROW(orderHistory[customer]),ROW(orderHistory[customer])),""),ROWS($A$15:A61)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W56" s="547" t="str">
        <f t="array" ref="W56">IFERROR(IF($D$9="",IF($D$11="",IF($D$13="",IF($D$15="",INDEX(orderHistory[custom_docs],SMALL(MATCH(ROW(orderHistory[customer]),ROW(orderHistory[customer])),ROWS($A$15:A61)+$B$3)),INDEX(orderHistory[custom_docs],SMALL(IF(ISNUMBER(MATCH(YEAR(orderHistory[invoice_date]),$D$15,0)),MATCH(ROW(orderHistory[customer]),ROW(orderHistory[customer])),""),ROWS($A$15:A61)+$B$3))),IF($D$15="",INDEX(orderHistory[custom_docs],SMALL(IF(ISNUMBER(MATCH(orderHistory[order_type],$D$13,0)),MATCH(ROW(orderHistory[customer]),ROW(orderHistory[customer])),""),ROWS($A$15:A61)+$B$3)),INDEX(orderHistory[custom_docs],SMALL(IF(ISNUMBER(MATCH(orderHistory[order_type],$D$13,0)*MATCH(YEAR(orderHistory[invoice_date]),$D$15,0)),MATCH(ROW(orderHistory[customer]),ROW(orderHistory[customer])),""),ROWS($A$15:A61)+$B$3)))),IF($D$13="",IF($D$15="",INDEX(orderHistory[custom_docs],SMALL(IF(ISNUMBER(MATCH(orderHistory[status],$D$11,0)),MATCH(ROW(orderHistory[customer]),ROW(orderHistory[customer])),""),ROWS($A$15:A61)+$B$3)),INDEX(orderHistory[custom_docs],SMALL(IF(ISNUMBER(MATCH(orderHistory[status],$D$11,0)*MATCH(YEAR(orderHistory[invoice_date]),$D$15,0)),MATCH(ROW(orderHistory[customer]),ROW(orderHistory[customer])),""),ROWS($A$15:A61)+$B$3))),IF($D$15="",INDEX(orderHistory[custom_docs],SMALL(IF(ISNUMBER(MATCH(orderHistory[status],$D$11,0)*MATCH(orderHistory[order_type],$D$13,0)),MATCH(ROW(orderHistory[customer]),ROW(orderHistory[customer])),""),ROWS($A$15:A61)+$B$3)),INDEX(orderHistory[custom_docs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custom_docs],SMALL(IF(ISNUMBER(MATCH(orderHistory[customer],$D$9,0)),MATCH(ROW(orderHistory[customer]),ROW(orderHistory[customer])),""),ROWS($A$15:A61)+$B$3)),INDEX(orderHistory[custom_docs],SMALL(IF(ISNUMBER(MATCH(orderHistory[customer],$D$9,0)*MATCH(YEAR(orderHistory[invoice_date]),$D$15,0)),MATCH(ROW(orderHistory[customer]),ROW(orderHistory[customer])),""),ROWS($A$15:A61)+$B$3))),IF($D$15="",INDEX(orderHistory[custom_docs],SMALL(IF(ISNUMBER(MATCH(orderHistory[customer],$D$9,0)*MATCH(orderHistory[order_type],$D$13,0)),MATCH(ROW(orderHistory[customer]),ROW(orderHistory[customer])),""),ROWS($A$15:A61)+$B$3)),INDEX(orderHistory[custom_docs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custom_docs],SMALL(IF(ISNUMBER(MATCH(orderHistory[customer],$D$9,0)*MATCH(orderHistory[status],$D$11,0)),MATCH(ROW(orderHistory[customer]),ROW(orderHistory[customer])),""),ROWS($A$15:A61)+$B$3)),INDEX(orderHistory[custom_docs],SMALL(IF(ISNUMBER(MATCH(orderHistory[customer],$D$9,0)*MATCH(orderHistory[status],$D$11,0)*MATCH(YEAR(orderHistory[status]),$D$15,0)),MATCH(ROW(orderHistory[customer]),ROW(orderHistory[customer])),""),ROWS($A$15:A61)+$B$3))),IF($D$15="",INDEX(orderHistory[custom_docs],SMALL(IF(ISNUMBER(MATCH(orderHistory[customer],$D$9,0)*MATCH(orderHistory[status],$D$11,0)*MATCH(orderHistory[order_type],$D$13,0)),MATCH(ROW(orderHistory[customer]),ROW(orderHistory[customer])),""),ROWS($A$15:A61)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AQ56" s="280"/>
      <c r="AR56" s="280" t="s">
        <v>578</v>
      </c>
      <c r="BG56" s="215"/>
      <c r="BK56" s="296"/>
      <c r="BL56" s="297"/>
      <c r="BM56" s="298"/>
      <c r="BN56" s="297"/>
      <c r="BO56" s="298"/>
      <c r="BZ56" s="414"/>
      <c r="CA56" s="401" t="str">
        <f>IFERROR(IF(BZ56="","",INDEX(bhpc_data[description],MATCH(BZ56,bhpc_data[sku],0))),"")</f>
        <v/>
      </c>
      <c r="CB56" s="403"/>
      <c r="CC56" s="886"/>
      <c r="CD56" s="411"/>
      <c r="CE56" s="890"/>
      <c r="CF56" s="404"/>
      <c r="CG56" s="405" t="str">
        <f>IFERROR(ROUNDUP(CB56/INDEX(bhpc_data[units_per_carton],MATCH(BZ56,bhpc_data[sku],0)),0),"")</f>
        <v/>
      </c>
      <c r="CH56" s="406" t="str">
        <f>IFERROR(ROUNDUP(CD56/INDEX(bhpc_data[units_per_carton],MATCH(BZ56,bhpc_data[sku],0)),0),"")</f>
        <v/>
      </c>
      <c r="CI56" s="406" t="str">
        <f>IFERROR(ROUNDUP(CF56/INDEX(bhpc_data[units_per_carton],MATCH(BZ56,bhpc_data[sku])),0),"")</f>
        <v/>
      </c>
      <c r="CJ56" s="406" t="str">
        <f>IFERROR(((CB56+CD56+CF56)/INDEX(bhpc_data[units_per_carton],MATCH(BZ56,bhpc_data[sku],0)))*INDEX(bhpc_data[net_weight],MATCH(BZ56,bhpc_data[sku],0)),"")</f>
        <v/>
      </c>
      <c r="CK56" s="406" t="str">
        <f>IFERROR(((CB56+CD56+CF56)/INDEX(bhpc_data[units_per_carton],MATCH(BZ56,bhpc_data[sku],0)))*INDEX(bhpc_data[gross_weight],MATCH(BZ56,bhpc_data[sku],0)),"")</f>
        <v/>
      </c>
      <c r="CL56" s="602" t="str">
        <f>IFERROR((CB56+CD56+CF56)/INDEX(bhpc_data[units_per_carton],MATCH(BZ56,bhpc_data[sku],0))*INDEX(bhpc_data[length],MATCH(BZ56,bhpc_data[sku],0))*INDEX(bhpc_data[width],MATCH(BZ56,bhpc_data[sku],0))*INDEX(bhpc_data[height],MATCH(BZ56,bhpc_data[sku],0))/1000000000,"")</f>
        <v/>
      </c>
      <c r="CM56" s="407" t="str">
        <f>IFERROR(INDEX(bhpc_data[category],MATCH(BZ56,bhpc_data[sku],0)),"")</f>
        <v/>
      </c>
      <c r="CN56" s="407" t="str">
        <f>IFERROR(INDEX(bhpc_data[size],MATCH(BZ56,bhpc_data[sku],0)),"")</f>
        <v/>
      </c>
      <c r="CO56" s="408" t="str">
        <f>IFERROR(INDEX(bhpc_data[hs_code],MATCH(BZ56,bhpc_data[sku],0)),"")</f>
        <v/>
      </c>
      <c r="CP56" s="489" t="str">
        <f>IFERROR(INDEX(bhpc_data[sku_geko],MATCH(BZ56,bhpc_data[sku],0)),"")</f>
        <v/>
      </c>
      <c r="CQ56" s="404"/>
      <c r="CR56" s="517" t="str">
        <f>IFERROR(IF(BZ56="","",IF($BX$15="SALE",INDEX(inventory[COSTO UNITARIO],MATCH(BZ56,inventory[SKU],0)),IF($BX$15="SAMPLING",INDEX(inventory[COSTO UNITARIO],MATCH(BZ56,inventory[SKU],0)),""))),"")</f>
        <v/>
      </c>
      <c r="CS56" s="517" t="str">
        <f t="shared" si="7"/>
        <v/>
      </c>
      <c r="CT56" s="896" t="str">
        <f t="shared" si="8"/>
        <v/>
      </c>
      <c r="CU56" s="469" t="str">
        <f t="shared" si="0"/>
        <v/>
      </c>
      <c r="CV56" s="280"/>
      <c r="CW56" s="280"/>
      <c r="CX56" s="280"/>
      <c r="CY56" s="280"/>
      <c r="CZ56" s="280"/>
      <c r="DA56" s="280"/>
      <c r="DB56" s="280" t="str">
        <f>IFERROR(VLOOKUP(BZ56,bhpc_data[],22,FALSE),"")</f>
        <v/>
      </c>
      <c r="EE56" s="445" t="str" cm="1">
        <f t="array" ref="EE56">IFERROR(IF($EC$9="",IF($EC$11="",IF($EC$13="",INDEX(bhpc_data[sku],SMALL(MATCH(ROW(bhpc_data[sku]),ROW(bhpc_data[sku])),ROWS($A$15:A61)+$B$3)),INDEX(bhpc_data[sku],SMALL(IF(ISNUMBER(MATCH(bhpc_data[size],$EC$13,0)),MATCH(ROW(bhpc_data[sku]),ROW(bhpc_data[sku])),""),ROWS($A$15:A61)+$B$3))),IF($EC$13="",INDEX(bhpc_data[sku],SMALL(IF(ISNUMBER(MATCH(bhpc_data[sex],$EC$11,0)),MATCH(ROW(bhpc_data[sku]),ROW(bhpc_data[sku])),""),ROWS($A$15:A61)+$B$3)),INDEX(bhpc_data[sku],SMALL(IF(ISNUMBER(MATCH(bhpc_data[sex],$EC$11,0)*MATCH(bhpc_data[size],$EC$13,0)),MATCH(ROW(bhpc_data[sku]),ROW(bhpc_data[sku])),""),ROWS($A$15:A61)+$B$3)))),IF($EC$11="",IF($EC$13="",INDEX(bhpc_data[sku],SMALL(IF(ISNUMBER(MATCH(bhpc_data[category],$EC$9,0)),MATCH(ROW(bhpc_data[sku]),ROW(bhpc_data[sku])),""),ROWS($A$15:A61)+$B$3)),INDEX(bhpc_data[sku],SMALL(IF(ISNUMBER(MATCH(bhpc_data[category],$EC$9,0)*MATCH(bhpc_data[size],$EC$13,0)),MATCH(ROW(bhpc_data[sku]),ROW(bhpc_data[sku])),""),ROWS($A$15:A61)+$B$3))),IF($EC$13="",INDEX(bhpc_data[sku],SMALL(IF(ISNUMBER(MATCH(bhpc_data[category],$EC$9,0)*MATCH(bhpc_data[sex],$EC$11,0)),MATCH(ROW(bhpc_data[sku]),ROW(bhpc_data[sku])),""),ROWS($A$15:A61)+$B$3)),INDEX(bhpc_data[sku],SMALL(IF(ISNUMBER(MATCH(bhpc_data[category],$EC$9,0)*MATCH(bhpc_data[sex],$EC$11,0)*MATCH(bhpc_data[size],$EC$13,0)),MATCH(ROW(bhpc_data[sku]),ROW(bhpc_data[sku])),""),ROWS($A$15:A61)+$B$3))))),"")</f>
        <v>PT6020</v>
      </c>
      <c r="EF56" s="446" t="str" cm="1">
        <f t="array" ref="EF56">IFERROR(IF($EC$9="",IF($EC$11="",IF($EC$13="",INDEX(bhpc_data[description],SMALL(MATCH(ROW(bhpc_data[sku]),ROW(bhpc_data[sku])),ROWS($A$15:A61)+$B$3)),INDEX(bhpc_data[description],SMALL(IF(ISNUMBER(MATCH(bhpc_data[size],$EC$13,0)),MATCH(ROW(bhpc_data[sku]),ROW(bhpc_data[sku])),""),ROWS($A$15:A61)+$B$3))),IF($EC$13="",INDEX(bhpc_data[description],SMALL(IF(ISNUMBER(MATCH(bhpc_data[sex],$EC$11,0)),MATCH(ROW(bhpc_data[sku]),ROW(bhpc_data[sku])),""),ROWS($A$15:A61)+$B$3)),INDEX(bhpc_data[description],SMALL(IF(ISNUMBER(MATCH(bhpc_data[sex],$EC$11,0)*MATCH(bhpc_data[size],$EC$13,0)),MATCH(ROW(bhpc_data[sku]),ROW(bhpc_data[sku])),""),ROWS($A$15:A61)+$B$3)))),IF($EC$11="",IF($EC$13="",INDEX(bhpc_data[description],SMALL(IF(ISNUMBER(MATCH(bhpc_data[category],$EC$9,0)),MATCH(ROW(bhpc_data[sku]),ROW(bhpc_data[sku])),""),ROWS($A$15:A61)+$B$3)),INDEX(bhpc_data[description],SMALL(IF(ISNUMBER(MATCH(bhpc_data[category],$EC$9,0)*MATCH(bhpc_data[size],$EC$13,0)),MATCH(ROW(bhpc_data[sku]),ROW(bhpc_data[sku])),""),ROWS($A$15:A61)+$B$3))),IF($EC$13="",INDEX(bhpc_data[description],SMALL(IF(ISNUMBER(MATCH(bhpc_data[category],$EC$9,0)*MATCH(bhpc_data[sex],$EC$11,0)),MATCH(ROW(bhpc_data[sku]),ROW(bhpc_data[sku])),""),ROWS($A$15:A61)+$B$3)),INDEX(bhpc_data[description],SMALL(IF(ISNUMBER(MATCH(bhpc_data[category],$EC$9,0)*MATCH(bhpc_data[sex],$EC$11,0)*MATCH(bhpc_data[size],$EC$13,0)),MATCH(ROW(bhpc_data[sku]),ROW(bhpc_data[sku])),""),ROWS($A$15:A61)+$B$3))))),"")</f>
        <v>BHPC TESTERS KNIGHT 100ML EDP MEN</v>
      </c>
      <c r="EG56" s="447">
        <f>IFERROR(IF('BHPC MANAGER'!$EE56="","",INDEX(inventory[ESISTENZA],MATCH('BHPC MANAGER'!$EE56,inventory[SKU],0))),0)</f>
        <v>0</v>
      </c>
      <c r="EH56" s="448" t="s">
        <v>861</v>
      </c>
      <c r="EI56" s="448">
        <f t="shared" si="1"/>
        <v>0</v>
      </c>
      <c r="EJ56" s="449" t="s">
        <v>861</v>
      </c>
      <c r="EK56" s="450">
        <f t="shared" si="2"/>
        <v>0</v>
      </c>
      <c r="EO56" s="215" t="str">
        <f t="array" ref="EO56">IFERROR(INDEX(orderHistory[order_no],SMALL(IF(ISNUMBER(MATCH(orderHistory[status],$EO$7,0)),MATCH(ROW(orderHistory[order_no]),ROW(orderHistory[order_no])),""),ROWS($A$15:A61))),"")</f>
        <v/>
      </c>
    </row>
    <row r="57" spans="10:145" ht="15" customHeight="1" x14ac:dyDescent="0.35">
      <c r="L57" s="381" t="str">
        <f t="array" ref="L57">IFERROR(IF($D$9="",IF($D$11="",IF($D$13="",IF($D$15="",INDEX(orderHistory[customer],SMALL(MATCH(ROW(orderHistory[customer]),ROW(orderHistory[customer])),ROWS($A$15:A62)+$B$3)),INDEX(orderHistory[customer],SMALL(IF(ISNUMBER(MATCH(YEAR(orderHistory[invoice_date]),$D$15,0)),MATCH(ROW(orderHistory[customer]),ROW(orderHistory[customer])),""),ROWS($A$15:A62)+$B$3))),IF($D$15="",INDEX(orderHistory[customer],SMALL(IF(ISNUMBER(MATCH(orderHistory[order_type],$D$13,0)),MATCH(ROW(orderHistory[customer]),ROW(orderHistory[customer])),""),ROWS($A$15:A62)+$B$3)),INDEX(orderHistory[customer],SMALL(IF(ISNUMBER(MATCH(orderHistory[order_type],$D$13,0)*MATCH(YEAR(orderHistory[invoice_date]),$D$15,0)),MATCH(ROW(orderHistory[customer]),ROW(orderHistory[customer])),""),ROWS($A$15:A62)+$B$3)))),IF($D$13="",IF($D$15="",INDEX(orderHistory[customer],SMALL(IF(ISNUMBER(MATCH(orderHistory[status],$D$11,0)),MATCH(ROW(orderHistory[customer]),ROW(orderHistory[customer])),""),ROWS($A$15:A62)+$B$3)),INDEX(orderHistory[customer],SMALL(IF(ISNUMBER(MATCH(orderHistory[status],$D$11,0)*MATCH(YEAR(orderHistory[invoice_date]),$D$15,0)),MATCH(ROW(orderHistory[customer]),ROW(orderHistory[customer])),""),ROWS($A$15:A62)+$B$3))),IF($D$15="",INDEX(orderHistory[customer],SMALL(IF(ISNUMBER(MATCH(orderHistory[status],$D$11,0)*MATCH(orderHistory[order_type],$D$13,0)),MATCH(ROW(orderHistory[customer]),ROW(orderHistory[customer])),""),ROWS($A$15:A62)+$B$3)),INDEX(orderHistory[customer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customer],SMALL(IF(ISNUMBER(MATCH(orderHistory[customer],$D$9,0)),MATCH(ROW(orderHistory[customer]),ROW(orderHistory[customer])),""),ROWS($A$15:A62)+$B$3)),INDEX(orderHistory[customer],SMALL(IF(ISNUMBER(MATCH(orderHistory[customer],$D$9,0)*MATCH(YEAR(orderHistory[invoice_date]),$D$15,0)),MATCH(ROW(orderHistory[customer]),ROW(orderHistory[customer])),""),ROWS($A$15:A62)+$B$3))),IF($D$15="",INDEX(orderHistory[customer],SMALL(IF(ISNUMBER(MATCH(orderHistory[customer],$D$9,0)*MATCH(orderHistory[order_type],$D$13,0)),MATCH(ROW(orderHistory[customer]),ROW(orderHistory[customer])),""),ROWS($A$15:A62)+$B$3)),INDEX(orderHistory[customer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customer],SMALL(IF(ISNUMBER(MATCH(orderHistory[customer],$D$9,0)*MATCH(orderHistory[status],$D$11,0)),MATCH(ROW(orderHistory[customer]),ROW(orderHistory[customer])),""),ROWS($A$15:A62)+$B$3)),INDEX(orderHistory[customer],SMALL(IF(ISNUMBER(MATCH(orderHistory[customer],$D$9,0)*MATCH(orderHistory[status],$D$11,0)*MATCH(YEAR(orderHistory[invoice_date]),$D$15,0)),MATCH(ROW(orderHistory[customer]),ROW(orderHistory[customer])),""),ROWS($A$15:A62)+$B$3))),IF($D$15="",INDEX(orderHistory[customer],SMALL(IF(ISNUMBER(MATCH(orderHistory[customer],$D$9,0)*MATCH(orderHistory[status],$D$11,0)*MATCH(orderHistory[order_type],$D$13,0)),MATCH(ROW(orderHistory[customer]),ROW(orderHistory[customer])),""),ROWS($A$15:A62)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M57" s="382" t="str">
        <f t="array" ref="M57">IFERROR(IF($D$9="",IF($D$11="",IF($D$13="",IF($D$15="",INDEX(orderHistory[order_no],SMALL(MATCH(ROW(orderHistory[customer]),ROW(orderHistory[customer])),ROWS($A$15:A62)+$B$3)),INDEX(orderHistory[order_no],SMALL(IF(ISNUMBER(MATCH(YEAR(orderHistory[invoice_date]),$D$15,0)),MATCH(ROW(orderHistory[customer]),ROW(orderHistory[customer])),""),ROWS($A$15:A62)+$B$3))),IF($D$15="",INDEX(orderHistory[order_no],SMALL(IF(ISNUMBER(MATCH(orderHistory[order_type],$D$13,0)),MATCH(ROW(orderHistory[customer]),ROW(orderHistory[customer])),""),ROWS($A$15:A62)+$B$3)),INDEX(orderHistory[order_no],SMALL(IF(ISNUMBER(MATCH(orderHistory[order_type],$D$13,0)*MATCH(YEAR(orderHistory[invoice_date]),$D$15,0)),MATCH(ROW(orderHistory[customer]),ROW(orderHistory[customer])),""),ROWS($A$15:A62)+$B$3)))),IF($D$13="",IF($D$15="",INDEX(orderHistory[order_no],SMALL(IF(ISNUMBER(MATCH(orderHistory[status],$D$11,0)),MATCH(ROW(orderHistory[customer]),ROW(orderHistory[customer])),""),ROWS($A$15:A62)+$B$3)),INDEX(orderHistory[order_no],SMALL(IF(ISNUMBER(MATCH(orderHistory[status],$D$11,0)*MATCH(YEAR(orderHistory[invoice_date]),$D$15,0)),MATCH(ROW(orderHistory[customer]),ROW(orderHistory[customer])),""),ROWS($A$15:A62)+$B$3))),IF($D$15="",INDEX(orderHistory[order_no],SMALL(IF(ISNUMBER(MATCH(orderHistory[status],$D$11,0)*MATCH(orderHistory[order_type],$D$13,0)),MATCH(ROW(orderHistory[customer]),ROW(orderHistory[customer])),""),ROWS($A$15:A62)+$B$3)),INDEX(orderHistory[order_no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order_no],SMALL(IF(ISNUMBER(MATCH(orderHistory[customer],$D$9,0)),MATCH(ROW(orderHistory[customer]),ROW(orderHistory[customer])),""),ROWS($A$15:A62)+$B$3)),INDEX(orderHistory[order_no],SMALL(IF(ISNUMBER(MATCH(orderHistory[customer],$D$9,0)*MATCH(YEAR(orderHistory[invoice_date]),$D$15,0)),MATCH(ROW(orderHistory[customer]),ROW(orderHistory[customer])),""),ROWS($A$15:A62)+$B$3))),IF($D$15="",INDEX(orderHistory[order_no],SMALL(IF(ISNUMBER(MATCH(orderHistory[customer],$D$9,0)*MATCH(orderHistory[order_type],$D$13,0)),MATCH(ROW(orderHistory[customer]),ROW(orderHistory[customer])),""),ROWS($A$15:A62)+$B$3)),INDEX(orderHistory[order_no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order_no],SMALL(IF(ISNUMBER(MATCH(orderHistory[customer],$D$9,0)*MATCH(orderHistory[status],$D$11,0)),MATCH(ROW(orderHistory[customer]),ROW(orderHistory[customer])),""),ROWS($A$15:A62)+$B$3)),INDEX(orderHistory[order_no],SMALL(IF(ISNUMBER(MATCH(orderHistory[customer],$D$9,0)*MATCH(orderHistory[status],$D$11,0)*MATCH(YEAR(orderHistory[invoice_date]),$D$15,0)),MATCH(ROW(orderHistory[customer]),ROW(orderHistory[customer])),""),ROWS($A$15:A62)+$B$3))),IF($D$15="",INDEX(orderHistory[order_no],SMALL(IF(ISNUMBER(MATCH(orderHistory[customer],$D$9,0)*MATCH(orderHistory[status],$D$11,0)*MATCH(orderHistory[order_type],$D$13,0)),MATCH(ROW(orderHistory[customer]),ROW(orderHistory[customer])),""),ROWS($A$15:A62)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N57" s="383" t="str">
        <f t="array" ref="N57">IFERROR(IF($D$9="",IF($D$11="",IF($D$13="",IF($D$15="",INDEX(orderHistory[order_type],SMALL(MATCH(ROW(orderHistory[customer]),ROW(orderHistory[customer])),ROWS($A$15:A62)+$B$3)),INDEX(orderHistory[order_type],SMALL(IF(ISNUMBER(MATCH(YEAR(orderHistory[invoice_date]),$D$15,0)),MATCH(ROW(orderHistory[customer]),ROW(orderHistory[customer])),""),ROWS($A$15:A62)+$B$3))),IF($D$15="",INDEX(orderHistory[order_type],SMALL(IF(ISNUMBER(MATCH(orderHistory[order_type],$D$13,0)),MATCH(ROW(orderHistory[customer]),ROW(orderHistory[customer])),""),ROWS($A$15:A62)+$B$3)),INDEX(orderHistory[order_type],SMALL(IF(ISNUMBER(MATCH(orderHistory[order_type],$D$13,0)*MATCH(YEAR(orderHistory[invoice_date]),$D$15,0)),MATCH(ROW(orderHistory[customer]),ROW(orderHistory[customer])),""),ROWS($A$15:A62)+$B$3)))),IF($D$13="",IF($D$15="",INDEX(orderHistory[order_type],SMALL(IF(ISNUMBER(MATCH(orderHistory[status],$D$11,0)),MATCH(ROW(orderHistory[customer]),ROW(orderHistory[customer])),""),ROWS($A$15:A62)+$B$3)),INDEX(orderHistory[order_type],SMALL(IF(ISNUMBER(MATCH(orderHistory[status],$D$11,0)*MATCH(YEAR(orderHistory[invoice_date]),$D$15,0)),MATCH(ROW(orderHistory[customer]),ROW(orderHistory[customer])),""),ROWS($A$15:A62)+$B$3))),IF($D$15="",INDEX(orderHistory[order_type],SMALL(IF(ISNUMBER(MATCH(orderHistory[status],$D$11,0)*MATCH(orderHistory[order_type],$D$13,0)),MATCH(ROW(orderHistory[customer]),ROW(orderHistory[customer])),""),ROWS($A$15:A62)+$B$3)),INDEX(orderHistory[order_type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order_type],SMALL(IF(ISNUMBER(MATCH(orderHistory[customer],$D$9,0)),MATCH(ROW(orderHistory[customer]),ROW(orderHistory[customer])),""),ROWS($A$15:A62)+$B$3)),INDEX(orderHistory[order_type],SMALL(IF(ISNUMBER(MATCH(orderHistory[customer],$D$9,0)*MATCH(YEAR(orderHistory[invoice_date]),$D$15,0)),MATCH(ROW(orderHistory[customer]),ROW(orderHistory[customer])),""),ROWS($A$15:A62)+$B$3))),IF($D$15="",INDEX(orderHistory[order_type],SMALL(IF(ISNUMBER(MATCH(orderHistory[customer],$D$9,0)*MATCH(orderHistory[order_type],$D$13,0)),MATCH(ROW(orderHistory[customer]),ROW(orderHistory[customer])),""),ROWS($A$15:A62)+$B$3)),INDEX(orderHistory[order_type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order_type],SMALL(IF(ISNUMBER(MATCH(orderHistory[customer],$D$9,0)*MATCH(orderHistory[status],$D$11,0)),MATCH(ROW(orderHistory[customer]),ROW(orderHistory[customer])),""),ROWS($A$15:A62)+$B$3)),INDEX(orderHistory[order_type],SMALL(IF(ISNUMBER(MATCH(orderHistory[customer],$D$9,0)*MATCH(orderHistory[status],$D$11,0)*MATCH(YEAR(orderHistory[invoice_date]),$D$15,0)),MATCH(ROW(orderHistory[customer]),ROW(orderHistory[customer])),""),ROWS($A$15:A62)+$B$3))),IF($D$15="",INDEX(orderHistory[order_type],SMALL(IF(ISNUMBER(MATCH(orderHistory[customer],$D$9,0)*MATCH(orderHistory[status],$D$11,0)*MATCH(orderHistory[order_type],$D$13,0)),MATCH(ROW(orderHistory[customer]),ROW(orderHistory[customer])),""),ROWS($A$15:A62)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O57" s="384" t="str">
        <f t="array" ref="O57">IFERROR(IF($D$9="",IF($D$11="",IF($D$13="",IF($D$15="",INDEX(orderHistory[order_date],SMALL(MATCH(ROW(orderHistory[customer]),ROW(orderHistory[customer])),ROWS($A$15:A62)+$B$3)),INDEX(orderHistory[order_date],SMALL(IF(ISNUMBER(MATCH(YEAR(orderHistory[invoice_date]),$D$15,0)),MATCH(ROW(orderHistory[customer]),ROW(orderHistory[customer])),""),ROWS($A$15:A62)+$B$3))),IF($D$15="",INDEX(orderHistory[order_date],SMALL(IF(ISNUMBER(MATCH(orderHistory[order_type],$D$13,0)),MATCH(ROW(orderHistory[customer]),ROW(orderHistory[customer])),""),ROWS($A$15:A62)+$B$3)),INDEX(orderHistory[order_date],SMALL(IF(ISNUMBER(MATCH(orderHistory[order_type],$D$13,0)*MATCH(YEAR(orderHistory[invoice_date]),$D$15,0)),MATCH(ROW(orderHistory[customer]),ROW(orderHistory[customer])),""),ROWS($A$15:A62)+$B$3)))),IF($D$13="",IF($D$15="",INDEX(orderHistory[order_date],SMALL(IF(ISNUMBER(MATCH(orderHistory[status],$D$11,0)),MATCH(ROW(orderHistory[customer]),ROW(orderHistory[customer])),""),ROWS($A$15:A62)+$B$3)),INDEX(orderHistory[order_date],SMALL(IF(ISNUMBER(MATCH(orderHistory[status],$D$11,0)*MATCH(YEAR(orderHistory[invoice_date]),$D$15,0)),MATCH(ROW(orderHistory[customer]),ROW(orderHistory[customer])),""),ROWS($A$15:A62)+$B$3))),IF($D$15="",INDEX(orderHistory[order_date],SMALL(IF(ISNUMBER(MATCH(orderHistory[status],$D$11,0)*MATCH(orderHistory[order_type],$D$13,0)),MATCH(ROW(orderHistory[customer]),ROW(orderHistory[customer])),""),ROWS($A$15:A62)+$B$3)),INDEX(orderHistory[order_date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order_date],SMALL(IF(ISNUMBER(MATCH(orderHistory[customer],$D$9,0)),MATCH(ROW(orderHistory[customer]),ROW(orderHistory[customer])),""),ROWS($A$15:A62)+$B$3)),INDEX(orderHistory[order_date],SMALL(IF(ISNUMBER(MATCH(orderHistory[customer],$D$9,0)*MATCH(YEAR(orderHistory[invoice_date]),$D$15,0)),MATCH(ROW(orderHistory[customer]),ROW(orderHistory[customer])),""),ROWS($A$15:A62)+$B$3))),IF($D$15="",INDEX(orderHistory[order_date],SMALL(IF(ISNUMBER(MATCH(orderHistory[customer],$D$9,0)*MATCH(orderHistory[order_type],$D$13,0)),MATCH(ROW(orderHistory[customer]),ROW(orderHistory[customer])),""),ROWS($A$15:A62)+$B$3)),INDEX(orderHistory[order_date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order_date],SMALL(IF(ISNUMBER(MATCH(orderHistory[customer],$D$9,0)*MATCH(orderHistory[status],$D$11,0)),MATCH(ROW(orderHistory[customer]),ROW(orderHistory[customer])),""),ROWS($A$15:A62)+$B$3)),INDEX(orderHistory[order_date],SMALL(IF(ISNUMBER(MATCH(orderHistory[customer],$D$9,0)*MATCH(orderHistory[status],$D$11,0)*MATCH(YEAR(orderHistory[invoice_date]),$D$15,0)),MATCH(ROW(orderHistory[customer]),ROW(orderHistory[customer])),""),ROWS($A$15:A62)+$B$3))),IF($D$15="",INDEX(orderHistory[order_date],SMALL(IF(ISNUMBER(MATCH(orderHistory[customer],$D$9,0)*MATCH(orderHistory[status],$D$11,0)*MATCH(orderHistory[order_type],$D$13,0)),MATCH(ROW(orderHistory[customer]),ROW(orderHistory[customer])),""),ROWS($A$15:A62)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P57" s="385" t="str">
        <f t="array" ref="P57">IFERROR(IF($D$9="",IF($D$11="",IF($D$13="",IF($D$15="",INDEX(orderHistory[invoice_no],SMALL(MATCH(ROW(orderHistory[customer]),ROW(orderHistory[customer])),ROWS($A$15:A62)+$B$3)),INDEX(orderHistory[invoice_no],SMALL(IF(ISNUMBER(MATCH(YEAR(orderHistory[invoice_date]),$D$15,0)),MATCH(ROW(orderHistory[customer]),ROW(orderHistory[customer])),""),ROWS($A$15:A62)+$B$3))),IF($D$15="",INDEX(orderHistory[invoice_no],SMALL(IF(ISNUMBER(MATCH(orderHistory[order_type],$D$13,0)),MATCH(ROW(orderHistory[customer]),ROW(orderHistory[customer])),""),ROWS($A$15:A62)+$B$3)),INDEX(orderHistory[invoice_no],SMALL(IF(ISNUMBER(MATCH(orderHistory[order_type],$D$13,0)*MATCH(YEAR(orderHistory[invoice_date]),$D$15,0)),MATCH(ROW(orderHistory[customer]),ROW(orderHistory[customer])),""),ROWS($A$15:A62)+$B$3)))),IF($D$13="",IF($D$15="",INDEX(orderHistory[invoice_no],SMALL(IF(ISNUMBER(MATCH(orderHistory[status],$D$11,0)),MATCH(ROW(orderHistory[customer]),ROW(orderHistory[customer])),""),ROWS($A$15:A62)+$B$3)),INDEX(orderHistory[invoice_no],SMALL(IF(ISNUMBER(MATCH(orderHistory[status],$D$11,0)*MATCH(YEAR(orderHistory[invoice_date]),$D$15,0)),MATCH(ROW(orderHistory[customer]),ROW(orderHistory[customer])),""),ROWS($A$15:A62)+$B$3))),IF($D$15="",INDEX(orderHistory[invoice_no],SMALL(IF(ISNUMBER(MATCH(orderHistory[status],$D$11,0)*MATCH(orderHistory[order_type],$D$13,0)),MATCH(ROW(orderHistory[customer]),ROW(orderHistory[customer])),""),ROWS($A$15:A62)+$B$3)),INDEX(orderHistory[invoice_no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invoice_no],SMALL(IF(ISNUMBER(MATCH(orderHistory[customer],$D$9,0)),MATCH(ROW(orderHistory[customer]),ROW(orderHistory[customer])),""),ROWS($A$15:A62)+$B$3)),INDEX(orderHistory[invoice_no],SMALL(IF(ISNUMBER(MATCH(orderHistory[customer],$D$9,0)*MATCH(YEAR(orderHistory[invoice_date]),$D$15,0)),MATCH(ROW(orderHistory[customer]),ROW(orderHistory[customer])),""),ROWS($A$15:A62)+$B$3))),IF($D$15="",INDEX(orderHistory[invoice_no],SMALL(IF(ISNUMBER(MATCH(orderHistory[customer],$D$9,0)*MATCH(orderHistory[order_type],$D$13,0)),MATCH(ROW(orderHistory[customer]),ROW(orderHistory[customer])),""),ROWS($A$15:A62)+$B$3)),INDEX(orderHistory[invoice_no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invoice_no],SMALL(IF(ISNUMBER(MATCH(orderHistory[customer],$D$9,0)*MATCH(orderHistory[status],$D$11,0)),MATCH(ROW(orderHistory[customer]),ROW(orderHistory[customer])),""),ROWS($A$15:A62)+$B$3)),INDEX(orderHistory[invoice_no],SMALL(IF(ISNUMBER(MATCH(orderHistory[customer],$D$9,0)*MATCH(orderHistory[status],$D$11,0)*MATCH(YEAR(orderHistory[invoice_date]),$D$15,0)),MATCH(ROW(orderHistory[customer]),ROW(orderHistory[customer])),""),ROWS($A$15:A62)+$B$3))),IF($D$15="",INDEX(orderHistory[invoice_no],SMALL(IF(ISNUMBER(MATCH(orderHistory[customer],$D$9,0)*MATCH(orderHistory[status],$D$11,0)*MATCH(orderHistory[order_type],$D$13,0)),MATCH(ROW(orderHistory[customer]),ROW(orderHistory[customer])),""),ROWS($A$15:A62)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Q57" s="386" t="str">
        <f t="array" ref="Q57">IFERROR(IF($D$9="",IF($D$11="",IF($D$13="",IF($D$15="",INDEX(orderHistory[invoice_date],SMALL(MATCH(ROW(orderHistory[customer]),ROW(orderHistory[customer])),ROWS($A$15:A62)+$B$3)),INDEX(orderHistory[invoice_date],SMALL(IF(ISNUMBER(MATCH(YEAR(orderHistory[invoice_date]),$D$15,0)),MATCH(ROW(orderHistory[customer]),ROW(orderHistory[customer])),""),ROWS($A$15:A62)+$B$3))),IF($D$15="",INDEX(orderHistory[invoice_date],SMALL(IF(ISNUMBER(MATCH(orderHistory[order_type],$D$13,0)),MATCH(ROW(orderHistory[customer]),ROW(orderHistory[customer])),""),ROWS($A$15:A62)+$B$3)),INDEX(orderHistory[invoice_date],SMALL(IF(ISNUMBER(MATCH(orderHistory[order_type],$D$13,0)*MATCH(YEAR(orderHistory[invoice_date]),$D$15,0)),MATCH(ROW(orderHistory[customer]),ROW(orderHistory[customer])),""),ROWS($A$15:A62)+$B$3)))),IF($D$13="",IF($D$15="",INDEX(orderHistory[invoice_date],SMALL(IF(ISNUMBER(MATCH(orderHistory[status],$D$11,0)),MATCH(ROW(orderHistory[customer]),ROW(orderHistory[customer])),""),ROWS($A$15:A62)+$B$3)),INDEX(orderHistory[invoice_date],SMALL(IF(ISNUMBER(MATCH(orderHistory[status],$D$11,0)*MATCH(YEAR(orderHistory[invoice_date]),$D$15,0)),MATCH(ROW(orderHistory[customer]),ROW(orderHistory[customer])),""),ROWS($A$15:A62)+$B$3))),IF($D$15="",INDEX(orderHistory[invoice_date],SMALL(IF(ISNUMBER(MATCH(orderHistory[status],$D$11,0)*MATCH(orderHistory[order_type],$D$13,0)),MATCH(ROW(orderHistory[customer]),ROW(orderHistory[customer])),""),ROWS($A$15:A62)+$B$3)),INDEX(orderHistory[invoice_date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invoice_date],SMALL(IF(ISNUMBER(MATCH(orderHistory[customer],$D$9,0)),MATCH(ROW(orderHistory[customer]),ROW(orderHistory[customer])),""),ROWS($A$15:A62)+$B$3)),INDEX(orderHistory[invoice_date],SMALL(IF(ISNUMBER(MATCH(orderHistory[customer],$D$9,0)*MATCH(YEAR(orderHistory[invoice_date]),$D$15,0)),MATCH(ROW(orderHistory[customer]),ROW(orderHistory[customer])),""),ROWS($A$15:A62)+$B$3))),IF($D$15="",INDEX(orderHistory[invoice_date],SMALL(IF(ISNUMBER(MATCH(orderHistory[customer],$D$9,0)*MATCH(orderHistory[order_type],$D$13,0)),MATCH(ROW(orderHistory[customer]),ROW(orderHistory[customer])),""),ROWS($A$15:A62)+$B$3)),INDEX(orderHistory[invoice_date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invoice_date],SMALL(IF(ISNUMBER(MATCH(orderHistory[customer],$D$9,0)*MATCH(orderHistory[status],$D$11,0)),MATCH(ROW(orderHistory[customer]),ROW(orderHistory[customer])),""),ROWS($A$15:A62)+$B$3)),INDEX(orderHistory[invoice_date],SMALL(IF(ISNUMBER(MATCH(orderHistory[customer],$D$9,0)*MATCH(orderHistory[status],$D$11,0)*MATCH(YEAR(orderHistory[invoice_date]),$D$15,0)),MATCH(ROW(orderHistory[customer]),ROW(orderHistory[customer])),""),ROWS($A$15:A62)+$B$3))),IF($D$15="",INDEX(orderHistory[invoice_date],SMALL(IF(ISNUMBER(MATCH(orderHistory[customer],$D$9,0)*MATCH(orderHistory[status],$D$11,0)*MATCH(orderHistory[order_type],$D$13,0)),MATCH(ROW(orderHistory[customer]),ROW(orderHistory[customer])),""),ROWS($A$15:A62)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R57" s="387" t="str">
        <f t="array" ref="R57">IFERROR(IF($D$9="",IF($D$11="",IF($D$13="",IF($D$15="",INDEX(orderHistory[inv_amount],SMALL(MATCH(ROW(orderHistory[customer]),ROW(orderHistory[customer])),ROWS($A$15:A62)+$B$3)),INDEX(orderHistory[inv_amount],SMALL(IF(ISNUMBER(MATCH(YEAR(orderHistory[invoice_date]),$D$15,0)),MATCH(ROW(orderHistory[customer]),ROW(orderHistory[customer])),""),ROWS($A$15:A62)+$B$3))),IF($D$15="",INDEX(orderHistory[inv_amount],SMALL(IF(ISNUMBER(MATCH(orderHistory[order_type],$D$13,0)),MATCH(ROW(orderHistory[customer]),ROW(orderHistory[customer])),""),ROWS($A$15:A62)+$B$3)),INDEX(orderHistory[inv_amount],SMALL(IF(ISNUMBER(MATCH(orderHistory[order_type],$D$13,0)*MATCH(YEAR(orderHistory[invoice_date]),$D$15,0)),MATCH(ROW(orderHistory[customer]),ROW(orderHistory[customer])),""),ROWS($A$15:A62)+$B$3)))),IF($D$13="",IF($D$15="",INDEX(orderHistory[inv_amount],SMALL(IF(ISNUMBER(MATCH(orderHistory[status],$D$11,0)),MATCH(ROW(orderHistory[customer]),ROW(orderHistory[customer])),""),ROWS($A$15:A62)+$B$3)),INDEX(orderHistory[inv_amount],SMALL(IF(ISNUMBER(MATCH(orderHistory[status],$D$11,0)*MATCH(YEAR(orderHistory[invoice_date]),$D$15,0)),MATCH(ROW(orderHistory[customer]),ROW(orderHistory[customer])),""),ROWS($A$15:A62)+$B$3))),IF($D$15="",INDEX(orderHistory[inv_amount],SMALL(IF(ISNUMBER(MATCH(orderHistory[status],$D$11,0)*MATCH(orderHistory[order_type],$D$13,0)),MATCH(ROW(orderHistory[customer]),ROW(orderHistory[customer])),""),ROWS($A$15:A62)+$B$3)),INDEX(orderHistory[inv_amount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inv_amount],SMALL(IF(ISNUMBER(MATCH(orderHistory[customer],$D$9,0)),MATCH(ROW(orderHistory[customer]),ROW(orderHistory[customer])),""),ROWS($A$15:A62)+$B$3)),INDEX(orderHistory[inv_amount],SMALL(IF(ISNUMBER(MATCH(orderHistory[customer],$D$9,0)*MATCH(YEAR(orderHistory[invoice_date]),$D$15,0)),MATCH(ROW(orderHistory[customer]),ROW(orderHistory[customer])),""),ROWS($A$15:A62)+$B$3))),IF($D$15="",INDEX(orderHistory[inv_amount],SMALL(IF(ISNUMBER(MATCH(orderHistory[customer],$D$9,0)*MATCH(orderHistory[order_type],$D$13,0)),MATCH(ROW(orderHistory[customer]),ROW(orderHistory[customer])),""),ROWS($A$15:A62)+$B$3)),INDEX(orderHistory[inv_amount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inv_amount],SMALL(IF(ISNUMBER(MATCH(orderHistory[customer],$D$9,0)*MATCH(orderHistory[status],$D$11,0)),MATCH(ROW(orderHistory[customer]),ROW(orderHistory[customer])),""),ROWS($A$15:A62)+$B$3)),INDEX(orderHistory[inv_amount],SMALL(IF(ISNUMBER(MATCH(orderHistory[customer],$D$9,0)*MATCH(orderHistory[status],$D$11,0)*MATCH(YEAR(orderHistory[inv_amount]),$D$15,0)),MATCH(ROW(orderHistory[customer]),ROW(orderHistory[customer])),""),ROWS($A$15:A62)+$B$3))),IF($D$15="",INDEX(orderHistory[inv_amount],SMALL(IF(ISNUMBER(MATCH(orderHistory[customer],$D$9,0)*MATCH(orderHistory[status],$D$11,0)*MATCH(orderHistory[order_type],$D$13,0)),MATCH(ROW(orderHistory[customer]),ROW(orderHistory[customer])),""),ROWS($A$15:A62)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S57" s="465" t="str">
        <f t="array" ref="S57">IFERROR(IF($D$9="",IF($D$11="",IF($D$13="",IF($D$15="",INDEX(orderHistory[lock_goods],SMALL(MATCH(ROW(orderHistory[customer]),ROW(orderHistory[customer])),ROWS($A$15:A62)+$B$3)),INDEX(orderHistory[lock_goods],SMALL(IF(ISNUMBER(MATCH(YEAR(orderHistory[invoice_date]),$D$15,0)),MATCH(ROW(orderHistory[customer]),ROW(orderHistory[customer])),""),ROWS($A$15:A62)+$B$3))),IF($D$15="",INDEX(orderHistory[lock_goods],SMALL(IF(ISNUMBER(MATCH(orderHistory[order_type],$D$13,0)),MATCH(ROW(orderHistory[customer]),ROW(orderHistory[customer])),""),ROWS($A$15:A62)+$B$3)),INDEX(orderHistory[lock_goods],SMALL(IF(ISNUMBER(MATCH(orderHistory[order_type],$D$13,0)*MATCH(YEAR(orderHistory[invoice_date]),$D$15,0)),MATCH(ROW(orderHistory[customer]),ROW(orderHistory[customer])),""),ROWS($A$15:A62)+$B$3)))),IF($D$13="",IF($D$15="",INDEX(orderHistory[lock_goods],SMALL(IF(ISNUMBER(MATCH(orderHistory[status],$D$11,0)),MATCH(ROW(orderHistory[customer]),ROW(orderHistory[customer])),""),ROWS($A$15:A62)+$B$3)),INDEX(orderHistory[lock_goods],SMALL(IF(ISNUMBER(MATCH(orderHistory[status],$D$11,0)*MATCH(YEAR(orderHistory[invoice_date]),$D$15,0)),MATCH(ROW(orderHistory[customer]),ROW(orderHistory[customer])),""),ROWS($A$15:A62)+$B$3))),IF($D$15="",INDEX(orderHistory[lock_goods],SMALL(IF(ISNUMBER(MATCH(orderHistory[status],$D$11,0)*MATCH(orderHistory[order_type],$D$13,0)),MATCH(ROW(orderHistory[customer]),ROW(orderHistory[customer])),""),ROWS($A$15:A62)+$B$3)),INDEX(orderHistory[lock_goods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lock_goods],SMALL(IF(ISNUMBER(MATCH(orderHistory[customer],$D$9,0)),MATCH(ROW(orderHistory[customer]),ROW(orderHistory[customer])),""),ROWS($A$15:A62)+$B$3)),INDEX(orderHistory[lock_goods],SMALL(IF(ISNUMBER(MATCH(orderHistory[customer],$D$9,0)*MATCH(YEAR(orderHistory[invoice_date]),$D$15,0)),MATCH(ROW(orderHistory[customer]),ROW(orderHistory[customer])),""),ROWS($A$15:A62)+$B$3))),IF($D$15="",INDEX(orderHistory[lock_goods],SMALL(IF(ISNUMBER(MATCH(orderHistory[customer],$D$9,0)*MATCH(orderHistory[order_type],$D$13,0)),MATCH(ROW(orderHistory[customer]),ROW(orderHistory[customer])),""),ROWS($A$15:A62)+$B$3)),INDEX(orderHistory[lock_goods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lock_goods],SMALL(IF(ISNUMBER(MATCH(orderHistory[customer],$D$9,0)*MATCH(orderHistory[status],$D$11,0)),MATCH(ROW(orderHistory[customer]),ROW(orderHistory[customer])),""),ROWS($A$15:A62)+$B$3)),INDEX(orderHistory[lock_goods],SMALL(IF(ISNUMBER(MATCH(orderHistory[customer],$D$9,0)*MATCH(orderHistory[status],$D$11,0)*MATCH(YEAR(orderHistory[payed]),$D$15,0)),MATCH(ROW(orderHistory[customer]),ROW(orderHistory[customer])),""),ROWS($A$15:A62)+$B$3))),IF($D$15="",INDEX(orderHistory[lock_goods],SMALL(IF(ISNUMBER(MATCH(orderHistory[customer],$D$9,0)*MATCH(orderHistory[status],$D$11,0)*MATCH(orderHistory[order_type],$D$13,0)),MATCH(ROW(orderHistory[customer]),ROW(orderHistory[customer])),""),ROWS($A$15:A62)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T57" s="388" t="str">
        <f t="array" ref="T57">IFERROR(IF($D$9="",IF($D$11="",IF($D$13="",IF($D$15="",INDEX(orderHistory[payed],SMALL(MATCH(ROW(orderHistory[customer]),ROW(orderHistory[customer])),ROWS($A$15:A62)+$B$3)),INDEX(orderHistory[payed],SMALL(IF(ISNUMBER(MATCH(YEAR(orderHistory[invoice_date]),$D$15,0)),MATCH(ROW(orderHistory[customer]),ROW(orderHistory[customer])),""),ROWS($A$15:A62)+$B$3))),IF($D$15="",INDEX(orderHistory[payed],SMALL(IF(ISNUMBER(MATCH(orderHistory[order_type],$D$13,0)),MATCH(ROW(orderHistory[customer]),ROW(orderHistory[customer])),""),ROWS($A$15:A62)+$B$3)),INDEX(orderHistory[payed],SMALL(IF(ISNUMBER(MATCH(orderHistory[order_type],$D$13,0)*MATCH(YEAR(orderHistory[invoice_date]),$D$15,0)),MATCH(ROW(orderHistory[customer]),ROW(orderHistory[customer])),""),ROWS($A$15:A62)+$B$3)))),IF($D$13="",IF($D$15="",INDEX(orderHistory[payed],SMALL(IF(ISNUMBER(MATCH(orderHistory[status],$D$11,0)),MATCH(ROW(orderHistory[customer]),ROW(orderHistory[customer])),""),ROWS($A$15:A62)+$B$3)),INDEX(orderHistory[payed],SMALL(IF(ISNUMBER(MATCH(orderHistory[status],$D$11,0)*MATCH(YEAR(orderHistory[invoice_date]),$D$15,0)),MATCH(ROW(orderHistory[customer]),ROW(orderHistory[customer])),""),ROWS($A$15:A62)+$B$3))),IF($D$15="",INDEX(orderHistory[payed],SMALL(IF(ISNUMBER(MATCH(orderHistory[status],$D$11,0)*MATCH(orderHistory[order_type],$D$13,0)),MATCH(ROW(orderHistory[customer]),ROW(orderHistory[customer])),""),ROWS($A$15:A62)+$B$3)),INDEX(orderHistory[payed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payed],SMALL(IF(ISNUMBER(MATCH(orderHistory[customer],$D$9,0)),MATCH(ROW(orderHistory[customer]),ROW(orderHistory[customer])),""),ROWS($A$15:A62)+$B$3)),INDEX(orderHistory[payed],SMALL(IF(ISNUMBER(MATCH(orderHistory[customer],$D$9,0)*MATCH(YEAR(orderHistory[invoice_date]),$D$15,0)),MATCH(ROW(orderHistory[customer]),ROW(orderHistory[customer])),""),ROWS($A$15:A62)+$B$3))),IF($D$15="",INDEX(orderHistory[payed],SMALL(IF(ISNUMBER(MATCH(orderHistory[customer],$D$9,0)*MATCH(orderHistory[order_type],$D$13,0)),MATCH(ROW(orderHistory[customer]),ROW(orderHistory[customer])),""),ROWS($A$15:A62)+$B$3)),INDEX(orderHistory[payed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payed],SMALL(IF(ISNUMBER(MATCH(orderHistory[customer],$D$9,0)*MATCH(orderHistory[status],$D$11,0)),MATCH(ROW(orderHistory[customer]),ROW(orderHistory[customer])),""),ROWS($A$15:A62)+$B$3)),INDEX(orderHistory[payed],SMALL(IF(ISNUMBER(MATCH(orderHistory[customer],$D$9,0)*MATCH(orderHistory[status],$D$11,0)*MATCH(YEAR(orderHistory[payed]),$D$15,0)),MATCH(ROW(orderHistory[customer]),ROW(orderHistory[customer])),""),ROWS($A$15:A62)+$B$3))),IF($D$15="",INDEX(orderHistory[payed],SMALL(IF(ISNUMBER(MATCH(orderHistory[customer],$D$9,0)*MATCH(orderHistory[status],$D$11,0)*MATCH(orderHistory[order_type],$D$13,0)),MATCH(ROW(orderHistory[customer]),ROW(orderHistory[customer])),""),ROWS($A$15:A62)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U57" s="383" t="str">
        <f t="array" ref="U57">IFERROR(IF($D$9="",IF($D$11="",IF($D$13="",IF($D$15="",INDEX(orderHistory[shipping_method],SMALL(MATCH(ROW(orderHistory[customer]),ROW(orderHistory[customer])),ROWS($A$15:A62)+$B$3)),INDEX(orderHistory[shipping_method],SMALL(IF(ISNUMBER(MATCH(YEAR(orderHistory[invoice_date]),$D$15,0)),MATCH(ROW(orderHistory[customer]),ROW(orderHistory[customer])),""),ROWS($A$15:A62)+$B$3))),IF($D$15="",INDEX(orderHistory[shipping_method],SMALL(IF(ISNUMBER(MATCH(orderHistory[order_type],$D$13,0)),MATCH(ROW(orderHistory[customer]),ROW(orderHistory[customer])),""),ROWS($A$15:A62)+$B$3)),INDEX(orderHistory[shipping_method],SMALL(IF(ISNUMBER(MATCH(orderHistory[order_type],$D$13,0)*MATCH(YEAR(orderHistory[invoice_date]),$D$15,0)),MATCH(ROW(orderHistory[customer]),ROW(orderHistory[customer])),""),ROWS($A$15:A62)+$B$3)))),IF($D$13="",IF($D$15="",INDEX(orderHistory[shipping_method],SMALL(IF(ISNUMBER(MATCH(orderHistory[status],$D$11,0)),MATCH(ROW(orderHistory[customer]),ROW(orderHistory[customer])),""),ROWS($A$15:A62)+$B$3)),INDEX(orderHistory[shipping_method],SMALL(IF(ISNUMBER(MATCH(orderHistory[status],$D$11,0)*MATCH(YEAR(orderHistory[invoice_date]),$D$15,0)),MATCH(ROW(orderHistory[customer]),ROW(orderHistory[customer])),""),ROWS($A$15:A62)+$B$3))),IF($D$15="",INDEX(orderHistory[shipping_method],SMALL(IF(ISNUMBER(MATCH(orderHistory[status],$D$11,0)*MATCH(orderHistory[order_type],$D$13,0)),MATCH(ROW(orderHistory[customer]),ROW(orderHistory[customer])),""),ROWS($A$15:A62)+$B$3)),INDEX(orderHistory[shipping_method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shipping_method],SMALL(IF(ISNUMBER(MATCH(orderHistory[customer],$D$9,0)),MATCH(ROW(orderHistory[customer]),ROW(orderHistory[customer])),""),ROWS($A$15:A62)+$B$3)),INDEX(orderHistory[shipping_method],SMALL(IF(ISNUMBER(MATCH(orderHistory[customer],$D$9,0)*MATCH(YEAR(orderHistory[invoice_date]),$D$15,0)),MATCH(ROW(orderHistory[customer]),ROW(orderHistory[customer])),""),ROWS($A$15:A62)+$B$3))),IF($D$15="",INDEX(orderHistory[shipping_method],SMALL(IF(ISNUMBER(MATCH(orderHistory[customer],$D$9,0)*MATCH(orderHistory[order_type],$D$13,0)),MATCH(ROW(orderHistory[customer]),ROW(orderHistory[customer])),""),ROWS($A$15:A62)+$B$3)),INDEX(orderHistory[shipping_method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shipping_method],SMALL(IF(ISNUMBER(MATCH(orderHistory[customer],$D$9,0)*MATCH(orderHistory[status],$D$11,0)),MATCH(ROW(orderHistory[customer]),ROW(orderHistory[customer])),""),ROWS($A$15:A62)+$B$3)),INDEX(orderHistory[shipping_method],SMALL(IF(ISNUMBER(MATCH(orderHistory[customer],$D$9,0)*MATCH(orderHistory[status],$D$11,0)*MATCH(YEAR(orderHistory[shipping_method]),$D$15,0)),MATCH(ROW(orderHistory[customer]),ROW(orderHistory[customer])),""),ROWS($A$15:A62)+$B$3))),IF($D$15="",INDEX(orderHistory[shipping_method],SMALL(IF(ISNUMBER(MATCH(orderHistory[customer],$D$9,0)*MATCH(orderHistory[status],$D$11,0)*MATCH(orderHistory[order_type],$D$13,0)),MATCH(ROW(orderHistory[customer]),ROW(orderHistory[customer])),""),ROWS($A$15:A62)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V57" s="388" t="str">
        <f t="array" ref="V57">IFERROR(IF($D$9="",IF($D$11="",IF($D$13="",IF($D$15="",INDEX(orderHistory[status],SMALL(MATCH(ROW(orderHistory[customer]),ROW(orderHistory[customer])),ROWS($A$15:A62)+$B$3)),INDEX(orderHistory[status],SMALL(IF(ISNUMBER(MATCH(YEAR(orderHistory[invoice_date]),$D$15,0)),MATCH(ROW(orderHistory[customer]),ROW(orderHistory[customer])),""),ROWS($A$15:A62)+$B$3))),IF($D$15="",INDEX(orderHistory[status],SMALL(IF(ISNUMBER(MATCH(orderHistory[order_type],$D$13,0)),MATCH(ROW(orderHistory[customer]),ROW(orderHistory[customer])),""),ROWS($A$15:A62)+$B$3)),INDEX(orderHistory[status],SMALL(IF(ISNUMBER(MATCH(orderHistory[order_type],$D$13,0)*MATCH(YEAR(orderHistory[invoice_date]),$D$15,0)),MATCH(ROW(orderHistory[customer]),ROW(orderHistory[customer])),""),ROWS($A$15:A62)+$B$3)))),IF($D$13="",IF($D$15="",INDEX(orderHistory[status],SMALL(IF(ISNUMBER(MATCH(orderHistory[status],$D$11,0)),MATCH(ROW(orderHistory[customer]),ROW(orderHistory[customer])),""),ROWS($A$15:A62)+$B$3)),INDEX(orderHistory[status],SMALL(IF(ISNUMBER(MATCH(orderHistory[status],$D$11,0)*MATCH(YEAR(orderHistory[invoice_date]),$D$15,0)),MATCH(ROW(orderHistory[customer]),ROW(orderHistory[customer])),""),ROWS($A$15:A62)+$B$3))),IF($D$15="",INDEX(orderHistory[status],SMALL(IF(ISNUMBER(MATCH(orderHistory[status],$D$11,0)*MATCH(orderHistory[order_type],$D$13,0)),MATCH(ROW(orderHistory[customer]),ROW(orderHistory[customer])),""),ROWS($A$15:A62)+$B$3)),INDEX(orderHistory[status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status],SMALL(IF(ISNUMBER(MATCH(orderHistory[customer],$D$9,0)),MATCH(ROW(orderHistory[customer]),ROW(orderHistory[customer])),""),ROWS($A$15:A62)+$B$3)),INDEX(orderHistory[status],SMALL(IF(ISNUMBER(MATCH(orderHistory[customer],$D$9,0)*MATCH(YEAR(orderHistory[invoice_date]),$D$15,0)),MATCH(ROW(orderHistory[customer]),ROW(orderHistory[customer])),""),ROWS($A$15:A62)+$B$3))),IF($D$15="",INDEX(orderHistory[status],SMALL(IF(ISNUMBER(MATCH(orderHistory[customer],$D$9,0)*MATCH(orderHistory[order_type],$D$13,0)),MATCH(ROW(orderHistory[customer]),ROW(orderHistory[customer])),""),ROWS($A$15:A62)+$B$3)),INDEX(orderHistory[status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status],SMALL(IF(ISNUMBER(MATCH(orderHistory[customer],$D$9,0)*MATCH(orderHistory[status],$D$11,0)),MATCH(ROW(orderHistory[customer]),ROW(orderHistory[customer])),""),ROWS($A$15:A62)+$B$3)),INDEX(orderHistory[status],SMALL(IF(ISNUMBER(MATCH(orderHistory[customer],$D$9,0)*MATCH(orderHistory[status],$D$11,0)*MATCH(YEAR(orderHistory[status]),$D$15,0)),MATCH(ROW(orderHistory[customer]),ROW(orderHistory[customer])),""),ROWS($A$15:A62)+$B$3))),IF($D$15="",INDEX(orderHistory[status],SMALL(IF(ISNUMBER(MATCH(orderHistory[customer],$D$9,0)*MATCH(orderHistory[status],$D$11,0)*MATCH(orderHistory[order_type],$D$13,0)),MATCH(ROW(orderHistory[customer]),ROW(orderHistory[customer])),""),ROWS($A$15:A62)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W57" s="547" t="str">
        <f t="array" ref="W57">IFERROR(IF($D$9="",IF($D$11="",IF($D$13="",IF($D$15="",INDEX(orderHistory[custom_docs],SMALL(MATCH(ROW(orderHistory[customer]),ROW(orderHistory[customer])),ROWS($A$15:A62)+$B$3)),INDEX(orderHistory[custom_docs],SMALL(IF(ISNUMBER(MATCH(YEAR(orderHistory[invoice_date]),$D$15,0)),MATCH(ROW(orderHistory[customer]),ROW(orderHistory[customer])),""),ROWS($A$15:A62)+$B$3))),IF($D$15="",INDEX(orderHistory[custom_docs],SMALL(IF(ISNUMBER(MATCH(orderHistory[order_type],$D$13,0)),MATCH(ROW(orderHistory[customer]),ROW(orderHistory[customer])),""),ROWS($A$15:A62)+$B$3)),INDEX(orderHistory[custom_docs],SMALL(IF(ISNUMBER(MATCH(orderHistory[order_type],$D$13,0)*MATCH(YEAR(orderHistory[invoice_date]),$D$15,0)),MATCH(ROW(orderHistory[customer]),ROW(orderHistory[customer])),""),ROWS($A$15:A62)+$B$3)))),IF($D$13="",IF($D$15="",INDEX(orderHistory[custom_docs],SMALL(IF(ISNUMBER(MATCH(orderHistory[status],$D$11,0)),MATCH(ROW(orderHistory[customer]),ROW(orderHistory[customer])),""),ROWS($A$15:A62)+$B$3)),INDEX(orderHistory[custom_docs],SMALL(IF(ISNUMBER(MATCH(orderHistory[status],$D$11,0)*MATCH(YEAR(orderHistory[invoice_date]),$D$15,0)),MATCH(ROW(orderHistory[customer]),ROW(orderHistory[customer])),""),ROWS($A$15:A62)+$B$3))),IF($D$15="",INDEX(orderHistory[custom_docs],SMALL(IF(ISNUMBER(MATCH(orderHistory[status],$D$11,0)*MATCH(orderHistory[order_type],$D$13,0)),MATCH(ROW(orderHistory[customer]),ROW(orderHistory[customer])),""),ROWS($A$15:A62)+$B$3)),INDEX(orderHistory[custom_docs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custom_docs],SMALL(IF(ISNUMBER(MATCH(orderHistory[customer],$D$9,0)),MATCH(ROW(orderHistory[customer]),ROW(orderHistory[customer])),""),ROWS($A$15:A62)+$B$3)),INDEX(orderHistory[custom_docs],SMALL(IF(ISNUMBER(MATCH(orderHistory[customer],$D$9,0)*MATCH(YEAR(orderHistory[invoice_date]),$D$15,0)),MATCH(ROW(orderHistory[customer]),ROW(orderHistory[customer])),""),ROWS($A$15:A62)+$B$3))),IF($D$15="",INDEX(orderHistory[custom_docs],SMALL(IF(ISNUMBER(MATCH(orderHistory[customer],$D$9,0)*MATCH(orderHistory[order_type],$D$13,0)),MATCH(ROW(orderHistory[customer]),ROW(orderHistory[customer])),""),ROWS($A$15:A62)+$B$3)),INDEX(orderHistory[custom_docs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custom_docs],SMALL(IF(ISNUMBER(MATCH(orderHistory[customer],$D$9,0)*MATCH(orderHistory[status],$D$11,0)),MATCH(ROW(orderHistory[customer]),ROW(orderHistory[customer])),""),ROWS($A$15:A62)+$B$3)),INDEX(orderHistory[custom_docs],SMALL(IF(ISNUMBER(MATCH(orderHistory[customer],$D$9,0)*MATCH(orderHistory[status],$D$11,0)*MATCH(YEAR(orderHistory[status]),$D$15,0)),MATCH(ROW(orderHistory[customer]),ROW(orderHistory[customer])),""),ROWS($A$15:A62)+$B$3))),IF($D$15="",INDEX(orderHistory[custom_docs],SMALL(IF(ISNUMBER(MATCH(orderHistory[customer],$D$9,0)*MATCH(orderHistory[status],$D$11,0)*MATCH(orderHistory[order_type],$D$13,0)),MATCH(ROW(orderHistory[customer]),ROW(orderHistory[customer])),""),ROWS($A$15:A62)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AQ57" s="280"/>
      <c r="AR57" s="280" t="s">
        <v>579</v>
      </c>
      <c r="BG57" s="215"/>
      <c r="BK57" s="296"/>
      <c r="BL57" s="297"/>
      <c r="BM57" s="298"/>
      <c r="BN57" s="297"/>
      <c r="BO57" s="298"/>
      <c r="BZ57" s="414"/>
      <c r="CA57" s="401" t="str">
        <f>IFERROR(IF(BZ57="","",INDEX(bhpc_data[description],MATCH(BZ57,bhpc_data[sku],0))),"")</f>
        <v/>
      </c>
      <c r="CB57" s="403"/>
      <c r="CC57" s="886"/>
      <c r="CD57" s="411"/>
      <c r="CE57" s="890"/>
      <c r="CF57" s="404"/>
      <c r="CG57" s="405" t="str">
        <f>IFERROR(ROUNDUP(CB57/INDEX(bhpc_data[units_per_carton],MATCH(BZ57,bhpc_data[sku],0)),0),"")</f>
        <v/>
      </c>
      <c r="CH57" s="406" t="str">
        <f>IFERROR(ROUNDUP(CD57/INDEX(bhpc_data[units_per_carton],MATCH(BZ57,bhpc_data[sku],0)),0),"")</f>
        <v/>
      </c>
      <c r="CI57" s="406" t="str">
        <f>IFERROR(ROUNDUP(CF57/INDEX(bhpc_data[units_per_carton],MATCH(BZ57,bhpc_data[sku])),0),"")</f>
        <v/>
      </c>
      <c r="CJ57" s="406" t="str">
        <f>IFERROR(((CB57+CD57+CF57)/INDEX(bhpc_data[units_per_carton],MATCH(BZ57,bhpc_data[sku],0)))*INDEX(bhpc_data[net_weight],MATCH(BZ57,bhpc_data[sku],0)),"")</f>
        <v/>
      </c>
      <c r="CK57" s="406" t="str">
        <f>IFERROR(((CB57+CD57+CF57)/INDEX(bhpc_data[units_per_carton],MATCH(BZ57,bhpc_data[sku],0)))*INDEX(bhpc_data[gross_weight],MATCH(BZ57,bhpc_data[sku],0)),"")</f>
        <v/>
      </c>
      <c r="CL57" s="602" t="str">
        <f>IFERROR((CB57+CD57+CF57)/INDEX(bhpc_data[units_per_carton],MATCH(BZ57,bhpc_data[sku],0))*INDEX(bhpc_data[length],MATCH(BZ57,bhpc_data[sku],0))*INDEX(bhpc_data[width],MATCH(BZ57,bhpc_data[sku],0))*INDEX(bhpc_data[height],MATCH(BZ57,bhpc_data[sku],0))/1000000000,"")</f>
        <v/>
      </c>
      <c r="CM57" s="407" t="str">
        <f>IFERROR(INDEX(bhpc_data[category],MATCH(BZ57,bhpc_data[sku],0)),"")</f>
        <v/>
      </c>
      <c r="CN57" s="407" t="str">
        <f>IFERROR(INDEX(bhpc_data[size],MATCH(BZ57,bhpc_data[sku],0)),"")</f>
        <v/>
      </c>
      <c r="CO57" s="408" t="str">
        <f>IFERROR(INDEX(bhpc_data[hs_code],MATCH(BZ57,bhpc_data[sku],0)),"")</f>
        <v/>
      </c>
      <c r="CP57" s="489" t="str">
        <f>IFERROR(INDEX(bhpc_data[sku_geko],MATCH(BZ57,bhpc_data[sku],0)),"")</f>
        <v/>
      </c>
      <c r="CQ57" s="404"/>
      <c r="CR57" s="517" t="str">
        <f>IFERROR(IF(BZ57="","",IF($BX$15="SALE",INDEX(inventory[COSTO UNITARIO],MATCH(BZ57,inventory[SKU],0)),IF($BX$15="SAMPLING",INDEX(inventory[COSTO UNITARIO],MATCH(BZ57,inventory[SKU],0)),""))),"")</f>
        <v/>
      </c>
      <c r="CS57" s="517" t="str">
        <f t="shared" si="7"/>
        <v/>
      </c>
      <c r="CT57" s="896" t="str">
        <f t="shared" si="8"/>
        <v/>
      </c>
      <c r="CU57" s="469" t="str">
        <f t="shared" si="0"/>
        <v/>
      </c>
      <c r="DB57" s="280" t="str">
        <f>IFERROR(VLOOKUP(BZ57,bhpc_data[],22,FALSE),"")</f>
        <v/>
      </c>
      <c r="EE57" s="439" t="str" cm="1">
        <f t="array" ref="EE57">IFERROR(IF($EC$9="",IF($EC$11="",IF($EC$13="",INDEX(bhpc_data[sku],SMALL(MATCH(ROW(bhpc_data[sku]),ROW(bhpc_data[sku])),ROWS($A$15:A62)+$B$3)),INDEX(bhpc_data[sku],SMALL(IF(ISNUMBER(MATCH(bhpc_data[size],$EC$13,0)),MATCH(ROW(bhpc_data[sku]),ROW(bhpc_data[sku])),""),ROWS($A$15:A62)+$B$3))),IF($EC$13="",INDEX(bhpc_data[sku],SMALL(IF(ISNUMBER(MATCH(bhpc_data[sex],$EC$11,0)),MATCH(ROW(bhpc_data[sku]),ROW(bhpc_data[sku])),""),ROWS($A$15:A62)+$B$3)),INDEX(bhpc_data[sku],SMALL(IF(ISNUMBER(MATCH(bhpc_data[sex],$EC$11,0)*MATCH(bhpc_data[size],$EC$13,0)),MATCH(ROW(bhpc_data[sku]),ROW(bhpc_data[sku])),""),ROWS($A$15:A62)+$B$3)))),IF($EC$11="",IF($EC$13="",INDEX(bhpc_data[sku],SMALL(IF(ISNUMBER(MATCH(bhpc_data[category],$EC$9,0)),MATCH(ROW(bhpc_data[sku]),ROW(bhpc_data[sku])),""),ROWS($A$15:A62)+$B$3)),INDEX(bhpc_data[sku],SMALL(IF(ISNUMBER(MATCH(bhpc_data[category],$EC$9,0)*MATCH(bhpc_data[size],$EC$13,0)),MATCH(ROW(bhpc_data[sku]),ROW(bhpc_data[sku])),""),ROWS($A$15:A62)+$B$3))),IF($EC$13="",INDEX(bhpc_data[sku],SMALL(IF(ISNUMBER(MATCH(bhpc_data[category],$EC$9,0)*MATCH(bhpc_data[sex],$EC$11,0)),MATCH(ROW(bhpc_data[sku]),ROW(bhpc_data[sku])),""),ROWS($A$15:A62)+$B$3)),INDEX(bhpc_data[sku],SMALL(IF(ISNUMBER(MATCH(bhpc_data[category],$EC$9,0)*MATCH(bhpc_data[sex],$EC$11,0)*MATCH(bhpc_data[size],$EC$13,0)),MATCH(ROW(bhpc_data[sku]),ROW(bhpc_data[sku])),""),ROWS($A$15:A62)+$B$3))))),"")</f>
        <v>PT6021</v>
      </c>
      <c r="EF57" s="440" t="str" cm="1">
        <f t="array" ref="EF57">IFERROR(IF($EC$9="",IF($EC$11="",IF($EC$13="",INDEX(bhpc_data[description],SMALL(MATCH(ROW(bhpc_data[sku]),ROW(bhpc_data[sku])),ROWS($A$15:A62)+$B$3)),INDEX(bhpc_data[description],SMALL(IF(ISNUMBER(MATCH(bhpc_data[size],$EC$13,0)),MATCH(ROW(bhpc_data[sku]),ROW(bhpc_data[sku])),""),ROWS($A$15:A62)+$B$3))),IF($EC$13="",INDEX(bhpc_data[description],SMALL(IF(ISNUMBER(MATCH(bhpc_data[sex],$EC$11,0)),MATCH(ROW(bhpc_data[sku]),ROW(bhpc_data[sku])),""),ROWS($A$15:A62)+$B$3)),INDEX(bhpc_data[description],SMALL(IF(ISNUMBER(MATCH(bhpc_data[sex],$EC$11,0)*MATCH(bhpc_data[size],$EC$13,0)),MATCH(ROW(bhpc_data[sku]),ROW(bhpc_data[sku])),""),ROWS($A$15:A62)+$B$3)))),IF($EC$11="",IF($EC$13="",INDEX(bhpc_data[description],SMALL(IF(ISNUMBER(MATCH(bhpc_data[category],$EC$9,0)),MATCH(ROW(bhpc_data[sku]),ROW(bhpc_data[sku])),""),ROWS($A$15:A62)+$B$3)),INDEX(bhpc_data[description],SMALL(IF(ISNUMBER(MATCH(bhpc_data[category],$EC$9,0)*MATCH(bhpc_data[size],$EC$13,0)),MATCH(ROW(bhpc_data[sku]),ROW(bhpc_data[sku])),""),ROWS($A$15:A62)+$B$3))),IF($EC$13="",INDEX(bhpc_data[description],SMALL(IF(ISNUMBER(MATCH(bhpc_data[category],$EC$9,0)*MATCH(bhpc_data[sex],$EC$11,0)),MATCH(ROW(bhpc_data[sku]),ROW(bhpc_data[sku])),""),ROWS($A$15:A62)+$B$3)),INDEX(bhpc_data[description],SMALL(IF(ISNUMBER(MATCH(bhpc_data[category],$EC$9,0)*MATCH(bhpc_data[sex],$EC$11,0)*MATCH(bhpc_data[size],$EC$13,0)),MATCH(ROW(bhpc_data[sku]),ROW(bhpc_data[sku])),""),ROWS($A$15:A62)+$B$3))))),"")</f>
        <v>BHPC TESTERS ROYALE 100ML EDP MEN</v>
      </c>
      <c r="EG57" s="441">
        <f>IFERROR(IF('BHPC MANAGER'!$EE57="","",INDEX(inventory[ESISTENZA],MATCH('BHPC MANAGER'!$EE57,inventory[SKU],0))),0)</f>
        <v>0</v>
      </c>
      <c r="EH57" s="442" t="s">
        <v>861</v>
      </c>
      <c r="EI57" s="442">
        <f t="shared" si="1"/>
        <v>0</v>
      </c>
      <c r="EJ57" s="443" t="s">
        <v>861</v>
      </c>
      <c r="EK57" s="444">
        <f t="shared" si="2"/>
        <v>0</v>
      </c>
      <c r="EO57" s="215" t="str">
        <f t="array" ref="EO57">IFERROR(INDEX(orderHistory[order_no],SMALL(IF(ISNUMBER(MATCH(orderHistory[status],$EO$7,0)),MATCH(ROW(orderHistory[order_no]),ROW(orderHistory[order_no])),""),ROWS($A$15:A62))),"")</f>
        <v/>
      </c>
    </row>
    <row r="58" spans="10:145" ht="15" customHeight="1" x14ac:dyDescent="0.35">
      <c r="L58" s="381" t="str">
        <f t="array" ref="L58">IFERROR(IF($D$9="",IF($D$11="",IF($D$13="",IF($D$15="",INDEX(orderHistory[customer],SMALL(MATCH(ROW(orderHistory[customer]),ROW(orderHistory[customer])),ROWS($A$15:A63)+$B$3)),INDEX(orderHistory[customer],SMALL(IF(ISNUMBER(MATCH(YEAR(orderHistory[invoice_date]),$D$15,0)),MATCH(ROW(orderHistory[customer]),ROW(orderHistory[customer])),""),ROWS($A$15:A63)+$B$3))),IF($D$15="",INDEX(orderHistory[customer],SMALL(IF(ISNUMBER(MATCH(orderHistory[order_type],$D$13,0)),MATCH(ROW(orderHistory[customer]),ROW(orderHistory[customer])),""),ROWS($A$15:A63)+$B$3)),INDEX(orderHistory[customer],SMALL(IF(ISNUMBER(MATCH(orderHistory[order_type],$D$13,0)*MATCH(YEAR(orderHistory[invoice_date]),$D$15,0)),MATCH(ROW(orderHistory[customer]),ROW(orderHistory[customer])),""),ROWS($A$15:A63)+$B$3)))),IF($D$13="",IF($D$15="",INDEX(orderHistory[customer],SMALL(IF(ISNUMBER(MATCH(orderHistory[status],$D$11,0)),MATCH(ROW(orderHistory[customer]),ROW(orderHistory[customer])),""),ROWS($A$15:A63)+$B$3)),INDEX(orderHistory[customer],SMALL(IF(ISNUMBER(MATCH(orderHistory[status],$D$11,0)*MATCH(YEAR(orderHistory[invoice_date]),$D$15,0)),MATCH(ROW(orderHistory[customer]),ROW(orderHistory[customer])),""),ROWS($A$15:A63)+$B$3))),IF($D$15="",INDEX(orderHistory[customer],SMALL(IF(ISNUMBER(MATCH(orderHistory[status],$D$11,0)*MATCH(orderHistory[order_type],$D$13,0)),MATCH(ROW(orderHistory[customer]),ROW(orderHistory[customer])),""),ROWS($A$15:A63)+$B$3)),INDEX(orderHistory[customer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customer],SMALL(IF(ISNUMBER(MATCH(orderHistory[customer],$D$9,0)),MATCH(ROW(orderHistory[customer]),ROW(orderHistory[customer])),""),ROWS($A$15:A63)+$B$3)),INDEX(orderHistory[customer],SMALL(IF(ISNUMBER(MATCH(orderHistory[customer],$D$9,0)*MATCH(YEAR(orderHistory[invoice_date]),$D$15,0)),MATCH(ROW(orderHistory[customer]),ROW(orderHistory[customer])),""),ROWS($A$15:A63)+$B$3))),IF($D$15="",INDEX(orderHistory[customer],SMALL(IF(ISNUMBER(MATCH(orderHistory[customer],$D$9,0)*MATCH(orderHistory[order_type],$D$13,0)),MATCH(ROW(orderHistory[customer]),ROW(orderHistory[customer])),""),ROWS($A$15:A63)+$B$3)),INDEX(orderHistory[customer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customer],SMALL(IF(ISNUMBER(MATCH(orderHistory[customer],$D$9,0)*MATCH(orderHistory[status],$D$11,0)),MATCH(ROW(orderHistory[customer]),ROW(orderHistory[customer])),""),ROWS($A$15:A63)+$B$3)),INDEX(orderHistory[customer],SMALL(IF(ISNUMBER(MATCH(orderHistory[customer],$D$9,0)*MATCH(orderHistory[status],$D$11,0)*MATCH(YEAR(orderHistory[invoice_date]),$D$15,0)),MATCH(ROW(orderHistory[customer]),ROW(orderHistory[customer])),""),ROWS($A$15:A63)+$B$3))),IF($D$15="",INDEX(orderHistory[customer],SMALL(IF(ISNUMBER(MATCH(orderHistory[customer],$D$9,0)*MATCH(orderHistory[status],$D$11,0)*MATCH(orderHistory[order_type],$D$13,0)),MATCH(ROW(orderHistory[customer]),ROW(orderHistory[customer])),""),ROWS($A$15:A63)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M58" s="382" t="str">
        <f t="array" ref="M58">IFERROR(IF($D$9="",IF($D$11="",IF($D$13="",IF($D$15="",INDEX(orderHistory[order_no],SMALL(MATCH(ROW(orderHistory[customer]),ROW(orderHistory[customer])),ROWS($A$15:A63)+$B$3)),INDEX(orderHistory[order_no],SMALL(IF(ISNUMBER(MATCH(YEAR(orderHistory[invoice_date]),$D$15,0)),MATCH(ROW(orderHistory[customer]),ROW(orderHistory[customer])),""),ROWS($A$15:A63)+$B$3))),IF($D$15="",INDEX(orderHistory[order_no],SMALL(IF(ISNUMBER(MATCH(orderHistory[order_type],$D$13,0)),MATCH(ROW(orderHistory[customer]),ROW(orderHistory[customer])),""),ROWS($A$15:A63)+$B$3)),INDEX(orderHistory[order_no],SMALL(IF(ISNUMBER(MATCH(orderHistory[order_type],$D$13,0)*MATCH(YEAR(orderHistory[invoice_date]),$D$15,0)),MATCH(ROW(orderHistory[customer]),ROW(orderHistory[customer])),""),ROWS($A$15:A63)+$B$3)))),IF($D$13="",IF($D$15="",INDEX(orderHistory[order_no],SMALL(IF(ISNUMBER(MATCH(orderHistory[status],$D$11,0)),MATCH(ROW(orderHistory[customer]),ROW(orderHistory[customer])),""),ROWS($A$15:A63)+$B$3)),INDEX(orderHistory[order_no],SMALL(IF(ISNUMBER(MATCH(orderHistory[status],$D$11,0)*MATCH(YEAR(orderHistory[invoice_date]),$D$15,0)),MATCH(ROW(orderHistory[customer]),ROW(orderHistory[customer])),""),ROWS($A$15:A63)+$B$3))),IF($D$15="",INDEX(orderHistory[order_no],SMALL(IF(ISNUMBER(MATCH(orderHistory[status],$D$11,0)*MATCH(orderHistory[order_type],$D$13,0)),MATCH(ROW(orderHistory[customer]),ROW(orderHistory[customer])),""),ROWS($A$15:A63)+$B$3)),INDEX(orderHistory[order_no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order_no],SMALL(IF(ISNUMBER(MATCH(orderHistory[customer],$D$9,0)),MATCH(ROW(orderHistory[customer]),ROW(orderHistory[customer])),""),ROWS($A$15:A63)+$B$3)),INDEX(orderHistory[order_no],SMALL(IF(ISNUMBER(MATCH(orderHistory[customer],$D$9,0)*MATCH(YEAR(orderHistory[invoice_date]),$D$15,0)),MATCH(ROW(orderHistory[customer]),ROW(orderHistory[customer])),""),ROWS($A$15:A63)+$B$3))),IF($D$15="",INDEX(orderHistory[order_no],SMALL(IF(ISNUMBER(MATCH(orderHistory[customer],$D$9,0)*MATCH(orderHistory[order_type],$D$13,0)),MATCH(ROW(orderHistory[customer]),ROW(orderHistory[customer])),""),ROWS($A$15:A63)+$B$3)),INDEX(orderHistory[order_no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order_no],SMALL(IF(ISNUMBER(MATCH(orderHistory[customer],$D$9,0)*MATCH(orderHistory[status],$D$11,0)),MATCH(ROW(orderHistory[customer]),ROW(orderHistory[customer])),""),ROWS($A$15:A63)+$B$3)),INDEX(orderHistory[order_no],SMALL(IF(ISNUMBER(MATCH(orderHistory[customer],$D$9,0)*MATCH(orderHistory[status],$D$11,0)*MATCH(YEAR(orderHistory[invoice_date]),$D$15,0)),MATCH(ROW(orderHistory[customer]),ROW(orderHistory[customer])),""),ROWS($A$15:A63)+$B$3))),IF($D$15="",INDEX(orderHistory[order_no],SMALL(IF(ISNUMBER(MATCH(orderHistory[customer],$D$9,0)*MATCH(orderHistory[status],$D$11,0)*MATCH(orderHistory[order_type],$D$13,0)),MATCH(ROW(orderHistory[customer]),ROW(orderHistory[customer])),""),ROWS($A$15:A63)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N58" s="383" t="str">
        <f t="array" ref="N58">IFERROR(IF($D$9="",IF($D$11="",IF($D$13="",IF($D$15="",INDEX(orderHistory[order_type],SMALL(MATCH(ROW(orderHistory[customer]),ROW(orderHistory[customer])),ROWS($A$15:A63)+$B$3)),INDEX(orderHistory[order_type],SMALL(IF(ISNUMBER(MATCH(YEAR(orderHistory[invoice_date]),$D$15,0)),MATCH(ROW(orderHistory[customer]),ROW(orderHistory[customer])),""),ROWS($A$15:A63)+$B$3))),IF($D$15="",INDEX(orderHistory[order_type],SMALL(IF(ISNUMBER(MATCH(orderHistory[order_type],$D$13,0)),MATCH(ROW(orderHistory[customer]),ROW(orderHistory[customer])),""),ROWS($A$15:A63)+$B$3)),INDEX(orderHistory[order_type],SMALL(IF(ISNUMBER(MATCH(orderHistory[order_type],$D$13,0)*MATCH(YEAR(orderHistory[invoice_date]),$D$15,0)),MATCH(ROW(orderHistory[customer]),ROW(orderHistory[customer])),""),ROWS($A$15:A63)+$B$3)))),IF($D$13="",IF($D$15="",INDEX(orderHistory[order_type],SMALL(IF(ISNUMBER(MATCH(orderHistory[status],$D$11,0)),MATCH(ROW(orderHistory[customer]),ROW(orderHistory[customer])),""),ROWS($A$15:A63)+$B$3)),INDEX(orderHistory[order_type],SMALL(IF(ISNUMBER(MATCH(orderHistory[status],$D$11,0)*MATCH(YEAR(orderHistory[invoice_date]),$D$15,0)),MATCH(ROW(orderHistory[customer]),ROW(orderHistory[customer])),""),ROWS($A$15:A63)+$B$3))),IF($D$15="",INDEX(orderHistory[order_type],SMALL(IF(ISNUMBER(MATCH(orderHistory[status],$D$11,0)*MATCH(orderHistory[order_type],$D$13,0)),MATCH(ROW(orderHistory[customer]),ROW(orderHistory[customer])),""),ROWS($A$15:A63)+$B$3)),INDEX(orderHistory[order_type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order_type],SMALL(IF(ISNUMBER(MATCH(orderHistory[customer],$D$9,0)),MATCH(ROW(orderHistory[customer]),ROW(orderHistory[customer])),""),ROWS($A$15:A63)+$B$3)),INDEX(orderHistory[order_type],SMALL(IF(ISNUMBER(MATCH(orderHistory[customer],$D$9,0)*MATCH(YEAR(orderHistory[invoice_date]),$D$15,0)),MATCH(ROW(orderHistory[customer]),ROW(orderHistory[customer])),""),ROWS($A$15:A63)+$B$3))),IF($D$15="",INDEX(orderHistory[order_type],SMALL(IF(ISNUMBER(MATCH(orderHistory[customer],$D$9,0)*MATCH(orderHistory[order_type],$D$13,0)),MATCH(ROW(orderHistory[customer]),ROW(orderHistory[customer])),""),ROWS($A$15:A63)+$B$3)),INDEX(orderHistory[order_type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order_type],SMALL(IF(ISNUMBER(MATCH(orderHistory[customer],$D$9,0)*MATCH(orderHistory[status],$D$11,0)),MATCH(ROW(orderHistory[customer]),ROW(orderHistory[customer])),""),ROWS($A$15:A63)+$B$3)),INDEX(orderHistory[order_type],SMALL(IF(ISNUMBER(MATCH(orderHistory[customer],$D$9,0)*MATCH(orderHistory[status],$D$11,0)*MATCH(YEAR(orderHistory[invoice_date]),$D$15,0)),MATCH(ROW(orderHistory[customer]),ROW(orderHistory[customer])),""),ROWS($A$15:A63)+$B$3))),IF($D$15="",INDEX(orderHistory[order_type],SMALL(IF(ISNUMBER(MATCH(orderHistory[customer],$D$9,0)*MATCH(orderHistory[status],$D$11,0)*MATCH(orderHistory[order_type],$D$13,0)),MATCH(ROW(orderHistory[customer]),ROW(orderHistory[customer])),""),ROWS($A$15:A63)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O58" s="384" t="str">
        <f t="array" ref="O58">IFERROR(IF($D$9="",IF($D$11="",IF($D$13="",IF($D$15="",INDEX(orderHistory[order_date],SMALL(MATCH(ROW(orderHistory[customer]),ROW(orderHistory[customer])),ROWS($A$15:A63)+$B$3)),INDEX(orderHistory[order_date],SMALL(IF(ISNUMBER(MATCH(YEAR(orderHistory[invoice_date]),$D$15,0)),MATCH(ROW(orderHistory[customer]),ROW(orderHistory[customer])),""),ROWS($A$15:A63)+$B$3))),IF($D$15="",INDEX(orderHistory[order_date],SMALL(IF(ISNUMBER(MATCH(orderHistory[order_type],$D$13,0)),MATCH(ROW(orderHistory[customer]),ROW(orderHistory[customer])),""),ROWS($A$15:A63)+$B$3)),INDEX(orderHistory[order_date],SMALL(IF(ISNUMBER(MATCH(orderHistory[order_type],$D$13,0)*MATCH(YEAR(orderHistory[invoice_date]),$D$15,0)),MATCH(ROW(orderHistory[customer]),ROW(orderHistory[customer])),""),ROWS($A$15:A63)+$B$3)))),IF($D$13="",IF($D$15="",INDEX(orderHistory[order_date],SMALL(IF(ISNUMBER(MATCH(orderHistory[status],$D$11,0)),MATCH(ROW(orderHistory[customer]),ROW(orderHistory[customer])),""),ROWS($A$15:A63)+$B$3)),INDEX(orderHistory[order_date],SMALL(IF(ISNUMBER(MATCH(orderHistory[status],$D$11,0)*MATCH(YEAR(orderHistory[invoice_date]),$D$15,0)),MATCH(ROW(orderHistory[customer]),ROW(orderHistory[customer])),""),ROWS($A$15:A63)+$B$3))),IF($D$15="",INDEX(orderHistory[order_date],SMALL(IF(ISNUMBER(MATCH(orderHistory[status],$D$11,0)*MATCH(orderHistory[order_type],$D$13,0)),MATCH(ROW(orderHistory[customer]),ROW(orderHistory[customer])),""),ROWS($A$15:A63)+$B$3)),INDEX(orderHistory[order_date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order_date],SMALL(IF(ISNUMBER(MATCH(orderHistory[customer],$D$9,0)),MATCH(ROW(orderHistory[customer]),ROW(orderHistory[customer])),""),ROWS($A$15:A63)+$B$3)),INDEX(orderHistory[order_date],SMALL(IF(ISNUMBER(MATCH(orderHistory[customer],$D$9,0)*MATCH(YEAR(orderHistory[invoice_date]),$D$15,0)),MATCH(ROW(orderHistory[customer]),ROW(orderHistory[customer])),""),ROWS($A$15:A63)+$B$3))),IF($D$15="",INDEX(orderHistory[order_date],SMALL(IF(ISNUMBER(MATCH(orderHistory[customer],$D$9,0)*MATCH(orderHistory[order_type],$D$13,0)),MATCH(ROW(orderHistory[customer]),ROW(orderHistory[customer])),""),ROWS($A$15:A63)+$B$3)),INDEX(orderHistory[order_date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order_date],SMALL(IF(ISNUMBER(MATCH(orderHistory[customer],$D$9,0)*MATCH(orderHistory[status],$D$11,0)),MATCH(ROW(orderHistory[customer]),ROW(orderHistory[customer])),""),ROWS($A$15:A63)+$B$3)),INDEX(orderHistory[order_date],SMALL(IF(ISNUMBER(MATCH(orderHistory[customer],$D$9,0)*MATCH(orderHistory[status],$D$11,0)*MATCH(YEAR(orderHistory[invoice_date]),$D$15,0)),MATCH(ROW(orderHistory[customer]),ROW(orderHistory[customer])),""),ROWS($A$15:A63)+$B$3))),IF($D$15="",INDEX(orderHistory[order_date],SMALL(IF(ISNUMBER(MATCH(orderHistory[customer],$D$9,0)*MATCH(orderHistory[status],$D$11,0)*MATCH(orderHistory[order_type],$D$13,0)),MATCH(ROW(orderHistory[customer]),ROW(orderHistory[customer])),""),ROWS($A$15:A63)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P58" s="385" t="str">
        <f t="array" ref="P58">IFERROR(IF($D$9="",IF($D$11="",IF($D$13="",IF($D$15="",INDEX(orderHistory[invoice_no],SMALL(MATCH(ROW(orderHistory[customer]),ROW(orderHistory[customer])),ROWS($A$15:A63)+$B$3)),INDEX(orderHistory[invoice_no],SMALL(IF(ISNUMBER(MATCH(YEAR(orderHistory[invoice_date]),$D$15,0)),MATCH(ROW(orderHistory[customer]),ROW(orderHistory[customer])),""),ROWS($A$15:A63)+$B$3))),IF($D$15="",INDEX(orderHistory[invoice_no],SMALL(IF(ISNUMBER(MATCH(orderHistory[order_type],$D$13,0)),MATCH(ROW(orderHistory[customer]),ROW(orderHistory[customer])),""),ROWS($A$15:A63)+$B$3)),INDEX(orderHistory[invoice_no],SMALL(IF(ISNUMBER(MATCH(orderHistory[order_type],$D$13,0)*MATCH(YEAR(orderHistory[invoice_date]),$D$15,0)),MATCH(ROW(orderHistory[customer]),ROW(orderHistory[customer])),""),ROWS($A$15:A63)+$B$3)))),IF($D$13="",IF($D$15="",INDEX(orderHistory[invoice_no],SMALL(IF(ISNUMBER(MATCH(orderHistory[status],$D$11,0)),MATCH(ROW(orderHistory[customer]),ROW(orderHistory[customer])),""),ROWS($A$15:A63)+$B$3)),INDEX(orderHistory[invoice_no],SMALL(IF(ISNUMBER(MATCH(orderHistory[status],$D$11,0)*MATCH(YEAR(orderHistory[invoice_date]),$D$15,0)),MATCH(ROW(orderHistory[customer]),ROW(orderHistory[customer])),""),ROWS($A$15:A63)+$B$3))),IF($D$15="",INDEX(orderHistory[invoice_no],SMALL(IF(ISNUMBER(MATCH(orderHistory[status],$D$11,0)*MATCH(orderHistory[order_type],$D$13,0)),MATCH(ROW(orderHistory[customer]),ROW(orderHistory[customer])),""),ROWS($A$15:A63)+$B$3)),INDEX(orderHistory[invoice_no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invoice_no],SMALL(IF(ISNUMBER(MATCH(orderHistory[customer],$D$9,0)),MATCH(ROW(orderHistory[customer]),ROW(orderHistory[customer])),""),ROWS($A$15:A63)+$B$3)),INDEX(orderHistory[invoice_no],SMALL(IF(ISNUMBER(MATCH(orderHistory[customer],$D$9,0)*MATCH(YEAR(orderHistory[invoice_date]),$D$15,0)),MATCH(ROW(orderHistory[customer]),ROW(orderHistory[customer])),""),ROWS($A$15:A63)+$B$3))),IF($D$15="",INDEX(orderHistory[invoice_no],SMALL(IF(ISNUMBER(MATCH(orderHistory[customer],$D$9,0)*MATCH(orderHistory[order_type],$D$13,0)),MATCH(ROW(orderHistory[customer]),ROW(orderHistory[customer])),""),ROWS($A$15:A63)+$B$3)),INDEX(orderHistory[invoice_no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invoice_no],SMALL(IF(ISNUMBER(MATCH(orderHistory[customer],$D$9,0)*MATCH(orderHistory[status],$D$11,0)),MATCH(ROW(orderHistory[customer]),ROW(orderHistory[customer])),""),ROWS($A$15:A63)+$B$3)),INDEX(orderHistory[invoice_no],SMALL(IF(ISNUMBER(MATCH(orderHistory[customer],$D$9,0)*MATCH(orderHistory[status],$D$11,0)*MATCH(YEAR(orderHistory[invoice_date]),$D$15,0)),MATCH(ROW(orderHistory[customer]),ROW(orderHistory[customer])),""),ROWS($A$15:A63)+$B$3))),IF($D$15="",INDEX(orderHistory[invoice_no],SMALL(IF(ISNUMBER(MATCH(orderHistory[customer],$D$9,0)*MATCH(orderHistory[status],$D$11,0)*MATCH(orderHistory[order_type],$D$13,0)),MATCH(ROW(orderHistory[customer]),ROW(orderHistory[customer])),""),ROWS($A$15:A63)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Q58" s="386" t="str">
        <f t="array" ref="Q58">IFERROR(IF($D$9="",IF($D$11="",IF($D$13="",IF($D$15="",INDEX(orderHistory[invoice_date],SMALL(MATCH(ROW(orderHistory[customer]),ROW(orderHistory[customer])),ROWS($A$15:A63)+$B$3)),INDEX(orderHistory[invoice_date],SMALL(IF(ISNUMBER(MATCH(YEAR(orderHistory[invoice_date]),$D$15,0)),MATCH(ROW(orderHistory[customer]),ROW(orderHistory[customer])),""),ROWS($A$15:A63)+$B$3))),IF($D$15="",INDEX(orderHistory[invoice_date],SMALL(IF(ISNUMBER(MATCH(orderHistory[order_type],$D$13,0)),MATCH(ROW(orderHistory[customer]),ROW(orderHistory[customer])),""),ROWS($A$15:A63)+$B$3)),INDEX(orderHistory[invoice_date],SMALL(IF(ISNUMBER(MATCH(orderHistory[order_type],$D$13,0)*MATCH(YEAR(orderHistory[invoice_date]),$D$15,0)),MATCH(ROW(orderHistory[customer]),ROW(orderHistory[customer])),""),ROWS($A$15:A63)+$B$3)))),IF($D$13="",IF($D$15="",INDEX(orderHistory[invoice_date],SMALL(IF(ISNUMBER(MATCH(orderHistory[status],$D$11,0)),MATCH(ROW(orderHistory[customer]),ROW(orderHistory[customer])),""),ROWS($A$15:A63)+$B$3)),INDEX(orderHistory[invoice_date],SMALL(IF(ISNUMBER(MATCH(orderHistory[status],$D$11,0)*MATCH(YEAR(orderHistory[invoice_date]),$D$15,0)),MATCH(ROW(orderHistory[customer]),ROW(orderHistory[customer])),""),ROWS($A$15:A63)+$B$3))),IF($D$15="",INDEX(orderHistory[invoice_date],SMALL(IF(ISNUMBER(MATCH(orderHistory[status],$D$11,0)*MATCH(orderHistory[order_type],$D$13,0)),MATCH(ROW(orderHistory[customer]),ROW(orderHistory[customer])),""),ROWS($A$15:A63)+$B$3)),INDEX(orderHistory[invoice_date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invoice_date],SMALL(IF(ISNUMBER(MATCH(orderHistory[customer],$D$9,0)),MATCH(ROW(orderHistory[customer]),ROW(orderHistory[customer])),""),ROWS($A$15:A63)+$B$3)),INDEX(orderHistory[invoice_date],SMALL(IF(ISNUMBER(MATCH(orderHistory[customer],$D$9,0)*MATCH(YEAR(orderHistory[invoice_date]),$D$15,0)),MATCH(ROW(orderHistory[customer]),ROW(orderHistory[customer])),""),ROWS($A$15:A63)+$B$3))),IF($D$15="",INDEX(orderHistory[invoice_date],SMALL(IF(ISNUMBER(MATCH(orderHistory[customer],$D$9,0)*MATCH(orderHistory[order_type],$D$13,0)),MATCH(ROW(orderHistory[customer]),ROW(orderHistory[customer])),""),ROWS($A$15:A63)+$B$3)),INDEX(orderHistory[invoice_date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invoice_date],SMALL(IF(ISNUMBER(MATCH(orderHistory[customer],$D$9,0)*MATCH(orderHistory[status],$D$11,0)),MATCH(ROW(orderHistory[customer]),ROW(orderHistory[customer])),""),ROWS($A$15:A63)+$B$3)),INDEX(orderHistory[invoice_date],SMALL(IF(ISNUMBER(MATCH(orderHistory[customer],$D$9,0)*MATCH(orderHistory[status],$D$11,0)*MATCH(YEAR(orderHistory[invoice_date]),$D$15,0)),MATCH(ROW(orderHistory[customer]),ROW(orderHistory[customer])),""),ROWS($A$15:A63)+$B$3))),IF($D$15="",INDEX(orderHistory[invoice_date],SMALL(IF(ISNUMBER(MATCH(orderHistory[customer],$D$9,0)*MATCH(orderHistory[status],$D$11,0)*MATCH(orderHistory[order_type],$D$13,0)),MATCH(ROW(orderHistory[customer]),ROW(orderHistory[customer])),""),ROWS($A$15:A63)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R58" s="387" t="str">
        <f t="array" ref="R58">IFERROR(IF($D$9="",IF($D$11="",IF($D$13="",IF($D$15="",INDEX(orderHistory[inv_amount],SMALL(MATCH(ROW(orderHistory[customer]),ROW(orderHistory[customer])),ROWS($A$15:A63)+$B$3)),INDEX(orderHistory[inv_amount],SMALL(IF(ISNUMBER(MATCH(YEAR(orderHistory[invoice_date]),$D$15,0)),MATCH(ROW(orderHistory[customer]),ROW(orderHistory[customer])),""),ROWS($A$15:A63)+$B$3))),IF($D$15="",INDEX(orderHistory[inv_amount],SMALL(IF(ISNUMBER(MATCH(orderHistory[order_type],$D$13,0)),MATCH(ROW(orderHistory[customer]),ROW(orderHistory[customer])),""),ROWS($A$15:A63)+$B$3)),INDEX(orderHistory[inv_amount],SMALL(IF(ISNUMBER(MATCH(orderHistory[order_type],$D$13,0)*MATCH(YEAR(orderHistory[invoice_date]),$D$15,0)),MATCH(ROW(orderHistory[customer]),ROW(orderHistory[customer])),""),ROWS($A$15:A63)+$B$3)))),IF($D$13="",IF($D$15="",INDEX(orderHistory[inv_amount],SMALL(IF(ISNUMBER(MATCH(orderHistory[status],$D$11,0)),MATCH(ROW(orderHistory[customer]),ROW(orderHistory[customer])),""),ROWS($A$15:A63)+$B$3)),INDEX(orderHistory[inv_amount],SMALL(IF(ISNUMBER(MATCH(orderHistory[status],$D$11,0)*MATCH(YEAR(orderHistory[invoice_date]),$D$15,0)),MATCH(ROW(orderHistory[customer]),ROW(orderHistory[customer])),""),ROWS($A$15:A63)+$B$3))),IF($D$15="",INDEX(orderHistory[inv_amount],SMALL(IF(ISNUMBER(MATCH(orderHistory[status],$D$11,0)*MATCH(orderHistory[order_type],$D$13,0)),MATCH(ROW(orderHistory[customer]),ROW(orderHistory[customer])),""),ROWS($A$15:A63)+$B$3)),INDEX(orderHistory[inv_amount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inv_amount],SMALL(IF(ISNUMBER(MATCH(orderHistory[customer],$D$9,0)),MATCH(ROW(orderHistory[customer]),ROW(orderHistory[customer])),""),ROWS($A$15:A63)+$B$3)),INDEX(orderHistory[inv_amount],SMALL(IF(ISNUMBER(MATCH(orderHistory[customer],$D$9,0)*MATCH(YEAR(orderHistory[invoice_date]),$D$15,0)),MATCH(ROW(orderHistory[customer]),ROW(orderHistory[customer])),""),ROWS($A$15:A63)+$B$3))),IF($D$15="",INDEX(orderHistory[inv_amount],SMALL(IF(ISNUMBER(MATCH(orderHistory[customer],$D$9,0)*MATCH(orderHistory[order_type],$D$13,0)),MATCH(ROW(orderHistory[customer]),ROW(orderHistory[customer])),""),ROWS($A$15:A63)+$B$3)),INDEX(orderHistory[inv_amount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inv_amount],SMALL(IF(ISNUMBER(MATCH(orderHistory[customer],$D$9,0)*MATCH(orderHistory[status],$D$11,0)),MATCH(ROW(orderHistory[customer]),ROW(orderHistory[customer])),""),ROWS($A$15:A63)+$B$3)),INDEX(orderHistory[inv_amount],SMALL(IF(ISNUMBER(MATCH(orderHistory[customer],$D$9,0)*MATCH(orderHistory[status],$D$11,0)*MATCH(YEAR(orderHistory[inv_amount]),$D$15,0)),MATCH(ROW(orderHistory[customer]),ROW(orderHistory[customer])),""),ROWS($A$15:A63)+$B$3))),IF($D$15="",INDEX(orderHistory[inv_amount],SMALL(IF(ISNUMBER(MATCH(orderHistory[customer],$D$9,0)*MATCH(orderHistory[status],$D$11,0)*MATCH(orderHistory[order_type],$D$13,0)),MATCH(ROW(orderHistory[customer]),ROW(orderHistory[customer])),""),ROWS($A$15:A63)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S58" s="465" t="str">
        <f t="array" ref="S58">IFERROR(IF($D$9="",IF($D$11="",IF($D$13="",IF($D$15="",INDEX(orderHistory[lock_goods],SMALL(MATCH(ROW(orderHistory[customer]),ROW(orderHistory[customer])),ROWS($A$15:A63)+$B$3)),INDEX(orderHistory[lock_goods],SMALL(IF(ISNUMBER(MATCH(YEAR(orderHistory[invoice_date]),$D$15,0)),MATCH(ROW(orderHistory[customer]),ROW(orderHistory[customer])),""),ROWS($A$15:A63)+$B$3))),IF($D$15="",INDEX(orderHistory[lock_goods],SMALL(IF(ISNUMBER(MATCH(orderHistory[order_type],$D$13,0)),MATCH(ROW(orderHistory[customer]),ROW(orderHistory[customer])),""),ROWS($A$15:A63)+$B$3)),INDEX(orderHistory[lock_goods],SMALL(IF(ISNUMBER(MATCH(orderHistory[order_type],$D$13,0)*MATCH(YEAR(orderHistory[invoice_date]),$D$15,0)),MATCH(ROW(orderHistory[customer]),ROW(orderHistory[customer])),""),ROWS($A$15:A63)+$B$3)))),IF($D$13="",IF($D$15="",INDEX(orderHistory[lock_goods],SMALL(IF(ISNUMBER(MATCH(orderHistory[status],$D$11,0)),MATCH(ROW(orderHistory[customer]),ROW(orderHistory[customer])),""),ROWS($A$15:A63)+$B$3)),INDEX(orderHistory[lock_goods],SMALL(IF(ISNUMBER(MATCH(orderHistory[status],$D$11,0)*MATCH(YEAR(orderHistory[invoice_date]),$D$15,0)),MATCH(ROW(orderHistory[customer]),ROW(orderHistory[customer])),""),ROWS($A$15:A63)+$B$3))),IF($D$15="",INDEX(orderHistory[lock_goods],SMALL(IF(ISNUMBER(MATCH(orderHistory[status],$D$11,0)*MATCH(orderHistory[order_type],$D$13,0)),MATCH(ROW(orderHistory[customer]),ROW(orderHistory[customer])),""),ROWS($A$15:A63)+$B$3)),INDEX(orderHistory[lock_goods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lock_goods],SMALL(IF(ISNUMBER(MATCH(orderHistory[customer],$D$9,0)),MATCH(ROW(orderHistory[customer]),ROW(orderHistory[customer])),""),ROWS($A$15:A63)+$B$3)),INDEX(orderHistory[lock_goods],SMALL(IF(ISNUMBER(MATCH(orderHistory[customer],$D$9,0)*MATCH(YEAR(orderHistory[invoice_date]),$D$15,0)),MATCH(ROW(orderHistory[customer]),ROW(orderHistory[customer])),""),ROWS($A$15:A63)+$B$3))),IF($D$15="",INDEX(orderHistory[lock_goods],SMALL(IF(ISNUMBER(MATCH(orderHistory[customer],$D$9,0)*MATCH(orderHistory[order_type],$D$13,0)),MATCH(ROW(orderHistory[customer]),ROW(orderHistory[customer])),""),ROWS($A$15:A63)+$B$3)),INDEX(orderHistory[lock_goods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lock_goods],SMALL(IF(ISNUMBER(MATCH(orderHistory[customer],$D$9,0)*MATCH(orderHistory[status],$D$11,0)),MATCH(ROW(orderHistory[customer]),ROW(orderHistory[customer])),""),ROWS($A$15:A63)+$B$3)),INDEX(orderHistory[lock_goods],SMALL(IF(ISNUMBER(MATCH(orderHistory[customer],$D$9,0)*MATCH(orderHistory[status],$D$11,0)*MATCH(YEAR(orderHistory[payed]),$D$15,0)),MATCH(ROW(orderHistory[customer]),ROW(orderHistory[customer])),""),ROWS($A$15:A63)+$B$3))),IF($D$15="",INDEX(orderHistory[lock_goods],SMALL(IF(ISNUMBER(MATCH(orderHistory[customer],$D$9,0)*MATCH(orderHistory[status],$D$11,0)*MATCH(orderHistory[order_type],$D$13,0)),MATCH(ROW(orderHistory[customer]),ROW(orderHistory[customer])),""),ROWS($A$15:A63)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T58" s="388" t="str">
        <f t="array" ref="T58">IFERROR(IF($D$9="",IF($D$11="",IF($D$13="",IF($D$15="",INDEX(orderHistory[payed],SMALL(MATCH(ROW(orderHistory[customer]),ROW(orderHistory[customer])),ROWS($A$15:A63)+$B$3)),INDEX(orderHistory[payed],SMALL(IF(ISNUMBER(MATCH(YEAR(orderHistory[invoice_date]),$D$15,0)),MATCH(ROW(orderHistory[customer]),ROW(orderHistory[customer])),""),ROWS($A$15:A63)+$B$3))),IF($D$15="",INDEX(orderHistory[payed],SMALL(IF(ISNUMBER(MATCH(orderHistory[order_type],$D$13,0)),MATCH(ROW(orderHistory[customer]),ROW(orderHistory[customer])),""),ROWS($A$15:A63)+$B$3)),INDEX(orderHistory[payed],SMALL(IF(ISNUMBER(MATCH(orderHistory[order_type],$D$13,0)*MATCH(YEAR(orderHistory[invoice_date]),$D$15,0)),MATCH(ROW(orderHistory[customer]),ROW(orderHistory[customer])),""),ROWS($A$15:A63)+$B$3)))),IF($D$13="",IF($D$15="",INDEX(orderHistory[payed],SMALL(IF(ISNUMBER(MATCH(orderHistory[status],$D$11,0)),MATCH(ROW(orderHistory[customer]),ROW(orderHistory[customer])),""),ROWS($A$15:A63)+$B$3)),INDEX(orderHistory[payed],SMALL(IF(ISNUMBER(MATCH(orderHistory[status],$D$11,0)*MATCH(YEAR(orderHistory[invoice_date]),$D$15,0)),MATCH(ROW(orderHistory[customer]),ROW(orderHistory[customer])),""),ROWS($A$15:A63)+$B$3))),IF($D$15="",INDEX(orderHistory[payed],SMALL(IF(ISNUMBER(MATCH(orderHistory[status],$D$11,0)*MATCH(orderHistory[order_type],$D$13,0)),MATCH(ROW(orderHistory[customer]),ROW(orderHistory[customer])),""),ROWS($A$15:A63)+$B$3)),INDEX(orderHistory[payed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payed],SMALL(IF(ISNUMBER(MATCH(orderHistory[customer],$D$9,0)),MATCH(ROW(orderHistory[customer]),ROW(orderHistory[customer])),""),ROWS($A$15:A63)+$B$3)),INDEX(orderHistory[payed],SMALL(IF(ISNUMBER(MATCH(orderHistory[customer],$D$9,0)*MATCH(YEAR(orderHistory[invoice_date]),$D$15,0)),MATCH(ROW(orderHistory[customer]),ROW(orderHistory[customer])),""),ROWS($A$15:A63)+$B$3))),IF($D$15="",INDEX(orderHistory[payed],SMALL(IF(ISNUMBER(MATCH(orderHistory[customer],$D$9,0)*MATCH(orderHistory[order_type],$D$13,0)),MATCH(ROW(orderHistory[customer]),ROW(orderHistory[customer])),""),ROWS($A$15:A63)+$B$3)),INDEX(orderHistory[payed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payed],SMALL(IF(ISNUMBER(MATCH(orderHistory[customer],$D$9,0)*MATCH(orderHistory[status],$D$11,0)),MATCH(ROW(orderHistory[customer]),ROW(orderHistory[customer])),""),ROWS($A$15:A63)+$B$3)),INDEX(orderHistory[payed],SMALL(IF(ISNUMBER(MATCH(orderHistory[customer],$D$9,0)*MATCH(orderHistory[status],$D$11,0)*MATCH(YEAR(orderHistory[payed]),$D$15,0)),MATCH(ROW(orderHistory[customer]),ROW(orderHistory[customer])),""),ROWS($A$15:A63)+$B$3))),IF($D$15="",INDEX(orderHistory[payed],SMALL(IF(ISNUMBER(MATCH(orderHistory[customer],$D$9,0)*MATCH(orderHistory[status],$D$11,0)*MATCH(orderHistory[order_type],$D$13,0)),MATCH(ROW(orderHistory[customer]),ROW(orderHistory[customer])),""),ROWS($A$15:A63)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U58" s="383" t="str">
        <f t="array" ref="U58">IFERROR(IF($D$9="",IF($D$11="",IF($D$13="",IF($D$15="",INDEX(orderHistory[shipping_method],SMALL(MATCH(ROW(orderHistory[customer]),ROW(orderHistory[customer])),ROWS($A$15:A63)+$B$3)),INDEX(orderHistory[shipping_method],SMALL(IF(ISNUMBER(MATCH(YEAR(orderHistory[invoice_date]),$D$15,0)),MATCH(ROW(orderHistory[customer]),ROW(orderHistory[customer])),""),ROWS($A$15:A63)+$B$3))),IF($D$15="",INDEX(orderHistory[shipping_method],SMALL(IF(ISNUMBER(MATCH(orderHistory[order_type],$D$13,0)),MATCH(ROW(orderHistory[customer]),ROW(orderHistory[customer])),""),ROWS($A$15:A63)+$B$3)),INDEX(orderHistory[shipping_method],SMALL(IF(ISNUMBER(MATCH(orderHistory[order_type],$D$13,0)*MATCH(YEAR(orderHistory[invoice_date]),$D$15,0)),MATCH(ROW(orderHistory[customer]),ROW(orderHistory[customer])),""),ROWS($A$15:A63)+$B$3)))),IF($D$13="",IF($D$15="",INDEX(orderHistory[shipping_method],SMALL(IF(ISNUMBER(MATCH(orderHistory[status],$D$11,0)),MATCH(ROW(orderHistory[customer]),ROW(orderHistory[customer])),""),ROWS($A$15:A63)+$B$3)),INDEX(orderHistory[shipping_method],SMALL(IF(ISNUMBER(MATCH(orderHistory[status],$D$11,0)*MATCH(YEAR(orderHistory[invoice_date]),$D$15,0)),MATCH(ROW(orderHistory[customer]),ROW(orderHistory[customer])),""),ROWS($A$15:A63)+$B$3))),IF($D$15="",INDEX(orderHistory[shipping_method],SMALL(IF(ISNUMBER(MATCH(orderHistory[status],$D$11,0)*MATCH(orderHistory[order_type],$D$13,0)),MATCH(ROW(orderHistory[customer]),ROW(orderHistory[customer])),""),ROWS($A$15:A63)+$B$3)),INDEX(orderHistory[shipping_method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shipping_method],SMALL(IF(ISNUMBER(MATCH(orderHistory[customer],$D$9,0)),MATCH(ROW(orderHistory[customer]),ROW(orderHistory[customer])),""),ROWS($A$15:A63)+$B$3)),INDEX(orderHistory[shipping_method],SMALL(IF(ISNUMBER(MATCH(orderHistory[customer],$D$9,0)*MATCH(YEAR(orderHistory[invoice_date]),$D$15,0)),MATCH(ROW(orderHistory[customer]),ROW(orderHistory[customer])),""),ROWS($A$15:A63)+$B$3))),IF($D$15="",INDEX(orderHistory[shipping_method],SMALL(IF(ISNUMBER(MATCH(orderHistory[customer],$D$9,0)*MATCH(orderHistory[order_type],$D$13,0)),MATCH(ROW(orderHistory[customer]),ROW(orderHistory[customer])),""),ROWS($A$15:A63)+$B$3)),INDEX(orderHistory[shipping_method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shipping_method],SMALL(IF(ISNUMBER(MATCH(orderHistory[customer],$D$9,0)*MATCH(orderHistory[status],$D$11,0)),MATCH(ROW(orderHistory[customer]),ROW(orderHistory[customer])),""),ROWS($A$15:A63)+$B$3)),INDEX(orderHistory[shipping_method],SMALL(IF(ISNUMBER(MATCH(orderHistory[customer],$D$9,0)*MATCH(orderHistory[status],$D$11,0)*MATCH(YEAR(orderHistory[shipping_method]),$D$15,0)),MATCH(ROW(orderHistory[customer]),ROW(orderHistory[customer])),""),ROWS($A$15:A63)+$B$3))),IF($D$15="",INDEX(orderHistory[shipping_method],SMALL(IF(ISNUMBER(MATCH(orderHistory[customer],$D$9,0)*MATCH(orderHistory[status],$D$11,0)*MATCH(orderHistory[order_type],$D$13,0)),MATCH(ROW(orderHistory[customer]),ROW(orderHistory[customer])),""),ROWS($A$15:A63)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V58" s="388" t="str">
        <f t="array" ref="V58">IFERROR(IF($D$9="",IF($D$11="",IF($D$13="",IF($D$15="",INDEX(orderHistory[status],SMALL(MATCH(ROW(orderHistory[customer]),ROW(orderHistory[customer])),ROWS($A$15:A63)+$B$3)),INDEX(orderHistory[status],SMALL(IF(ISNUMBER(MATCH(YEAR(orderHistory[invoice_date]),$D$15,0)),MATCH(ROW(orderHistory[customer]),ROW(orderHistory[customer])),""),ROWS($A$15:A63)+$B$3))),IF($D$15="",INDEX(orderHistory[status],SMALL(IF(ISNUMBER(MATCH(orderHistory[order_type],$D$13,0)),MATCH(ROW(orderHistory[customer]),ROW(orderHistory[customer])),""),ROWS($A$15:A63)+$B$3)),INDEX(orderHistory[status],SMALL(IF(ISNUMBER(MATCH(orderHistory[order_type],$D$13,0)*MATCH(YEAR(orderHistory[invoice_date]),$D$15,0)),MATCH(ROW(orderHistory[customer]),ROW(orderHistory[customer])),""),ROWS($A$15:A63)+$B$3)))),IF($D$13="",IF($D$15="",INDEX(orderHistory[status],SMALL(IF(ISNUMBER(MATCH(orderHistory[status],$D$11,0)),MATCH(ROW(orderHistory[customer]),ROW(orderHistory[customer])),""),ROWS($A$15:A63)+$B$3)),INDEX(orderHistory[status],SMALL(IF(ISNUMBER(MATCH(orderHistory[status],$D$11,0)*MATCH(YEAR(orderHistory[invoice_date]),$D$15,0)),MATCH(ROW(orderHistory[customer]),ROW(orderHistory[customer])),""),ROWS($A$15:A63)+$B$3))),IF($D$15="",INDEX(orderHistory[status],SMALL(IF(ISNUMBER(MATCH(orderHistory[status],$D$11,0)*MATCH(orderHistory[order_type],$D$13,0)),MATCH(ROW(orderHistory[customer]),ROW(orderHistory[customer])),""),ROWS($A$15:A63)+$B$3)),INDEX(orderHistory[status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status],SMALL(IF(ISNUMBER(MATCH(orderHistory[customer],$D$9,0)),MATCH(ROW(orderHistory[customer]),ROW(orderHistory[customer])),""),ROWS($A$15:A63)+$B$3)),INDEX(orderHistory[status],SMALL(IF(ISNUMBER(MATCH(orderHistory[customer],$D$9,0)*MATCH(YEAR(orderHistory[invoice_date]),$D$15,0)),MATCH(ROW(orderHistory[customer]),ROW(orderHistory[customer])),""),ROWS($A$15:A63)+$B$3))),IF($D$15="",INDEX(orderHistory[status],SMALL(IF(ISNUMBER(MATCH(orderHistory[customer],$D$9,0)*MATCH(orderHistory[order_type],$D$13,0)),MATCH(ROW(orderHistory[customer]),ROW(orderHistory[customer])),""),ROWS($A$15:A63)+$B$3)),INDEX(orderHistory[status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status],SMALL(IF(ISNUMBER(MATCH(orderHistory[customer],$D$9,0)*MATCH(orderHistory[status],$D$11,0)),MATCH(ROW(orderHistory[customer]),ROW(orderHistory[customer])),""),ROWS($A$15:A63)+$B$3)),INDEX(orderHistory[status],SMALL(IF(ISNUMBER(MATCH(orderHistory[customer],$D$9,0)*MATCH(orderHistory[status],$D$11,0)*MATCH(YEAR(orderHistory[status]),$D$15,0)),MATCH(ROW(orderHistory[customer]),ROW(orderHistory[customer])),""),ROWS($A$15:A63)+$B$3))),IF($D$15="",INDEX(orderHistory[status],SMALL(IF(ISNUMBER(MATCH(orderHistory[customer],$D$9,0)*MATCH(orderHistory[status],$D$11,0)*MATCH(orderHistory[order_type],$D$13,0)),MATCH(ROW(orderHistory[customer]),ROW(orderHistory[customer])),""),ROWS($A$15:A63)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W58" s="547" t="str">
        <f t="array" ref="W58">IFERROR(IF($D$9="",IF($D$11="",IF($D$13="",IF($D$15="",INDEX(orderHistory[custom_docs],SMALL(MATCH(ROW(orderHistory[customer]),ROW(orderHistory[customer])),ROWS($A$15:A63)+$B$3)),INDEX(orderHistory[custom_docs],SMALL(IF(ISNUMBER(MATCH(YEAR(orderHistory[invoice_date]),$D$15,0)),MATCH(ROW(orderHistory[customer]),ROW(orderHistory[customer])),""),ROWS($A$15:A63)+$B$3))),IF($D$15="",INDEX(orderHistory[custom_docs],SMALL(IF(ISNUMBER(MATCH(orderHistory[order_type],$D$13,0)),MATCH(ROW(orderHistory[customer]),ROW(orderHistory[customer])),""),ROWS($A$15:A63)+$B$3)),INDEX(orderHistory[custom_docs],SMALL(IF(ISNUMBER(MATCH(orderHistory[order_type],$D$13,0)*MATCH(YEAR(orderHistory[invoice_date]),$D$15,0)),MATCH(ROW(orderHistory[customer]),ROW(orderHistory[customer])),""),ROWS($A$15:A63)+$B$3)))),IF($D$13="",IF($D$15="",INDEX(orderHistory[custom_docs],SMALL(IF(ISNUMBER(MATCH(orderHistory[status],$D$11,0)),MATCH(ROW(orderHistory[customer]),ROW(orderHistory[customer])),""),ROWS($A$15:A63)+$B$3)),INDEX(orderHistory[custom_docs],SMALL(IF(ISNUMBER(MATCH(orderHistory[status],$D$11,0)*MATCH(YEAR(orderHistory[invoice_date]),$D$15,0)),MATCH(ROW(orderHistory[customer]),ROW(orderHistory[customer])),""),ROWS($A$15:A63)+$B$3))),IF($D$15="",INDEX(orderHistory[custom_docs],SMALL(IF(ISNUMBER(MATCH(orderHistory[status],$D$11,0)*MATCH(orderHistory[order_type],$D$13,0)),MATCH(ROW(orderHistory[customer]),ROW(orderHistory[customer])),""),ROWS($A$15:A63)+$B$3)),INDEX(orderHistory[custom_docs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custom_docs],SMALL(IF(ISNUMBER(MATCH(orderHistory[customer],$D$9,0)),MATCH(ROW(orderHistory[customer]),ROW(orderHistory[customer])),""),ROWS($A$15:A63)+$B$3)),INDEX(orderHistory[custom_docs],SMALL(IF(ISNUMBER(MATCH(orderHistory[customer],$D$9,0)*MATCH(YEAR(orderHistory[invoice_date]),$D$15,0)),MATCH(ROW(orderHistory[customer]),ROW(orderHistory[customer])),""),ROWS($A$15:A63)+$B$3))),IF($D$15="",INDEX(orderHistory[custom_docs],SMALL(IF(ISNUMBER(MATCH(orderHistory[customer],$D$9,0)*MATCH(orderHistory[order_type],$D$13,0)),MATCH(ROW(orderHistory[customer]),ROW(orderHistory[customer])),""),ROWS($A$15:A63)+$B$3)),INDEX(orderHistory[custom_docs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custom_docs],SMALL(IF(ISNUMBER(MATCH(orderHistory[customer],$D$9,0)*MATCH(orderHistory[status],$D$11,0)),MATCH(ROW(orderHistory[customer]),ROW(orderHistory[customer])),""),ROWS($A$15:A63)+$B$3)),INDEX(orderHistory[custom_docs],SMALL(IF(ISNUMBER(MATCH(orderHistory[customer],$D$9,0)*MATCH(orderHistory[status],$D$11,0)*MATCH(YEAR(orderHistory[status]),$D$15,0)),MATCH(ROW(orderHistory[customer]),ROW(orderHistory[customer])),""),ROWS($A$15:A63)+$B$3))),IF($D$15="",INDEX(orderHistory[custom_docs],SMALL(IF(ISNUMBER(MATCH(orderHistory[customer],$D$9,0)*MATCH(orderHistory[status],$D$11,0)*MATCH(orderHistory[order_type],$D$13,0)),MATCH(ROW(orderHistory[customer]),ROW(orderHistory[customer])),""),ROWS($A$15:A63)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AQ58" s="280"/>
      <c r="AR58" s="280" t="s">
        <v>580</v>
      </c>
      <c r="BG58" s="215"/>
      <c r="BK58" s="296"/>
      <c r="BL58" s="297"/>
      <c r="BM58" s="298"/>
      <c r="BN58" s="297"/>
      <c r="BO58" s="298"/>
      <c r="BZ58" s="412"/>
      <c r="CA58" s="401" t="str">
        <f>IFERROR(IF(BZ58="","",INDEX(bhpc_data[description],MATCH(BZ58,bhpc_data[sku],0))),"")</f>
        <v/>
      </c>
      <c r="CB58" s="403"/>
      <c r="CC58" s="886"/>
      <c r="CD58" s="410"/>
      <c r="CE58" s="890"/>
      <c r="CF58" s="404"/>
      <c r="CG58" s="405" t="str">
        <f>IFERROR(ROUNDUP(CB58/INDEX(bhpc_data[units_per_carton],MATCH(BZ58,bhpc_data[sku],0)),0),"")</f>
        <v/>
      </c>
      <c r="CH58" s="406" t="str">
        <f>IFERROR(ROUNDUP(CD58/INDEX(bhpc_data[units_per_carton],MATCH(BZ58,bhpc_data[sku],0)),0),"")</f>
        <v/>
      </c>
      <c r="CI58" s="406" t="str">
        <f>IFERROR(ROUNDUP(CF58/INDEX(bhpc_data[units_per_carton],MATCH(BZ58,bhpc_data[sku])),0),"")</f>
        <v/>
      </c>
      <c r="CJ58" s="406" t="str">
        <f>IFERROR(((CB58+CD58+CF58)/INDEX(bhpc_data[units_per_carton],MATCH(BZ58,bhpc_data[sku],0)))*INDEX(bhpc_data[net_weight],MATCH(BZ58,bhpc_data[sku],0)),"")</f>
        <v/>
      </c>
      <c r="CK58" s="406" t="str">
        <f>IFERROR(((CB58+CD58+CF58)/INDEX(bhpc_data[units_per_carton],MATCH(BZ58,bhpc_data[sku],0)))*INDEX(bhpc_data[gross_weight],MATCH(BZ58,bhpc_data[sku],0)),"")</f>
        <v/>
      </c>
      <c r="CL58" s="602" t="str">
        <f>IFERROR((CB58+CD58+CF58)/INDEX(bhpc_data[units_per_carton],MATCH(BZ58,bhpc_data[sku],0))*INDEX(bhpc_data[length],MATCH(BZ58,bhpc_data[sku],0))*INDEX(bhpc_data[width],MATCH(BZ58,bhpc_data[sku],0))*INDEX(bhpc_data[height],MATCH(BZ58,bhpc_data[sku],0))/1000000000,"")</f>
        <v/>
      </c>
      <c r="CM58" s="407" t="str">
        <f>IFERROR(INDEX(bhpc_data[category],MATCH(BZ58,bhpc_data[sku],0)),"")</f>
        <v/>
      </c>
      <c r="CN58" s="407" t="str">
        <f>IFERROR(INDEX(bhpc_data[size],MATCH(BZ58,bhpc_data[sku],0)),"")</f>
        <v/>
      </c>
      <c r="CO58" s="408" t="str">
        <f>IFERROR(INDEX(bhpc_data[hs_code],MATCH(BZ58,bhpc_data[sku],0)),"")</f>
        <v/>
      </c>
      <c r="CP58" s="489" t="str">
        <f>IFERROR(INDEX(bhpc_data[sku_geko],MATCH(BZ58,bhpc_data[sku],0)),"")</f>
        <v/>
      </c>
      <c r="CQ58" s="404"/>
      <c r="CR58" s="516" t="str">
        <f>IFERROR(IF(BZ58="","",IF($BX$15="SALE",INDEX(inventory[COSTO UNITARIO],MATCH(BZ58,inventory[SKU],0)),IF($BX$15="SAMPLING",INDEX(inventory[COSTO UNITARIO],MATCH(BZ58,inventory[SKU],0)),""))),"")</f>
        <v/>
      </c>
      <c r="CS58" s="516" t="str">
        <f t="shared" si="7"/>
        <v/>
      </c>
      <c r="CT58" s="896" t="str">
        <f t="shared" si="8"/>
        <v/>
      </c>
      <c r="CU58" s="469" t="str">
        <f t="shared" si="0"/>
        <v/>
      </c>
      <c r="DB58" s="280" t="str">
        <f>IFERROR(VLOOKUP(BZ58,bhpc_data[],22,FALSE),"")</f>
        <v/>
      </c>
      <c r="EE58" s="445" t="str" cm="1">
        <f t="array" ref="EE58">IFERROR(IF($EC$9="",IF($EC$11="",IF($EC$13="",INDEX(bhpc_data[sku],SMALL(MATCH(ROW(bhpc_data[sku]),ROW(bhpc_data[sku])),ROWS($A$15:A63)+$B$3)),INDEX(bhpc_data[sku],SMALL(IF(ISNUMBER(MATCH(bhpc_data[size],$EC$13,0)),MATCH(ROW(bhpc_data[sku]),ROW(bhpc_data[sku])),""),ROWS($A$15:A63)+$B$3))),IF($EC$13="",INDEX(bhpc_data[sku],SMALL(IF(ISNUMBER(MATCH(bhpc_data[sex],$EC$11,0)),MATCH(ROW(bhpc_data[sku]),ROW(bhpc_data[sku])),""),ROWS($A$15:A63)+$B$3)),INDEX(bhpc_data[sku],SMALL(IF(ISNUMBER(MATCH(bhpc_data[sex],$EC$11,0)*MATCH(bhpc_data[size],$EC$13,0)),MATCH(ROW(bhpc_data[sku]),ROW(bhpc_data[sku])),""),ROWS($A$15:A63)+$B$3)))),IF($EC$11="",IF($EC$13="",INDEX(bhpc_data[sku],SMALL(IF(ISNUMBER(MATCH(bhpc_data[category],$EC$9,0)),MATCH(ROW(bhpc_data[sku]),ROW(bhpc_data[sku])),""),ROWS($A$15:A63)+$B$3)),INDEX(bhpc_data[sku],SMALL(IF(ISNUMBER(MATCH(bhpc_data[category],$EC$9,0)*MATCH(bhpc_data[size],$EC$13,0)),MATCH(ROW(bhpc_data[sku]),ROW(bhpc_data[sku])),""),ROWS($A$15:A63)+$B$3))),IF($EC$13="",INDEX(bhpc_data[sku],SMALL(IF(ISNUMBER(MATCH(bhpc_data[category],$EC$9,0)*MATCH(bhpc_data[sex],$EC$11,0)),MATCH(ROW(bhpc_data[sku]),ROW(bhpc_data[sku])),""),ROWS($A$15:A63)+$B$3)),INDEX(bhpc_data[sku],SMALL(IF(ISNUMBER(MATCH(bhpc_data[category],$EC$9,0)*MATCH(bhpc_data[sex],$EC$11,0)*MATCH(bhpc_data[size],$EC$13,0)),MATCH(ROW(bhpc_data[sku]),ROW(bhpc_data[sku])),""),ROWS($A$15:A63)+$B$3))))),"")</f>
        <v>PBM001</v>
      </c>
      <c r="EF58" s="446" t="str" cm="1">
        <f t="array" ref="EF58">IFERROR(IF($EC$9="",IF($EC$11="",IF($EC$13="",INDEX(bhpc_data[description],SMALL(MATCH(ROW(bhpc_data[sku]),ROW(bhpc_data[sku])),ROWS($A$15:A63)+$B$3)),INDEX(bhpc_data[description],SMALL(IF(ISNUMBER(MATCH(bhpc_data[size],$EC$13,0)),MATCH(ROW(bhpc_data[sku]),ROW(bhpc_data[sku])),""),ROWS($A$15:A63)+$B$3))),IF($EC$13="",INDEX(bhpc_data[description],SMALL(IF(ISNUMBER(MATCH(bhpc_data[sex],$EC$11,0)),MATCH(ROW(bhpc_data[sku]),ROW(bhpc_data[sku])),""),ROWS($A$15:A63)+$B$3)),INDEX(bhpc_data[description],SMALL(IF(ISNUMBER(MATCH(bhpc_data[sex],$EC$11,0)*MATCH(bhpc_data[size],$EC$13,0)),MATCH(ROW(bhpc_data[sku]),ROW(bhpc_data[sku])),""),ROWS($A$15:A63)+$B$3)))),IF($EC$11="",IF($EC$13="",INDEX(bhpc_data[description],SMALL(IF(ISNUMBER(MATCH(bhpc_data[category],$EC$9,0)),MATCH(ROW(bhpc_data[sku]),ROW(bhpc_data[sku])),""),ROWS($A$15:A63)+$B$3)),INDEX(bhpc_data[description],SMALL(IF(ISNUMBER(MATCH(bhpc_data[category],$EC$9,0)*MATCH(bhpc_data[size],$EC$13,0)),MATCH(ROW(bhpc_data[sku]),ROW(bhpc_data[sku])),""),ROWS($A$15:A63)+$B$3))),IF($EC$13="",INDEX(bhpc_data[description],SMALL(IF(ISNUMBER(MATCH(bhpc_data[category],$EC$9,0)*MATCH(bhpc_data[sex],$EC$11,0)),MATCH(ROW(bhpc_data[sku]),ROW(bhpc_data[sku])),""),ROWS($A$15:A63)+$B$3)),INDEX(bhpc_data[description],SMALL(IF(ISNUMBER(MATCH(bhpc_data[category],$EC$9,0)*MATCH(bhpc_data[sex],$EC$11,0)*MATCH(bhpc_data[size],$EC$13,0)),MATCH(ROW(bhpc_data[sku]),ROW(bhpc_data[sku])),""),ROWS($A$15:A63)+$B$3))))),"")</f>
        <v>BHPC WOMEN BODY MIST #1 EVOKING GARDENIA 200ML</v>
      </c>
      <c r="EG58" s="447">
        <f>IFERROR(IF('BHPC MANAGER'!$EE58="","",INDEX(inventory[ESISTENZA],MATCH('BHPC MANAGER'!$EE58,inventory[SKU],0))),0)</f>
        <v>9507</v>
      </c>
      <c r="EH58" s="448">
        <v>-668</v>
      </c>
      <c r="EI58" s="448">
        <f t="shared" si="1"/>
        <v>8839</v>
      </c>
      <c r="EJ58" s="449">
        <v>0</v>
      </c>
      <c r="EK58" s="450">
        <f t="shared" si="2"/>
        <v>8839</v>
      </c>
      <c r="EO58" s="215" t="str">
        <f t="array" ref="EO58">IFERROR(INDEX(orderHistory[order_no],SMALL(IF(ISNUMBER(MATCH(orderHistory[status],$EO$7,0)),MATCH(ROW(orderHistory[order_no]),ROW(orderHistory[order_no])),""),ROWS($A$15:A63))),"")</f>
        <v/>
      </c>
    </row>
    <row r="59" spans="10:145" ht="15" customHeight="1" x14ac:dyDescent="0.35">
      <c r="L59" s="381" t="str">
        <f t="array" ref="L59">IFERROR(IF($D$9="",IF($D$11="",IF($D$13="",IF($D$15="",INDEX(orderHistory[customer],SMALL(MATCH(ROW(orderHistory[customer]),ROW(orderHistory[customer])),ROWS($A$15:A64)+$B$3)),INDEX(orderHistory[customer],SMALL(IF(ISNUMBER(MATCH(YEAR(orderHistory[invoice_date]),$D$15,0)),MATCH(ROW(orderHistory[customer]),ROW(orderHistory[customer])),""),ROWS($A$15:A64)+$B$3))),IF($D$15="",INDEX(orderHistory[customer],SMALL(IF(ISNUMBER(MATCH(orderHistory[order_type],$D$13,0)),MATCH(ROW(orderHistory[customer]),ROW(orderHistory[customer])),""),ROWS($A$15:A64)+$B$3)),INDEX(orderHistory[customer],SMALL(IF(ISNUMBER(MATCH(orderHistory[order_type],$D$13,0)*MATCH(YEAR(orderHistory[invoice_date]),$D$15,0)),MATCH(ROW(orderHistory[customer]),ROW(orderHistory[customer])),""),ROWS($A$15:A64)+$B$3)))),IF($D$13="",IF($D$15="",INDEX(orderHistory[customer],SMALL(IF(ISNUMBER(MATCH(orderHistory[status],$D$11,0)),MATCH(ROW(orderHistory[customer]),ROW(orderHistory[customer])),""),ROWS($A$15:A64)+$B$3)),INDEX(orderHistory[customer],SMALL(IF(ISNUMBER(MATCH(orderHistory[status],$D$11,0)*MATCH(YEAR(orderHistory[invoice_date]),$D$15,0)),MATCH(ROW(orderHistory[customer]),ROW(orderHistory[customer])),""),ROWS($A$15:A64)+$B$3))),IF($D$15="",INDEX(orderHistory[customer],SMALL(IF(ISNUMBER(MATCH(orderHistory[status],$D$11,0)*MATCH(orderHistory[order_type],$D$13,0)),MATCH(ROW(orderHistory[customer]),ROW(orderHistory[customer])),""),ROWS($A$15:A64)+$B$3)),INDEX(orderHistory[customer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customer],SMALL(IF(ISNUMBER(MATCH(orderHistory[customer],$D$9,0)),MATCH(ROW(orderHistory[customer]),ROW(orderHistory[customer])),""),ROWS($A$15:A64)+$B$3)),INDEX(orderHistory[customer],SMALL(IF(ISNUMBER(MATCH(orderHistory[customer],$D$9,0)*MATCH(YEAR(orderHistory[invoice_date]),$D$15,0)),MATCH(ROW(orderHistory[customer]),ROW(orderHistory[customer])),""),ROWS($A$15:A64)+$B$3))),IF($D$15="",INDEX(orderHistory[customer],SMALL(IF(ISNUMBER(MATCH(orderHistory[customer],$D$9,0)*MATCH(orderHistory[order_type],$D$13,0)),MATCH(ROW(orderHistory[customer]),ROW(orderHistory[customer])),""),ROWS($A$15:A64)+$B$3)),INDEX(orderHistory[customer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customer],SMALL(IF(ISNUMBER(MATCH(orderHistory[customer],$D$9,0)*MATCH(orderHistory[status],$D$11,0)),MATCH(ROW(orderHistory[customer]),ROW(orderHistory[customer])),""),ROWS($A$15:A64)+$B$3)),INDEX(orderHistory[customer],SMALL(IF(ISNUMBER(MATCH(orderHistory[customer],$D$9,0)*MATCH(orderHistory[status],$D$11,0)*MATCH(YEAR(orderHistory[invoice_date]),$D$15,0)),MATCH(ROW(orderHistory[customer]),ROW(orderHistory[customer])),""),ROWS($A$15:A64)+$B$3))),IF($D$15="",INDEX(orderHistory[customer],SMALL(IF(ISNUMBER(MATCH(orderHistory[customer],$D$9,0)*MATCH(orderHistory[status],$D$11,0)*MATCH(orderHistory[order_type],$D$13,0)),MATCH(ROW(orderHistory[customer]),ROW(orderHistory[customer])),""),ROWS($A$15:A64)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M59" s="382" t="str">
        <f t="array" ref="M59">IFERROR(IF($D$9="",IF($D$11="",IF($D$13="",IF($D$15="",INDEX(orderHistory[order_no],SMALL(MATCH(ROW(orderHistory[customer]),ROW(orderHistory[customer])),ROWS($A$15:A64)+$B$3)),INDEX(orderHistory[order_no],SMALL(IF(ISNUMBER(MATCH(YEAR(orderHistory[invoice_date]),$D$15,0)),MATCH(ROW(orderHistory[customer]),ROW(orderHistory[customer])),""),ROWS($A$15:A64)+$B$3))),IF($D$15="",INDEX(orderHistory[order_no],SMALL(IF(ISNUMBER(MATCH(orderHistory[order_type],$D$13,0)),MATCH(ROW(orderHistory[customer]),ROW(orderHistory[customer])),""),ROWS($A$15:A64)+$B$3)),INDEX(orderHistory[order_no],SMALL(IF(ISNUMBER(MATCH(orderHistory[order_type],$D$13,0)*MATCH(YEAR(orderHistory[invoice_date]),$D$15,0)),MATCH(ROW(orderHistory[customer]),ROW(orderHistory[customer])),""),ROWS($A$15:A64)+$B$3)))),IF($D$13="",IF($D$15="",INDEX(orderHistory[order_no],SMALL(IF(ISNUMBER(MATCH(orderHistory[status],$D$11,0)),MATCH(ROW(orderHistory[customer]),ROW(orderHistory[customer])),""),ROWS($A$15:A64)+$B$3)),INDEX(orderHistory[order_no],SMALL(IF(ISNUMBER(MATCH(orderHistory[status],$D$11,0)*MATCH(YEAR(orderHistory[invoice_date]),$D$15,0)),MATCH(ROW(orderHistory[customer]),ROW(orderHistory[customer])),""),ROWS($A$15:A64)+$B$3))),IF($D$15="",INDEX(orderHistory[order_no],SMALL(IF(ISNUMBER(MATCH(orderHistory[status],$D$11,0)*MATCH(orderHistory[order_type],$D$13,0)),MATCH(ROW(orderHistory[customer]),ROW(orderHistory[customer])),""),ROWS($A$15:A64)+$B$3)),INDEX(orderHistory[order_no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order_no],SMALL(IF(ISNUMBER(MATCH(orderHistory[customer],$D$9,0)),MATCH(ROW(orderHistory[customer]),ROW(orderHistory[customer])),""),ROWS($A$15:A64)+$B$3)),INDEX(orderHistory[order_no],SMALL(IF(ISNUMBER(MATCH(orderHistory[customer],$D$9,0)*MATCH(YEAR(orderHistory[invoice_date]),$D$15,0)),MATCH(ROW(orderHistory[customer]),ROW(orderHistory[customer])),""),ROWS($A$15:A64)+$B$3))),IF($D$15="",INDEX(orderHistory[order_no],SMALL(IF(ISNUMBER(MATCH(orderHistory[customer],$D$9,0)*MATCH(orderHistory[order_type],$D$13,0)),MATCH(ROW(orderHistory[customer]),ROW(orderHistory[customer])),""),ROWS($A$15:A64)+$B$3)),INDEX(orderHistory[order_no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order_no],SMALL(IF(ISNUMBER(MATCH(orderHistory[customer],$D$9,0)*MATCH(orderHistory[status],$D$11,0)),MATCH(ROW(orderHistory[customer]),ROW(orderHistory[customer])),""),ROWS($A$15:A64)+$B$3)),INDEX(orderHistory[order_no],SMALL(IF(ISNUMBER(MATCH(orderHistory[customer],$D$9,0)*MATCH(orderHistory[status],$D$11,0)*MATCH(YEAR(orderHistory[invoice_date]),$D$15,0)),MATCH(ROW(orderHistory[customer]),ROW(orderHistory[customer])),""),ROWS($A$15:A64)+$B$3))),IF($D$15="",INDEX(orderHistory[order_no],SMALL(IF(ISNUMBER(MATCH(orderHistory[customer],$D$9,0)*MATCH(orderHistory[status],$D$11,0)*MATCH(orderHistory[order_type],$D$13,0)),MATCH(ROW(orderHistory[customer]),ROW(orderHistory[customer])),""),ROWS($A$15:A64)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N59" s="383" t="str">
        <f t="array" ref="N59">IFERROR(IF($D$9="",IF($D$11="",IF($D$13="",IF($D$15="",INDEX(orderHistory[order_type],SMALL(MATCH(ROW(orderHistory[customer]),ROW(orderHistory[customer])),ROWS($A$15:A64)+$B$3)),INDEX(orderHistory[order_type],SMALL(IF(ISNUMBER(MATCH(YEAR(orderHistory[invoice_date]),$D$15,0)),MATCH(ROW(orderHistory[customer]),ROW(orderHistory[customer])),""),ROWS($A$15:A64)+$B$3))),IF($D$15="",INDEX(orderHistory[order_type],SMALL(IF(ISNUMBER(MATCH(orderHistory[order_type],$D$13,0)),MATCH(ROW(orderHistory[customer]),ROW(orderHistory[customer])),""),ROWS($A$15:A64)+$B$3)),INDEX(orderHistory[order_type],SMALL(IF(ISNUMBER(MATCH(orderHistory[order_type],$D$13,0)*MATCH(YEAR(orderHistory[invoice_date]),$D$15,0)),MATCH(ROW(orderHistory[customer]),ROW(orderHistory[customer])),""),ROWS($A$15:A64)+$B$3)))),IF($D$13="",IF($D$15="",INDEX(orderHistory[order_type],SMALL(IF(ISNUMBER(MATCH(orderHistory[status],$D$11,0)),MATCH(ROW(orderHistory[customer]),ROW(orderHistory[customer])),""),ROWS($A$15:A64)+$B$3)),INDEX(orderHistory[order_type],SMALL(IF(ISNUMBER(MATCH(orderHistory[status],$D$11,0)*MATCH(YEAR(orderHistory[invoice_date]),$D$15,0)),MATCH(ROW(orderHistory[customer]),ROW(orderHistory[customer])),""),ROWS($A$15:A64)+$B$3))),IF($D$15="",INDEX(orderHistory[order_type],SMALL(IF(ISNUMBER(MATCH(orderHistory[status],$D$11,0)*MATCH(orderHistory[order_type],$D$13,0)),MATCH(ROW(orderHistory[customer]),ROW(orderHistory[customer])),""),ROWS($A$15:A64)+$B$3)),INDEX(orderHistory[order_type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order_type],SMALL(IF(ISNUMBER(MATCH(orderHistory[customer],$D$9,0)),MATCH(ROW(orderHistory[customer]),ROW(orderHistory[customer])),""),ROWS($A$15:A64)+$B$3)),INDEX(orderHistory[order_type],SMALL(IF(ISNUMBER(MATCH(orderHistory[customer],$D$9,0)*MATCH(YEAR(orderHistory[invoice_date]),$D$15,0)),MATCH(ROW(orderHistory[customer]),ROW(orderHistory[customer])),""),ROWS($A$15:A64)+$B$3))),IF($D$15="",INDEX(orderHistory[order_type],SMALL(IF(ISNUMBER(MATCH(orderHistory[customer],$D$9,0)*MATCH(orderHistory[order_type],$D$13,0)),MATCH(ROW(orderHistory[customer]),ROW(orderHistory[customer])),""),ROWS($A$15:A64)+$B$3)),INDEX(orderHistory[order_type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order_type],SMALL(IF(ISNUMBER(MATCH(orderHistory[customer],$D$9,0)*MATCH(orderHistory[status],$D$11,0)),MATCH(ROW(orderHistory[customer]),ROW(orderHistory[customer])),""),ROWS($A$15:A64)+$B$3)),INDEX(orderHistory[order_type],SMALL(IF(ISNUMBER(MATCH(orderHistory[customer],$D$9,0)*MATCH(orderHistory[status],$D$11,0)*MATCH(YEAR(orderHistory[invoice_date]),$D$15,0)),MATCH(ROW(orderHistory[customer]),ROW(orderHistory[customer])),""),ROWS($A$15:A64)+$B$3))),IF($D$15="",INDEX(orderHistory[order_type],SMALL(IF(ISNUMBER(MATCH(orderHistory[customer],$D$9,0)*MATCH(orderHistory[status],$D$11,0)*MATCH(orderHistory[order_type],$D$13,0)),MATCH(ROW(orderHistory[customer]),ROW(orderHistory[customer])),""),ROWS($A$15:A64)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O59" s="384" t="str">
        <f t="array" ref="O59">IFERROR(IF($D$9="",IF($D$11="",IF($D$13="",IF($D$15="",INDEX(orderHistory[order_date],SMALL(MATCH(ROW(orderHistory[customer]),ROW(orderHistory[customer])),ROWS($A$15:A64)+$B$3)),INDEX(orderHistory[order_date],SMALL(IF(ISNUMBER(MATCH(YEAR(orderHistory[invoice_date]),$D$15,0)),MATCH(ROW(orderHistory[customer]),ROW(orderHistory[customer])),""),ROWS($A$15:A64)+$B$3))),IF($D$15="",INDEX(orderHistory[order_date],SMALL(IF(ISNUMBER(MATCH(orderHistory[order_type],$D$13,0)),MATCH(ROW(orderHistory[customer]),ROW(orderHistory[customer])),""),ROWS($A$15:A64)+$B$3)),INDEX(orderHistory[order_date],SMALL(IF(ISNUMBER(MATCH(orderHistory[order_type],$D$13,0)*MATCH(YEAR(orderHistory[invoice_date]),$D$15,0)),MATCH(ROW(orderHistory[customer]),ROW(orderHistory[customer])),""),ROWS($A$15:A64)+$B$3)))),IF($D$13="",IF($D$15="",INDEX(orderHistory[order_date],SMALL(IF(ISNUMBER(MATCH(orderHistory[status],$D$11,0)),MATCH(ROW(orderHistory[customer]),ROW(orderHistory[customer])),""),ROWS($A$15:A64)+$B$3)),INDEX(orderHistory[order_date],SMALL(IF(ISNUMBER(MATCH(orderHistory[status],$D$11,0)*MATCH(YEAR(orderHistory[invoice_date]),$D$15,0)),MATCH(ROW(orderHistory[customer]),ROW(orderHistory[customer])),""),ROWS($A$15:A64)+$B$3))),IF($D$15="",INDEX(orderHistory[order_date],SMALL(IF(ISNUMBER(MATCH(orderHistory[status],$D$11,0)*MATCH(orderHistory[order_type],$D$13,0)),MATCH(ROW(orderHistory[customer]),ROW(orderHistory[customer])),""),ROWS($A$15:A64)+$B$3)),INDEX(orderHistory[order_date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order_date],SMALL(IF(ISNUMBER(MATCH(orderHistory[customer],$D$9,0)),MATCH(ROW(orderHistory[customer]),ROW(orderHistory[customer])),""),ROWS($A$15:A64)+$B$3)),INDEX(orderHistory[order_date],SMALL(IF(ISNUMBER(MATCH(orderHistory[customer],$D$9,0)*MATCH(YEAR(orderHistory[invoice_date]),$D$15,0)),MATCH(ROW(orderHistory[customer]),ROW(orderHistory[customer])),""),ROWS($A$15:A64)+$B$3))),IF($D$15="",INDEX(orderHistory[order_date],SMALL(IF(ISNUMBER(MATCH(orderHistory[customer],$D$9,0)*MATCH(orderHistory[order_type],$D$13,0)),MATCH(ROW(orderHistory[customer]),ROW(orderHistory[customer])),""),ROWS($A$15:A64)+$B$3)),INDEX(orderHistory[order_date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order_date],SMALL(IF(ISNUMBER(MATCH(orderHistory[customer],$D$9,0)*MATCH(orderHistory[status],$D$11,0)),MATCH(ROW(orderHistory[customer]),ROW(orderHistory[customer])),""),ROWS($A$15:A64)+$B$3)),INDEX(orderHistory[order_date],SMALL(IF(ISNUMBER(MATCH(orderHistory[customer],$D$9,0)*MATCH(orderHistory[status],$D$11,0)*MATCH(YEAR(orderHistory[invoice_date]),$D$15,0)),MATCH(ROW(orderHistory[customer]),ROW(orderHistory[customer])),""),ROWS($A$15:A64)+$B$3))),IF($D$15="",INDEX(orderHistory[order_date],SMALL(IF(ISNUMBER(MATCH(orderHistory[customer],$D$9,0)*MATCH(orderHistory[status],$D$11,0)*MATCH(orderHistory[order_type],$D$13,0)),MATCH(ROW(orderHistory[customer]),ROW(orderHistory[customer])),""),ROWS($A$15:A64)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P59" s="385" t="str">
        <f t="array" ref="P59">IFERROR(IF($D$9="",IF($D$11="",IF($D$13="",IF($D$15="",INDEX(orderHistory[invoice_no],SMALL(MATCH(ROW(orderHistory[customer]),ROW(orderHistory[customer])),ROWS($A$15:A64)+$B$3)),INDEX(orderHistory[invoice_no],SMALL(IF(ISNUMBER(MATCH(YEAR(orderHistory[invoice_date]),$D$15,0)),MATCH(ROW(orderHistory[customer]),ROW(orderHistory[customer])),""),ROWS($A$15:A64)+$B$3))),IF($D$15="",INDEX(orderHistory[invoice_no],SMALL(IF(ISNUMBER(MATCH(orderHistory[order_type],$D$13,0)),MATCH(ROW(orderHistory[customer]),ROW(orderHistory[customer])),""),ROWS($A$15:A64)+$B$3)),INDEX(orderHistory[invoice_no],SMALL(IF(ISNUMBER(MATCH(orderHistory[order_type],$D$13,0)*MATCH(YEAR(orderHistory[invoice_date]),$D$15,0)),MATCH(ROW(orderHistory[customer]),ROW(orderHistory[customer])),""),ROWS($A$15:A64)+$B$3)))),IF($D$13="",IF($D$15="",INDEX(orderHistory[invoice_no],SMALL(IF(ISNUMBER(MATCH(orderHistory[status],$D$11,0)),MATCH(ROW(orderHistory[customer]),ROW(orderHistory[customer])),""),ROWS($A$15:A64)+$B$3)),INDEX(orderHistory[invoice_no],SMALL(IF(ISNUMBER(MATCH(orderHistory[status],$D$11,0)*MATCH(YEAR(orderHistory[invoice_date]),$D$15,0)),MATCH(ROW(orderHistory[customer]),ROW(orderHistory[customer])),""),ROWS($A$15:A64)+$B$3))),IF($D$15="",INDEX(orderHistory[invoice_no],SMALL(IF(ISNUMBER(MATCH(orderHistory[status],$D$11,0)*MATCH(orderHistory[order_type],$D$13,0)),MATCH(ROW(orderHistory[customer]),ROW(orderHistory[customer])),""),ROWS($A$15:A64)+$B$3)),INDEX(orderHistory[invoice_no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invoice_no],SMALL(IF(ISNUMBER(MATCH(orderHistory[customer],$D$9,0)),MATCH(ROW(orderHistory[customer]),ROW(orderHistory[customer])),""),ROWS($A$15:A64)+$B$3)),INDEX(orderHistory[invoice_no],SMALL(IF(ISNUMBER(MATCH(orderHistory[customer],$D$9,0)*MATCH(YEAR(orderHistory[invoice_date]),$D$15,0)),MATCH(ROW(orderHistory[customer]),ROW(orderHistory[customer])),""),ROWS($A$15:A64)+$B$3))),IF($D$15="",INDEX(orderHistory[invoice_no],SMALL(IF(ISNUMBER(MATCH(orderHistory[customer],$D$9,0)*MATCH(orderHistory[order_type],$D$13,0)),MATCH(ROW(orderHistory[customer]),ROW(orderHistory[customer])),""),ROWS($A$15:A64)+$B$3)),INDEX(orderHistory[invoice_no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invoice_no],SMALL(IF(ISNUMBER(MATCH(orderHistory[customer],$D$9,0)*MATCH(orderHistory[status],$D$11,0)),MATCH(ROW(orderHistory[customer]),ROW(orderHistory[customer])),""),ROWS($A$15:A64)+$B$3)),INDEX(orderHistory[invoice_no],SMALL(IF(ISNUMBER(MATCH(orderHistory[customer],$D$9,0)*MATCH(orderHistory[status],$D$11,0)*MATCH(YEAR(orderHistory[invoice_date]),$D$15,0)),MATCH(ROW(orderHistory[customer]),ROW(orderHistory[customer])),""),ROWS($A$15:A64)+$B$3))),IF($D$15="",INDEX(orderHistory[invoice_no],SMALL(IF(ISNUMBER(MATCH(orderHistory[customer],$D$9,0)*MATCH(orderHistory[status],$D$11,0)*MATCH(orderHistory[order_type],$D$13,0)),MATCH(ROW(orderHistory[customer]),ROW(orderHistory[customer])),""),ROWS($A$15:A64)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Q59" s="386" t="str">
        <f t="array" ref="Q59">IFERROR(IF($D$9="",IF($D$11="",IF($D$13="",IF($D$15="",INDEX(orderHistory[invoice_date],SMALL(MATCH(ROW(orderHistory[customer]),ROW(orderHistory[customer])),ROWS($A$15:A64)+$B$3)),INDEX(orderHistory[invoice_date],SMALL(IF(ISNUMBER(MATCH(YEAR(orderHistory[invoice_date]),$D$15,0)),MATCH(ROW(orderHistory[customer]),ROW(orderHistory[customer])),""),ROWS($A$15:A64)+$B$3))),IF($D$15="",INDEX(orderHistory[invoice_date],SMALL(IF(ISNUMBER(MATCH(orderHistory[order_type],$D$13,0)),MATCH(ROW(orderHistory[customer]),ROW(orderHistory[customer])),""),ROWS($A$15:A64)+$B$3)),INDEX(orderHistory[invoice_date],SMALL(IF(ISNUMBER(MATCH(orderHistory[order_type],$D$13,0)*MATCH(YEAR(orderHistory[invoice_date]),$D$15,0)),MATCH(ROW(orderHistory[customer]),ROW(orderHistory[customer])),""),ROWS($A$15:A64)+$B$3)))),IF($D$13="",IF($D$15="",INDEX(orderHistory[invoice_date],SMALL(IF(ISNUMBER(MATCH(orderHistory[status],$D$11,0)),MATCH(ROW(orderHistory[customer]),ROW(orderHistory[customer])),""),ROWS($A$15:A64)+$B$3)),INDEX(orderHistory[invoice_date],SMALL(IF(ISNUMBER(MATCH(orderHistory[status],$D$11,0)*MATCH(YEAR(orderHistory[invoice_date]),$D$15,0)),MATCH(ROW(orderHistory[customer]),ROW(orderHistory[customer])),""),ROWS($A$15:A64)+$B$3))),IF($D$15="",INDEX(orderHistory[invoice_date],SMALL(IF(ISNUMBER(MATCH(orderHistory[status],$D$11,0)*MATCH(orderHistory[order_type],$D$13,0)),MATCH(ROW(orderHistory[customer]),ROW(orderHistory[customer])),""),ROWS($A$15:A64)+$B$3)),INDEX(orderHistory[invoice_date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invoice_date],SMALL(IF(ISNUMBER(MATCH(orderHistory[customer],$D$9,0)),MATCH(ROW(orderHistory[customer]),ROW(orderHistory[customer])),""),ROWS($A$15:A64)+$B$3)),INDEX(orderHistory[invoice_date],SMALL(IF(ISNUMBER(MATCH(orderHistory[customer],$D$9,0)*MATCH(YEAR(orderHistory[invoice_date]),$D$15,0)),MATCH(ROW(orderHistory[customer]),ROW(orderHistory[customer])),""),ROWS($A$15:A64)+$B$3))),IF($D$15="",INDEX(orderHistory[invoice_date],SMALL(IF(ISNUMBER(MATCH(orderHistory[customer],$D$9,0)*MATCH(orderHistory[order_type],$D$13,0)),MATCH(ROW(orderHistory[customer]),ROW(orderHistory[customer])),""),ROWS($A$15:A64)+$B$3)),INDEX(orderHistory[invoice_date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invoice_date],SMALL(IF(ISNUMBER(MATCH(orderHistory[customer],$D$9,0)*MATCH(orderHistory[status],$D$11,0)),MATCH(ROW(orderHistory[customer]),ROW(orderHistory[customer])),""),ROWS($A$15:A64)+$B$3)),INDEX(orderHistory[invoice_date],SMALL(IF(ISNUMBER(MATCH(orderHistory[customer],$D$9,0)*MATCH(orderHistory[status],$D$11,0)*MATCH(YEAR(orderHistory[invoice_date]),$D$15,0)),MATCH(ROW(orderHistory[customer]),ROW(orderHistory[customer])),""),ROWS($A$15:A64)+$B$3))),IF($D$15="",INDEX(orderHistory[invoice_date],SMALL(IF(ISNUMBER(MATCH(orderHistory[customer],$D$9,0)*MATCH(orderHistory[status],$D$11,0)*MATCH(orderHistory[order_type],$D$13,0)),MATCH(ROW(orderHistory[customer]),ROW(orderHistory[customer])),""),ROWS($A$15:A64)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R59" s="387" t="str">
        <f t="array" ref="R59">IFERROR(IF($D$9="",IF($D$11="",IF($D$13="",IF($D$15="",INDEX(orderHistory[inv_amount],SMALL(MATCH(ROW(orderHistory[customer]),ROW(orderHistory[customer])),ROWS($A$15:A64)+$B$3)),INDEX(orderHistory[inv_amount],SMALL(IF(ISNUMBER(MATCH(YEAR(orderHistory[invoice_date]),$D$15,0)),MATCH(ROW(orderHistory[customer]),ROW(orderHistory[customer])),""),ROWS($A$15:A64)+$B$3))),IF($D$15="",INDEX(orderHistory[inv_amount],SMALL(IF(ISNUMBER(MATCH(orderHistory[order_type],$D$13,0)),MATCH(ROW(orderHistory[customer]),ROW(orderHistory[customer])),""),ROWS($A$15:A64)+$B$3)),INDEX(orderHistory[inv_amount],SMALL(IF(ISNUMBER(MATCH(orderHistory[order_type],$D$13,0)*MATCH(YEAR(orderHistory[invoice_date]),$D$15,0)),MATCH(ROW(orderHistory[customer]),ROW(orderHistory[customer])),""),ROWS($A$15:A64)+$B$3)))),IF($D$13="",IF($D$15="",INDEX(orderHistory[inv_amount],SMALL(IF(ISNUMBER(MATCH(orderHistory[status],$D$11,0)),MATCH(ROW(orderHistory[customer]),ROW(orderHistory[customer])),""),ROWS($A$15:A64)+$B$3)),INDEX(orderHistory[inv_amount],SMALL(IF(ISNUMBER(MATCH(orderHistory[status],$D$11,0)*MATCH(YEAR(orderHistory[invoice_date]),$D$15,0)),MATCH(ROW(orderHistory[customer]),ROW(orderHistory[customer])),""),ROWS($A$15:A64)+$B$3))),IF($D$15="",INDEX(orderHistory[inv_amount],SMALL(IF(ISNUMBER(MATCH(orderHistory[status],$D$11,0)*MATCH(orderHistory[order_type],$D$13,0)),MATCH(ROW(orderHistory[customer]),ROW(orderHistory[customer])),""),ROWS($A$15:A64)+$B$3)),INDEX(orderHistory[inv_amount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inv_amount],SMALL(IF(ISNUMBER(MATCH(orderHistory[customer],$D$9,0)),MATCH(ROW(orderHistory[customer]),ROW(orderHistory[customer])),""),ROWS($A$15:A64)+$B$3)),INDEX(orderHistory[inv_amount],SMALL(IF(ISNUMBER(MATCH(orderHistory[customer],$D$9,0)*MATCH(YEAR(orderHistory[invoice_date]),$D$15,0)),MATCH(ROW(orderHistory[customer]),ROW(orderHistory[customer])),""),ROWS($A$15:A64)+$B$3))),IF($D$15="",INDEX(orderHistory[inv_amount],SMALL(IF(ISNUMBER(MATCH(orderHistory[customer],$D$9,0)*MATCH(orderHistory[order_type],$D$13,0)),MATCH(ROW(orderHistory[customer]),ROW(orderHistory[customer])),""),ROWS($A$15:A64)+$B$3)),INDEX(orderHistory[inv_amount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inv_amount],SMALL(IF(ISNUMBER(MATCH(orderHistory[customer],$D$9,0)*MATCH(orderHistory[status],$D$11,0)),MATCH(ROW(orderHistory[customer]),ROW(orderHistory[customer])),""),ROWS($A$15:A64)+$B$3)),INDEX(orderHistory[inv_amount],SMALL(IF(ISNUMBER(MATCH(orderHistory[customer],$D$9,0)*MATCH(orderHistory[status],$D$11,0)*MATCH(YEAR(orderHistory[inv_amount]),$D$15,0)),MATCH(ROW(orderHistory[customer]),ROW(orderHistory[customer])),""),ROWS($A$15:A64)+$B$3))),IF($D$15="",INDEX(orderHistory[inv_amount],SMALL(IF(ISNUMBER(MATCH(orderHistory[customer],$D$9,0)*MATCH(orderHistory[status],$D$11,0)*MATCH(orderHistory[order_type],$D$13,0)),MATCH(ROW(orderHistory[customer]),ROW(orderHistory[customer])),""),ROWS($A$15:A64)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S59" s="465" t="str">
        <f t="array" ref="S59">IFERROR(IF($D$9="",IF($D$11="",IF($D$13="",IF($D$15="",INDEX(orderHistory[lock_goods],SMALL(MATCH(ROW(orderHistory[customer]),ROW(orderHistory[customer])),ROWS($A$15:A64)+$B$3)),INDEX(orderHistory[lock_goods],SMALL(IF(ISNUMBER(MATCH(YEAR(orderHistory[invoice_date]),$D$15,0)),MATCH(ROW(orderHistory[customer]),ROW(orderHistory[customer])),""),ROWS($A$15:A64)+$B$3))),IF($D$15="",INDEX(orderHistory[lock_goods],SMALL(IF(ISNUMBER(MATCH(orderHistory[order_type],$D$13,0)),MATCH(ROW(orderHistory[customer]),ROW(orderHistory[customer])),""),ROWS($A$15:A64)+$B$3)),INDEX(orderHistory[lock_goods],SMALL(IF(ISNUMBER(MATCH(orderHistory[order_type],$D$13,0)*MATCH(YEAR(orderHistory[invoice_date]),$D$15,0)),MATCH(ROW(orderHistory[customer]),ROW(orderHistory[customer])),""),ROWS($A$15:A64)+$B$3)))),IF($D$13="",IF($D$15="",INDEX(orderHistory[lock_goods],SMALL(IF(ISNUMBER(MATCH(orderHistory[status],$D$11,0)),MATCH(ROW(orderHistory[customer]),ROW(orderHistory[customer])),""),ROWS($A$15:A64)+$B$3)),INDEX(orderHistory[lock_goods],SMALL(IF(ISNUMBER(MATCH(orderHistory[status],$D$11,0)*MATCH(YEAR(orderHistory[invoice_date]),$D$15,0)),MATCH(ROW(orderHistory[customer]),ROW(orderHistory[customer])),""),ROWS($A$15:A64)+$B$3))),IF($D$15="",INDEX(orderHistory[lock_goods],SMALL(IF(ISNUMBER(MATCH(orderHistory[status],$D$11,0)*MATCH(orderHistory[order_type],$D$13,0)),MATCH(ROW(orderHistory[customer]),ROW(orderHistory[customer])),""),ROWS($A$15:A64)+$B$3)),INDEX(orderHistory[lock_goods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lock_goods],SMALL(IF(ISNUMBER(MATCH(orderHistory[customer],$D$9,0)),MATCH(ROW(orderHistory[customer]),ROW(orderHistory[customer])),""),ROWS($A$15:A64)+$B$3)),INDEX(orderHistory[lock_goods],SMALL(IF(ISNUMBER(MATCH(orderHistory[customer],$D$9,0)*MATCH(YEAR(orderHistory[invoice_date]),$D$15,0)),MATCH(ROW(orderHistory[customer]),ROW(orderHistory[customer])),""),ROWS($A$15:A64)+$B$3))),IF($D$15="",INDEX(orderHistory[lock_goods],SMALL(IF(ISNUMBER(MATCH(orderHistory[customer],$D$9,0)*MATCH(orderHistory[order_type],$D$13,0)),MATCH(ROW(orderHistory[customer]),ROW(orderHistory[customer])),""),ROWS($A$15:A64)+$B$3)),INDEX(orderHistory[lock_goods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lock_goods],SMALL(IF(ISNUMBER(MATCH(orderHistory[customer],$D$9,0)*MATCH(orderHistory[status],$D$11,0)),MATCH(ROW(orderHistory[customer]),ROW(orderHistory[customer])),""),ROWS($A$15:A64)+$B$3)),INDEX(orderHistory[lock_goods],SMALL(IF(ISNUMBER(MATCH(orderHistory[customer],$D$9,0)*MATCH(orderHistory[status],$D$11,0)*MATCH(YEAR(orderHistory[payed]),$D$15,0)),MATCH(ROW(orderHistory[customer]),ROW(orderHistory[customer])),""),ROWS($A$15:A64)+$B$3))),IF($D$15="",INDEX(orderHistory[lock_goods],SMALL(IF(ISNUMBER(MATCH(orderHistory[customer],$D$9,0)*MATCH(orderHistory[status],$D$11,0)*MATCH(orderHistory[order_type],$D$13,0)),MATCH(ROW(orderHistory[customer]),ROW(orderHistory[customer])),""),ROWS($A$15:A64)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T59" s="388" t="str">
        <f t="array" ref="T59">IFERROR(IF($D$9="",IF($D$11="",IF($D$13="",IF($D$15="",INDEX(orderHistory[payed],SMALL(MATCH(ROW(orderHistory[customer]),ROW(orderHistory[customer])),ROWS($A$15:A64)+$B$3)),INDEX(orderHistory[payed],SMALL(IF(ISNUMBER(MATCH(YEAR(orderHistory[invoice_date]),$D$15,0)),MATCH(ROW(orderHistory[customer]),ROW(orderHistory[customer])),""),ROWS($A$15:A64)+$B$3))),IF($D$15="",INDEX(orderHistory[payed],SMALL(IF(ISNUMBER(MATCH(orderHistory[order_type],$D$13,0)),MATCH(ROW(orderHistory[customer]),ROW(orderHistory[customer])),""),ROWS($A$15:A64)+$B$3)),INDEX(orderHistory[payed],SMALL(IF(ISNUMBER(MATCH(orderHistory[order_type],$D$13,0)*MATCH(YEAR(orderHistory[invoice_date]),$D$15,0)),MATCH(ROW(orderHistory[customer]),ROW(orderHistory[customer])),""),ROWS($A$15:A64)+$B$3)))),IF($D$13="",IF($D$15="",INDEX(orderHistory[payed],SMALL(IF(ISNUMBER(MATCH(orderHistory[status],$D$11,0)),MATCH(ROW(orderHistory[customer]),ROW(orderHistory[customer])),""),ROWS($A$15:A64)+$B$3)),INDEX(orderHistory[payed],SMALL(IF(ISNUMBER(MATCH(orderHistory[status],$D$11,0)*MATCH(YEAR(orderHistory[invoice_date]),$D$15,0)),MATCH(ROW(orderHistory[customer]),ROW(orderHistory[customer])),""),ROWS($A$15:A64)+$B$3))),IF($D$15="",INDEX(orderHistory[payed],SMALL(IF(ISNUMBER(MATCH(orderHistory[status],$D$11,0)*MATCH(orderHistory[order_type],$D$13,0)),MATCH(ROW(orderHistory[customer]),ROW(orderHistory[customer])),""),ROWS($A$15:A64)+$B$3)),INDEX(orderHistory[payed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payed],SMALL(IF(ISNUMBER(MATCH(orderHistory[customer],$D$9,0)),MATCH(ROW(orderHistory[customer]),ROW(orderHistory[customer])),""),ROWS($A$15:A64)+$B$3)),INDEX(orderHistory[payed],SMALL(IF(ISNUMBER(MATCH(orderHistory[customer],$D$9,0)*MATCH(YEAR(orderHistory[invoice_date]),$D$15,0)),MATCH(ROW(orderHistory[customer]),ROW(orderHistory[customer])),""),ROWS($A$15:A64)+$B$3))),IF($D$15="",INDEX(orderHistory[payed],SMALL(IF(ISNUMBER(MATCH(orderHistory[customer],$D$9,0)*MATCH(orderHistory[order_type],$D$13,0)),MATCH(ROW(orderHistory[customer]),ROW(orderHistory[customer])),""),ROWS($A$15:A64)+$B$3)),INDEX(orderHistory[payed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payed],SMALL(IF(ISNUMBER(MATCH(orderHistory[customer],$D$9,0)*MATCH(orderHistory[status],$D$11,0)),MATCH(ROW(orderHistory[customer]),ROW(orderHistory[customer])),""),ROWS($A$15:A64)+$B$3)),INDEX(orderHistory[payed],SMALL(IF(ISNUMBER(MATCH(orderHistory[customer],$D$9,0)*MATCH(orderHistory[status],$D$11,0)*MATCH(YEAR(orderHistory[payed]),$D$15,0)),MATCH(ROW(orderHistory[customer]),ROW(orderHistory[customer])),""),ROWS($A$15:A64)+$B$3))),IF($D$15="",INDEX(orderHistory[payed],SMALL(IF(ISNUMBER(MATCH(orderHistory[customer],$D$9,0)*MATCH(orderHistory[status],$D$11,0)*MATCH(orderHistory[order_type],$D$13,0)),MATCH(ROW(orderHistory[customer]),ROW(orderHistory[customer])),""),ROWS($A$15:A64)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U59" s="383" t="str">
        <f t="array" ref="U59">IFERROR(IF($D$9="",IF($D$11="",IF($D$13="",IF($D$15="",INDEX(orderHistory[shipping_method],SMALL(MATCH(ROW(orderHistory[customer]),ROW(orderHistory[customer])),ROWS($A$15:A64)+$B$3)),INDEX(orderHistory[shipping_method],SMALL(IF(ISNUMBER(MATCH(YEAR(orderHistory[invoice_date]),$D$15,0)),MATCH(ROW(orderHistory[customer]),ROW(orderHistory[customer])),""),ROWS($A$15:A64)+$B$3))),IF($D$15="",INDEX(orderHistory[shipping_method],SMALL(IF(ISNUMBER(MATCH(orderHistory[order_type],$D$13,0)),MATCH(ROW(orderHistory[customer]),ROW(orderHistory[customer])),""),ROWS($A$15:A64)+$B$3)),INDEX(orderHistory[shipping_method],SMALL(IF(ISNUMBER(MATCH(orderHistory[order_type],$D$13,0)*MATCH(YEAR(orderHistory[invoice_date]),$D$15,0)),MATCH(ROW(orderHistory[customer]),ROW(orderHistory[customer])),""),ROWS($A$15:A64)+$B$3)))),IF($D$13="",IF($D$15="",INDEX(orderHistory[shipping_method],SMALL(IF(ISNUMBER(MATCH(orderHistory[status],$D$11,0)),MATCH(ROW(orderHistory[customer]),ROW(orderHistory[customer])),""),ROWS($A$15:A64)+$B$3)),INDEX(orderHistory[shipping_method],SMALL(IF(ISNUMBER(MATCH(orderHistory[status],$D$11,0)*MATCH(YEAR(orderHistory[invoice_date]),$D$15,0)),MATCH(ROW(orderHistory[customer]),ROW(orderHistory[customer])),""),ROWS($A$15:A64)+$B$3))),IF($D$15="",INDEX(orderHistory[shipping_method],SMALL(IF(ISNUMBER(MATCH(orderHistory[status],$D$11,0)*MATCH(orderHistory[order_type],$D$13,0)),MATCH(ROW(orderHistory[customer]),ROW(orderHistory[customer])),""),ROWS($A$15:A64)+$B$3)),INDEX(orderHistory[shipping_method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shipping_method],SMALL(IF(ISNUMBER(MATCH(orderHistory[customer],$D$9,0)),MATCH(ROW(orderHistory[customer]),ROW(orderHistory[customer])),""),ROWS($A$15:A64)+$B$3)),INDEX(orderHistory[shipping_method],SMALL(IF(ISNUMBER(MATCH(orderHistory[customer],$D$9,0)*MATCH(YEAR(orderHistory[invoice_date]),$D$15,0)),MATCH(ROW(orderHistory[customer]),ROW(orderHistory[customer])),""),ROWS($A$15:A64)+$B$3))),IF($D$15="",INDEX(orderHistory[shipping_method],SMALL(IF(ISNUMBER(MATCH(orderHistory[customer],$D$9,0)*MATCH(orderHistory[order_type],$D$13,0)),MATCH(ROW(orderHistory[customer]),ROW(orderHistory[customer])),""),ROWS($A$15:A64)+$B$3)),INDEX(orderHistory[shipping_method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shipping_method],SMALL(IF(ISNUMBER(MATCH(orderHistory[customer],$D$9,0)*MATCH(orderHistory[status],$D$11,0)),MATCH(ROW(orderHistory[customer]),ROW(orderHistory[customer])),""),ROWS($A$15:A64)+$B$3)),INDEX(orderHistory[shipping_method],SMALL(IF(ISNUMBER(MATCH(orderHistory[customer],$D$9,0)*MATCH(orderHistory[status],$D$11,0)*MATCH(YEAR(orderHistory[shipping_method]),$D$15,0)),MATCH(ROW(orderHistory[customer]),ROW(orderHistory[customer])),""),ROWS($A$15:A64)+$B$3))),IF($D$15="",INDEX(orderHistory[shipping_method],SMALL(IF(ISNUMBER(MATCH(orderHistory[customer],$D$9,0)*MATCH(orderHistory[status],$D$11,0)*MATCH(orderHistory[order_type],$D$13,0)),MATCH(ROW(orderHistory[customer]),ROW(orderHistory[customer])),""),ROWS($A$15:A64)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V59" s="388" t="str">
        <f t="array" ref="V59">IFERROR(IF($D$9="",IF($D$11="",IF($D$13="",IF($D$15="",INDEX(orderHistory[status],SMALL(MATCH(ROW(orderHistory[customer]),ROW(orderHistory[customer])),ROWS($A$15:A64)+$B$3)),INDEX(orderHistory[status],SMALL(IF(ISNUMBER(MATCH(YEAR(orderHistory[invoice_date]),$D$15,0)),MATCH(ROW(orderHistory[customer]),ROW(orderHistory[customer])),""),ROWS($A$15:A64)+$B$3))),IF($D$15="",INDEX(orderHistory[status],SMALL(IF(ISNUMBER(MATCH(orderHistory[order_type],$D$13,0)),MATCH(ROW(orderHistory[customer]),ROW(orderHistory[customer])),""),ROWS($A$15:A64)+$B$3)),INDEX(orderHistory[status],SMALL(IF(ISNUMBER(MATCH(orderHistory[order_type],$D$13,0)*MATCH(YEAR(orderHistory[invoice_date]),$D$15,0)),MATCH(ROW(orderHistory[customer]),ROW(orderHistory[customer])),""),ROWS($A$15:A64)+$B$3)))),IF($D$13="",IF($D$15="",INDEX(orderHistory[status],SMALL(IF(ISNUMBER(MATCH(orderHistory[status],$D$11,0)),MATCH(ROW(orderHistory[customer]),ROW(orderHistory[customer])),""),ROWS($A$15:A64)+$B$3)),INDEX(orderHistory[status],SMALL(IF(ISNUMBER(MATCH(orderHistory[status],$D$11,0)*MATCH(YEAR(orderHistory[invoice_date]),$D$15,0)),MATCH(ROW(orderHistory[customer]),ROW(orderHistory[customer])),""),ROWS($A$15:A64)+$B$3))),IF($D$15="",INDEX(orderHistory[status],SMALL(IF(ISNUMBER(MATCH(orderHistory[status],$D$11,0)*MATCH(orderHistory[order_type],$D$13,0)),MATCH(ROW(orderHistory[customer]),ROW(orderHistory[customer])),""),ROWS($A$15:A64)+$B$3)),INDEX(orderHistory[status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status],SMALL(IF(ISNUMBER(MATCH(orderHistory[customer],$D$9,0)),MATCH(ROW(orderHistory[customer]),ROW(orderHistory[customer])),""),ROWS($A$15:A64)+$B$3)),INDEX(orderHistory[status],SMALL(IF(ISNUMBER(MATCH(orderHistory[customer],$D$9,0)*MATCH(YEAR(orderHistory[invoice_date]),$D$15,0)),MATCH(ROW(orderHistory[customer]),ROW(orderHistory[customer])),""),ROWS($A$15:A64)+$B$3))),IF($D$15="",INDEX(orderHistory[status],SMALL(IF(ISNUMBER(MATCH(orderHistory[customer],$D$9,0)*MATCH(orderHistory[order_type],$D$13,0)),MATCH(ROW(orderHistory[customer]),ROW(orderHistory[customer])),""),ROWS($A$15:A64)+$B$3)),INDEX(orderHistory[status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status],SMALL(IF(ISNUMBER(MATCH(orderHistory[customer],$D$9,0)*MATCH(orderHistory[status],$D$11,0)),MATCH(ROW(orderHistory[customer]),ROW(orderHistory[customer])),""),ROWS($A$15:A64)+$B$3)),INDEX(orderHistory[status],SMALL(IF(ISNUMBER(MATCH(orderHistory[customer],$D$9,0)*MATCH(orderHistory[status],$D$11,0)*MATCH(YEAR(orderHistory[status]),$D$15,0)),MATCH(ROW(orderHistory[customer]),ROW(orderHistory[customer])),""),ROWS($A$15:A64)+$B$3))),IF($D$15="",INDEX(orderHistory[status],SMALL(IF(ISNUMBER(MATCH(orderHistory[customer],$D$9,0)*MATCH(orderHistory[status],$D$11,0)*MATCH(orderHistory[order_type],$D$13,0)),MATCH(ROW(orderHistory[customer]),ROW(orderHistory[customer])),""),ROWS($A$15:A64)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W59" s="547" t="str">
        <f t="array" ref="W59">IFERROR(IF($D$9="",IF($D$11="",IF($D$13="",IF($D$15="",INDEX(orderHistory[custom_docs],SMALL(MATCH(ROW(orderHistory[customer]),ROW(orderHistory[customer])),ROWS($A$15:A64)+$B$3)),INDEX(orderHistory[custom_docs],SMALL(IF(ISNUMBER(MATCH(YEAR(orderHistory[invoice_date]),$D$15,0)),MATCH(ROW(orderHistory[customer]),ROW(orderHistory[customer])),""),ROWS($A$15:A64)+$B$3))),IF($D$15="",INDEX(orderHistory[custom_docs],SMALL(IF(ISNUMBER(MATCH(orderHistory[order_type],$D$13,0)),MATCH(ROW(orderHistory[customer]),ROW(orderHistory[customer])),""),ROWS($A$15:A64)+$B$3)),INDEX(orderHistory[custom_docs],SMALL(IF(ISNUMBER(MATCH(orderHistory[order_type],$D$13,0)*MATCH(YEAR(orderHistory[invoice_date]),$D$15,0)),MATCH(ROW(orderHistory[customer]),ROW(orderHistory[customer])),""),ROWS($A$15:A64)+$B$3)))),IF($D$13="",IF($D$15="",INDEX(orderHistory[custom_docs],SMALL(IF(ISNUMBER(MATCH(orderHistory[status],$D$11,0)),MATCH(ROW(orderHistory[customer]),ROW(orderHistory[customer])),""),ROWS($A$15:A64)+$B$3)),INDEX(orderHistory[custom_docs],SMALL(IF(ISNUMBER(MATCH(orderHistory[status],$D$11,0)*MATCH(YEAR(orderHistory[invoice_date]),$D$15,0)),MATCH(ROW(orderHistory[customer]),ROW(orderHistory[customer])),""),ROWS($A$15:A64)+$B$3))),IF($D$15="",INDEX(orderHistory[custom_docs],SMALL(IF(ISNUMBER(MATCH(orderHistory[status],$D$11,0)*MATCH(orderHistory[order_type],$D$13,0)),MATCH(ROW(orderHistory[customer]),ROW(orderHistory[customer])),""),ROWS($A$15:A64)+$B$3)),INDEX(orderHistory[custom_docs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custom_docs],SMALL(IF(ISNUMBER(MATCH(orderHistory[customer],$D$9,0)),MATCH(ROW(orderHistory[customer]),ROW(orderHistory[customer])),""),ROWS($A$15:A64)+$B$3)),INDEX(orderHistory[custom_docs],SMALL(IF(ISNUMBER(MATCH(orderHistory[customer],$D$9,0)*MATCH(YEAR(orderHistory[invoice_date]),$D$15,0)),MATCH(ROW(orderHistory[customer]),ROW(orderHistory[customer])),""),ROWS($A$15:A64)+$B$3))),IF($D$15="",INDEX(orderHistory[custom_docs],SMALL(IF(ISNUMBER(MATCH(orderHistory[customer],$D$9,0)*MATCH(orderHistory[order_type],$D$13,0)),MATCH(ROW(orderHistory[customer]),ROW(orderHistory[customer])),""),ROWS($A$15:A64)+$B$3)),INDEX(orderHistory[custom_docs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custom_docs],SMALL(IF(ISNUMBER(MATCH(orderHistory[customer],$D$9,0)*MATCH(orderHistory[status],$D$11,0)),MATCH(ROW(orderHistory[customer]),ROW(orderHistory[customer])),""),ROWS($A$15:A64)+$B$3)),INDEX(orderHistory[custom_docs],SMALL(IF(ISNUMBER(MATCH(orderHistory[customer],$D$9,0)*MATCH(orderHistory[status],$D$11,0)*MATCH(YEAR(orderHistory[status]),$D$15,0)),MATCH(ROW(orderHistory[customer]),ROW(orderHistory[customer])),""),ROWS($A$15:A64)+$B$3))),IF($D$15="",INDEX(orderHistory[custom_docs],SMALL(IF(ISNUMBER(MATCH(orderHistory[customer],$D$9,0)*MATCH(orderHistory[status],$D$11,0)*MATCH(orderHistory[order_type],$D$13,0)),MATCH(ROW(orderHistory[customer]),ROW(orderHistory[customer])),""),ROWS($A$15:A64)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AQ59" s="280"/>
      <c r="AR59" s="280" t="s">
        <v>378</v>
      </c>
      <c r="BG59" s="215"/>
      <c r="BK59" s="296"/>
      <c r="BL59" s="297"/>
      <c r="BM59" s="298"/>
      <c r="BN59" s="297"/>
      <c r="BO59" s="298"/>
      <c r="BZ59" s="412"/>
      <c r="CA59" s="401" t="str">
        <f>IFERROR(IF(BZ59="","",INDEX(bhpc_data[description],MATCH(BZ59,bhpc_data[sku],0))),"")</f>
        <v/>
      </c>
      <c r="CB59" s="403"/>
      <c r="CC59" s="886"/>
      <c r="CD59" s="411"/>
      <c r="CE59" s="890"/>
      <c r="CF59" s="404"/>
      <c r="CG59" s="405" t="str">
        <f>IFERROR(ROUNDUP(CB59/INDEX(bhpc_data[units_per_carton],MATCH(BZ59,bhpc_data[sku],0)),0),"")</f>
        <v/>
      </c>
      <c r="CH59" s="406" t="str">
        <f>IFERROR(ROUNDUP(CD59/INDEX(bhpc_data[units_per_carton],MATCH(BZ59,bhpc_data[sku],0)),0),"")</f>
        <v/>
      </c>
      <c r="CI59" s="406" t="str">
        <f>IFERROR(ROUNDUP(CF59/INDEX(bhpc_data[units_per_carton],MATCH(BZ59,bhpc_data[sku])),0),"")</f>
        <v/>
      </c>
      <c r="CJ59" s="406" t="str">
        <f>IFERROR(((CB59+CD59+CF59)/INDEX(bhpc_data[units_per_carton],MATCH(BZ59,bhpc_data[sku],0)))*INDEX(bhpc_data[net_weight],MATCH(BZ59,bhpc_data[sku],0)),"")</f>
        <v/>
      </c>
      <c r="CK59" s="406" t="str">
        <f>IFERROR(((CB59+CD59+CF59)/INDEX(bhpc_data[units_per_carton],MATCH(BZ59,bhpc_data[sku],0)))*INDEX(bhpc_data[gross_weight],MATCH(BZ59,bhpc_data[sku],0)),"")</f>
        <v/>
      </c>
      <c r="CL59" s="602" t="str">
        <f>IFERROR((CB59+CD59+CF59)/INDEX(bhpc_data[units_per_carton],MATCH(BZ59,bhpc_data[sku],0))*INDEX(bhpc_data[length],MATCH(BZ59,bhpc_data[sku],0))*INDEX(bhpc_data[width],MATCH(BZ59,bhpc_data[sku],0))*INDEX(bhpc_data[height],MATCH(BZ59,bhpc_data[sku],0))/1000000000,"")</f>
        <v/>
      </c>
      <c r="CM59" s="407" t="str">
        <f>IFERROR(INDEX(bhpc_data[category],MATCH(BZ59,bhpc_data[sku],0)),"")</f>
        <v/>
      </c>
      <c r="CN59" s="407" t="str">
        <f>IFERROR(INDEX(bhpc_data[size],MATCH(BZ59,bhpc_data[sku],0)),"")</f>
        <v/>
      </c>
      <c r="CO59" s="408" t="str">
        <f>IFERROR(INDEX(bhpc_data[hs_code],MATCH(BZ59,bhpc_data[sku],0)),"")</f>
        <v/>
      </c>
      <c r="CP59" s="489" t="str">
        <f>IFERROR(INDEX(bhpc_data[sku_geko],MATCH(BZ59,bhpc_data[sku],0)),"")</f>
        <v/>
      </c>
      <c r="CQ59" s="404"/>
      <c r="CR59" s="516" t="str">
        <f>IFERROR(IF(BZ59="","",IF($BX$15="SALE",INDEX(inventory[COSTO UNITARIO],MATCH(BZ59,inventory[SKU],0)),IF($BX$15="SAMPLING",INDEX(inventory[COSTO UNITARIO],MATCH(BZ59,inventory[SKU],0)),""))),"")</f>
        <v/>
      </c>
      <c r="CS59" s="516" t="str">
        <f t="shared" si="7"/>
        <v/>
      </c>
      <c r="CT59" s="896" t="str">
        <f t="shared" si="8"/>
        <v/>
      </c>
      <c r="CU59" s="469" t="str">
        <f t="shared" si="0"/>
        <v/>
      </c>
      <c r="DB59" s="280" t="str">
        <f>IFERROR(VLOOKUP(BZ59,bhpc_data[],22,FALSE),"")</f>
        <v/>
      </c>
      <c r="EE59" s="439" t="str" cm="1">
        <f t="array" ref="EE59">IFERROR(IF($EC$9="",IF($EC$11="",IF($EC$13="",INDEX(bhpc_data[sku],SMALL(MATCH(ROW(bhpc_data[sku]),ROW(bhpc_data[sku])),ROWS($A$15:A64)+$B$3)),INDEX(bhpc_data[sku],SMALL(IF(ISNUMBER(MATCH(bhpc_data[size],$EC$13,0)),MATCH(ROW(bhpc_data[sku]),ROW(bhpc_data[sku])),""),ROWS($A$15:A64)+$B$3))),IF($EC$13="",INDEX(bhpc_data[sku],SMALL(IF(ISNUMBER(MATCH(bhpc_data[sex],$EC$11,0)),MATCH(ROW(bhpc_data[sku]),ROW(bhpc_data[sku])),""),ROWS($A$15:A64)+$B$3)),INDEX(bhpc_data[sku],SMALL(IF(ISNUMBER(MATCH(bhpc_data[sex],$EC$11,0)*MATCH(bhpc_data[size],$EC$13,0)),MATCH(ROW(bhpc_data[sku]),ROW(bhpc_data[sku])),""),ROWS($A$15:A64)+$B$3)))),IF($EC$11="",IF($EC$13="",INDEX(bhpc_data[sku],SMALL(IF(ISNUMBER(MATCH(bhpc_data[category],$EC$9,0)),MATCH(ROW(bhpc_data[sku]),ROW(bhpc_data[sku])),""),ROWS($A$15:A64)+$B$3)),INDEX(bhpc_data[sku],SMALL(IF(ISNUMBER(MATCH(bhpc_data[category],$EC$9,0)*MATCH(bhpc_data[size],$EC$13,0)),MATCH(ROW(bhpc_data[sku]),ROW(bhpc_data[sku])),""),ROWS($A$15:A64)+$B$3))),IF($EC$13="",INDEX(bhpc_data[sku],SMALL(IF(ISNUMBER(MATCH(bhpc_data[category],$EC$9,0)*MATCH(bhpc_data[sex],$EC$11,0)),MATCH(ROW(bhpc_data[sku]),ROW(bhpc_data[sku])),""),ROWS($A$15:A64)+$B$3)),INDEX(bhpc_data[sku],SMALL(IF(ISNUMBER(MATCH(bhpc_data[category],$EC$9,0)*MATCH(bhpc_data[sex],$EC$11,0)*MATCH(bhpc_data[size],$EC$13,0)),MATCH(ROW(bhpc_data[sku]),ROW(bhpc_data[sku])),""),ROWS($A$15:A64)+$B$3))))),"")</f>
        <v>PBM002</v>
      </c>
      <c r="EF59" s="440" t="str" cm="1">
        <f t="array" ref="EF59">IFERROR(IF($EC$9="",IF($EC$11="",IF($EC$13="",INDEX(bhpc_data[description],SMALL(MATCH(ROW(bhpc_data[sku]),ROW(bhpc_data[sku])),ROWS($A$15:A64)+$B$3)),INDEX(bhpc_data[description],SMALL(IF(ISNUMBER(MATCH(bhpc_data[size],$EC$13,0)),MATCH(ROW(bhpc_data[sku]),ROW(bhpc_data[sku])),""),ROWS($A$15:A64)+$B$3))),IF($EC$13="",INDEX(bhpc_data[description],SMALL(IF(ISNUMBER(MATCH(bhpc_data[sex],$EC$11,0)),MATCH(ROW(bhpc_data[sku]),ROW(bhpc_data[sku])),""),ROWS($A$15:A64)+$B$3)),INDEX(bhpc_data[description],SMALL(IF(ISNUMBER(MATCH(bhpc_data[sex],$EC$11,0)*MATCH(bhpc_data[size],$EC$13,0)),MATCH(ROW(bhpc_data[sku]),ROW(bhpc_data[sku])),""),ROWS($A$15:A64)+$B$3)))),IF($EC$11="",IF($EC$13="",INDEX(bhpc_data[description],SMALL(IF(ISNUMBER(MATCH(bhpc_data[category],$EC$9,0)),MATCH(ROW(bhpc_data[sku]),ROW(bhpc_data[sku])),""),ROWS($A$15:A64)+$B$3)),INDEX(bhpc_data[description],SMALL(IF(ISNUMBER(MATCH(bhpc_data[category],$EC$9,0)*MATCH(bhpc_data[size],$EC$13,0)),MATCH(ROW(bhpc_data[sku]),ROW(bhpc_data[sku])),""),ROWS($A$15:A64)+$B$3))),IF($EC$13="",INDEX(bhpc_data[description],SMALL(IF(ISNUMBER(MATCH(bhpc_data[category],$EC$9,0)*MATCH(bhpc_data[sex],$EC$11,0)),MATCH(ROW(bhpc_data[sku]),ROW(bhpc_data[sku])),""),ROWS($A$15:A64)+$B$3)),INDEX(bhpc_data[description],SMALL(IF(ISNUMBER(MATCH(bhpc_data[category],$EC$9,0)*MATCH(bhpc_data[sex],$EC$11,0)*MATCH(bhpc_data[size],$EC$13,0)),MATCH(ROW(bhpc_data[sku]),ROW(bhpc_data[sku])),""),ROWS($A$15:A64)+$B$3))))),"")</f>
        <v>BHPC WOMEN BODY MIST #2 CLASSIC FOUGERE 200ML</v>
      </c>
      <c r="EG59" s="441">
        <f>IFERROR(IF('BHPC MANAGER'!$EE59="","",INDEX(inventory[ESISTENZA],MATCH('BHPC MANAGER'!$EE59,inventory[SKU],0))),0)</f>
        <v>6982</v>
      </c>
      <c r="EH59" s="442">
        <v>-668</v>
      </c>
      <c r="EI59" s="442">
        <f t="shared" si="1"/>
        <v>6314</v>
      </c>
      <c r="EJ59" s="443">
        <v>0</v>
      </c>
      <c r="EK59" s="444">
        <f t="shared" si="2"/>
        <v>6314</v>
      </c>
      <c r="EO59" s="215" t="str">
        <f t="array" ref="EO59">IFERROR(INDEX(orderHistory[order_no],SMALL(IF(ISNUMBER(MATCH(orderHistory[status],$EO$7,0)),MATCH(ROW(orderHistory[order_no]),ROW(orderHistory[order_no])),""),ROWS($A$15:A64))),"")</f>
        <v/>
      </c>
    </row>
    <row r="60" spans="10:145" ht="15" customHeight="1" thickBot="1" x14ac:dyDescent="0.4">
      <c r="L60" s="389" t="str">
        <f t="array" ref="L60">IFERROR(IF($D$9="",IF($D$11="",IF($D$13="",IF($D$15="",INDEX(orderHistory[customer],SMALL(MATCH(ROW(orderHistory[customer]),ROW(orderHistory[customer])),ROWS($A$15:A65)+$B$3)),INDEX(orderHistory[customer],SMALL(IF(ISNUMBER(MATCH(YEAR(orderHistory[invoice_date]),$D$15,0)),MATCH(ROW(orderHistory[customer]),ROW(orderHistory[customer])),""),ROWS($A$15:A65)+$B$3))),IF($D$15="",INDEX(orderHistory[customer],SMALL(IF(ISNUMBER(MATCH(orderHistory[order_type],$D$13,0)),MATCH(ROW(orderHistory[customer]),ROW(orderHistory[customer])),""),ROWS($A$15:A65)+$B$3)),INDEX(orderHistory[customer],SMALL(IF(ISNUMBER(MATCH(orderHistory[order_type],$D$13,0)*MATCH(YEAR(orderHistory[invoice_date]),$D$15,0)),MATCH(ROW(orderHistory[customer]),ROW(orderHistory[customer])),""),ROWS($A$15:A65)+$B$3)))),IF($D$13="",IF($D$15="",INDEX(orderHistory[customer],SMALL(IF(ISNUMBER(MATCH(orderHistory[status],$D$11,0)),MATCH(ROW(orderHistory[customer]),ROW(orderHistory[customer])),""),ROWS($A$15:A65)+$B$3)),INDEX(orderHistory[customer],SMALL(IF(ISNUMBER(MATCH(orderHistory[status],$D$11,0)*MATCH(YEAR(orderHistory[invoice_date]),$D$15,0)),MATCH(ROW(orderHistory[customer]),ROW(orderHistory[customer])),""),ROWS($A$15:A65)+$B$3))),IF($D$15="",INDEX(orderHistory[customer],SMALL(IF(ISNUMBER(MATCH(orderHistory[status],$D$11,0)*MATCH(orderHistory[order_type],$D$13,0)),MATCH(ROW(orderHistory[customer]),ROW(orderHistory[customer])),""),ROWS($A$15:A65)+$B$3)),INDEX(orderHistory[customer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customer],SMALL(IF(ISNUMBER(MATCH(orderHistory[customer],$D$9,0)),MATCH(ROW(orderHistory[customer]),ROW(orderHistory[customer])),""),ROWS($A$15:A65)+$B$3)),INDEX(orderHistory[customer],SMALL(IF(ISNUMBER(MATCH(orderHistory[customer],$D$9,0)*MATCH(YEAR(orderHistory[invoice_date]),$D$15,0)),MATCH(ROW(orderHistory[customer]),ROW(orderHistory[customer])),""),ROWS($A$15:A65)+$B$3))),IF($D$15="",INDEX(orderHistory[customer],SMALL(IF(ISNUMBER(MATCH(orderHistory[customer],$D$9,0)*MATCH(orderHistory[order_type],$D$13,0)),MATCH(ROW(orderHistory[customer]),ROW(orderHistory[customer])),""),ROWS($A$15:A65)+$B$3)),INDEX(orderHistory[customer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customer],SMALL(IF(ISNUMBER(MATCH(orderHistory[customer],$D$9,0)*MATCH(orderHistory[status],$D$11,0)),MATCH(ROW(orderHistory[customer]),ROW(orderHistory[customer])),""),ROWS($A$15:A65)+$B$3)),INDEX(orderHistory[customer],SMALL(IF(ISNUMBER(MATCH(orderHistory[customer],$D$9,0)*MATCH(orderHistory[status],$D$11,0)*MATCH(YEAR(orderHistory[invoice_date]),$D$15,0)),MATCH(ROW(orderHistory[customer]),ROW(orderHistory[customer])),""),ROWS($A$15:A65)+$B$3))),IF($D$15="",INDEX(orderHistory[customer],SMALL(IF(ISNUMBER(MATCH(orderHistory[customer],$D$9,0)*MATCH(orderHistory[status],$D$11,0)*MATCH(orderHistory[order_type],$D$13,0)),MATCH(ROW(orderHistory[customer]),ROW(orderHistory[customer])),""),ROWS($A$15:A65)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M60" s="390" t="str">
        <f t="array" ref="M60">IFERROR(IF($D$9="",IF($D$11="",IF($D$13="",IF($D$15="",INDEX(orderHistory[order_no],SMALL(MATCH(ROW(orderHistory[customer]),ROW(orderHistory[customer])),ROWS($A$15:A65)+$B$3)),INDEX(orderHistory[order_no],SMALL(IF(ISNUMBER(MATCH(YEAR(orderHistory[invoice_date]),$D$15,0)),MATCH(ROW(orderHistory[customer]),ROW(orderHistory[customer])),""),ROWS($A$15:A65)+$B$3))),IF($D$15="",INDEX(orderHistory[order_no],SMALL(IF(ISNUMBER(MATCH(orderHistory[order_type],$D$13,0)),MATCH(ROW(orderHistory[customer]),ROW(orderHistory[customer])),""),ROWS($A$15:A65)+$B$3)),INDEX(orderHistory[order_no],SMALL(IF(ISNUMBER(MATCH(orderHistory[order_type],$D$13,0)*MATCH(YEAR(orderHistory[invoice_date]),$D$15,0)),MATCH(ROW(orderHistory[customer]),ROW(orderHistory[customer])),""),ROWS($A$15:A65)+$B$3)))),IF($D$13="",IF($D$15="",INDEX(orderHistory[order_no],SMALL(IF(ISNUMBER(MATCH(orderHistory[status],$D$11,0)),MATCH(ROW(orderHistory[customer]),ROW(orderHistory[customer])),""),ROWS($A$15:A65)+$B$3)),INDEX(orderHistory[order_no],SMALL(IF(ISNUMBER(MATCH(orderHistory[status],$D$11,0)*MATCH(YEAR(orderHistory[invoice_date]),$D$15,0)),MATCH(ROW(orderHistory[customer]),ROW(orderHistory[customer])),""),ROWS($A$15:A65)+$B$3))),IF($D$15="",INDEX(orderHistory[order_no],SMALL(IF(ISNUMBER(MATCH(orderHistory[status],$D$11,0)*MATCH(orderHistory[order_type],$D$13,0)),MATCH(ROW(orderHistory[customer]),ROW(orderHistory[customer])),""),ROWS($A$15:A65)+$B$3)),INDEX(orderHistory[order_no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order_no],SMALL(IF(ISNUMBER(MATCH(orderHistory[customer],$D$9,0)),MATCH(ROW(orderHistory[customer]),ROW(orderHistory[customer])),""),ROWS($A$15:A65)+$B$3)),INDEX(orderHistory[order_no],SMALL(IF(ISNUMBER(MATCH(orderHistory[customer],$D$9,0)*MATCH(YEAR(orderHistory[invoice_date]),$D$15,0)),MATCH(ROW(orderHistory[customer]),ROW(orderHistory[customer])),""),ROWS($A$15:A65)+$B$3))),IF($D$15="",INDEX(orderHistory[order_no],SMALL(IF(ISNUMBER(MATCH(orderHistory[customer],$D$9,0)*MATCH(orderHistory[order_type],$D$13,0)),MATCH(ROW(orderHistory[customer]),ROW(orderHistory[customer])),""),ROWS($A$15:A65)+$B$3)),INDEX(orderHistory[order_no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order_no],SMALL(IF(ISNUMBER(MATCH(orderHistory[customer],$D$9,0)*MATCH(orderHistory[status],$D$11,0)),MATCH(ROW(orderHistory[customer]),ROW(orderHistory[customer])),""),ROWS($A$15:A65)+$B$3)),INDEX(orderHistory[order_no],SMALL(IF(ISNUMBER(MATCH(orderHistory[customer],$D$9,0)*MATCH(orderHistory[status],$D$11,0)*MATCH(YEAR(orderHistory[invoice_date]),$D$15,0)),MATCH(ROW(orderHistory[customer]),ROW(orderHistory[customer])),""),ROWS($A$15:A65)+$B$3))),IF($D$15="",INDEX(orderHistory[order_no],SMALL(IF(ISNUMBER(MATCH(orderHistory[customer],$D$9,0)*MATCH(orderHistory[status],$D$11,0)*MATCH(orderHistory[order_type],$D$13,0)),MATCH(ROW(orderHistory[customer]),ROW(orderHistory[customer])),""),ROWS($A$15:A65)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N60" s="391" t="str">
        <f t="array" ref="N60">IFERROR(IF($D$9="",IF($D$11="",IF($D$13="",IF($D$15="",INDEX(orderHistory[order_type],SMALL(MATCH(ROW(orderHistory[customer]),ROW(orderHistory[customer])),ROWS($A$15:A65)+$B$3)),INDEX(orderHistory[order_type],SMALL(IF(ISNUMBER(MATCH(YEAR(orderHistory[invoice_date]),$D$15,0)),MATCH(ROW(orderHistory[customer]),ROW(orderHistory[customer])),""),ROWS($A$15:A65)+$B$3))),IF($D$15="",INDEX(orderHistory[order_type],SMALL(IF(ISNUMBER(MATCH(orderHistory[order_type],$D$13,0)),MATCH(ROW(orderHistory[customer]),ROW(orderHistory[customer])),""),ROWS($A$15:A65)+$B$3)),INDEX(orderHistory[order_type],SMALL(IF(ISNUMBER(MATCH(orderHistory[order_type],$D$13,0)*MATCH(YEAR(orderHistory[invoice_date]),$D$15,0)),MATCH(ROW(orderHistory[customer]),ROW(orderHistory[customer])),""),ROWS($A$15:A65)+$B$3)))),IF($D$13="",IF($D$15="",INDEX(orderHistory[order_type],SMALL(IF(ISNUMBER(MATCH(orderHistory[status],$D$11,0)),MATCH(ROW(orderHistory[customer]),ROW(orderHistory[customer])),""),ROWS($A$15:A65)+$B$3)),INDEX(orderHistory[order_type],SMALL(IF(ISNUMBER(MATCH(orderHistory[status],$D$11,0)*MATCH(YEAR(orderHistory[invoice_date]),$D$15,0)),MATCH(ROW(orderHistory[customer]),ROW(orderHistory[customer])),""),ROWS($A$15:A65)+$B$3))),IF($D$15="",INDEX(orderHistory[order_type],SMALL(IF(ISNUMBER(MATCH(orderHistory[status],$D$11,0)*MATCH(orderHistory[order_type],$D$13,0)),MATCH(ROW(orderHistory[customer]),ROW(orderHistory[customer])),""),ROWS($A$15:A65)+$B$3)),INDEX(orderHistory[order_type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order_type],SMALL(IF(ISNUMBER(MATCH(orderHistory[customer],$D$9,0)),MATCH(ROW(orderHistory[customer]),ROW(orderHistory[customer])),""),ROWS($A$15:A65)+$B$3)),INDEX(orderHistory[order_type],SMALL(IF(ISNUMBER(MATCH(orderHistory[customer],$D$9,0)*MATCH(YEAR(orderHistory[invoice_date]),$D$15,0)),MATCH(ROW(orderHistory[customer]),ROW(orderHistory[customer])),""),ROWS($A$15:A65)+$B$3))),IF($D$15="",INDEX(orderHistory[order_type],SMALL(IF(ISNUMBER(MATCH(orderHistory[customer],$D$9,0)*MATCH(orderHistory[order_type],$D$13,0)),MATCH(ROW(orderHistory[customer]),ROW(orderHistory[customer])),""),ROWS($A$15:A65)+$B$3)),INDEX(orderHistory[order_type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order_type],SMALL(IF(ISNUMBER(MATCH(orderHistory[customer],$D$9,0)*MATCH(orderHistory[status],$D$11,0)),MATCH(ROW(orderHistory[customer]),ROW(orderHistory[customer])),""),ROWS($A$15:A65)+$B$3)),INDEX(orderHistory[order_type],SMALL(IF(ISNUMBER(MATCH(orderHistory[customer],$D$9,0)*MATCH(orderHistory[status],$D$11,0)*MATCH(YEAR(orderHistory[invoice_date]),$D$15,0)),MATCH(ROW(orderHistory[customer]),ROW(orderHistory[customer])),""),ROWS($A$15:A65)+$B$3))),IF($D$15="",INDEX(orderHistory[order_type],SMALL(IF(ISNUMBER(MATCH(orderHistory[customer],$D$9,0)*MATCH(orderHistory[status],$D$11,0)*MATCH(orderHistory[order_type],$D$13,0)),MATCH(ROW(orderHistory[customer]),ROW(orderHistory[customer])),""),ROWS($A$15:A65)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O60" s="392" t="str">
        <f t="array" ref="O60">IFERROR(IF($D$9="",IF($D$11="",IF($D$13="",IF($D$15="",INDEX(orderHistory[order_date],SMALL(MATCH(ROW(orderHistory[customer]),ROW(orderHistory[customer])),ROWS($A$15:A65)+$B$3)),INDEX(orderHistory[order_date],SMALL(IF(ISNUMBER(MATCH(YEAR(orderHistory[invoice_date]),$D$15,0)),MATCH(ROW(orderHistory[customer]),ROW(orderHistory[customer])),""),ROWS($A$15:A65)+$B$3))),IF($D$15="",INDEX(orderHistory[order_date],SMALL(IF(ISNUMBER(MATCH(orderHistory[order_type],$D$13,0)),MATCH(ROW(orderHistory[customer]),ROW(orderHistory[customer])),""),ROWS($A$15:A65)+$B$3)),INDEX(orderHistory[order_date],SMALL(IF(ISNUMBER(MATCH(orderHistory[order_type],$D$13,0)*MATCH(YEAR(orderHistory[invoice_date]),$D$15,0)),MATCH(ROW(orderHistory[customer]),ROW(orderHistory[customer])),""),ROWS($A$15:A65)+$B$3)))),IF($D$13="",IF($D$15="",INDEX(orderHistory[order_date],SMALL(IF(ISNUMBER(MATCH(orderHistory[status],$D$11,0)),MATCH(ROW(orderHistory[customer]),ROW(orderHistory[customer])),""),ROWS($A$15:A65)+$B$3)),INDEX(orderHistory[order_date],SMALL(IF(ISNUMBER(MATCH(orderHistory[status],$D$11,0)*MATCH(YEAR(orderHistory[invoice_date]),$D$15,0)),MATCH(ROW(orderHistory[customer]),ROW(orderHistory[customer])),""),ROWS($A$15:A65)+$B$3))),IF($D$15="",INDEX(orderHistory[order_date],SMALL(IF(ISNUMBER(MATCH(orderHistory[status],$D$11,0)*MATCH(orderHistory[order_type],$D$13,0)),MATCH(ROW(orderHistory[customer]),ROW(orderHistory[customer])),""),ROWS($A$15:A65)+$B$3)),INDEX(orderHistory[order_date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order_date],SMALL(IF(ISNUMBER(MATCH(orderHistory[customer],$D$9,0)),MATCH(ROW(orderHistory[customer]),ROW(orderHistory[customer])),""),ROWS($A$15:A65)+$B$3)),INDEX(orderHistory[order_date],SMALL(IF(ISNUMBER(MATCH(orderHistory[customer],$D$9,0)*MATCH(YEAR(orderHistory[invoice_date]),$D$15,0)),MATCH(ROW(orderHistory[customer]),ROW(orderHistory[customer])),""),ROWS($A$15:A65)+$B$3))),IF($D$15="",INDEX(orderHistory[order_date],SMALL(IF(ISNUMBER(MATCH(orderHistory[customer],$D$9,0)*MATCH(orderHistory[order_type],$D$13,0)),MATCH(ROW(orderHistory[customer]),ROW(orderHistory[customer])),""),ROWS($A$15:A65)+$B$3)),INDEX(orderHistory[order_date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order_date],SMALL(IF(ISNUMBER(MATCH(orderHistory[customer],$D$9,0)*MATCH(orderHistory[status],$D$11,0)),MATCH(ROW(orderHistory[customer]),ROW(orderHistory[customer])),""),ROWS($A$15:A65)+$B$3)),INDEX(orderHistory[order_date],SMALL(IF(ISNUMBER(MATCH(orderHistory[customer],$D$9,0)*MATCH(orderHistory[status],$D$11,0)*MATCH(YEAR(orderHistory[invoice_date]),$D$15,0)),MATCH(ROW(orderHistory[customer]),ROW(orderHistory[customer])),""),ROWS($A$15:A65)+$B$3))),IF($D$15="",INDEX(orderHistory[order_date],SMALL(IF(ISNUMBER(MATCH(orderHistory[customer],$D$9,0)*MATCH(orderHistory[status],$D$11,0)*MATCH(orderHistory[order_type],$D$13,0)),MATCH(ROW(orderHistory[customer]),ROW(orderHistory[customer])),""),ROWS($A$15:A65)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P60" s="396" t="str">
        <f t="array" ref="P60">IFERROR(IF($D$9="",IF($D$11="",IF($D$13="",IF($D$15="",INDEX(orderHistory[invoice_no],SMALL(MATCH(ROW(orderHistory[customer]),ROW(orderHistory[customer])),ROWS($A$15:A65)+$B$3)),INDEX(orderHistory[invoice_no],SMALL(IF(ISNUMBER(MATCH(YEAR(orderHistory[invoice_date]),$D$15,0)),MATCH(ROW(orderHistory[customer]),ROW(orderHistory[customer])),""),ROWS($A$15:A65)+$B$3))),IF($D$15="",INDEX(orderHistory[invoice_no],SMALL(IF(ISNUMBER(MATCH(orderHistory[order_type],$D$13,0)),MATCH(ROW(orderHistory[customer]),ROW(orderHistory[customer])),""),ROWS($A$15:A65)+$B$3)),INDEX(orderHistory[invoice_no],SMALL(IF(ISNUMBER(MATCH(orderHistory[order_type],$D$13,0)*MATCH(YEAR(orderHistory[invoice_date]),$D$15,0)),MATCH(ROW(orderHistory[customer]),ROW(orderHistory[customer])),""),ROWS($A$15:A65)+$B$3)))),IF($D$13="",IF($D$15="",INDEX(orderHistory[invoice_no],SMALL(IF(ISNUMBER(MATCH(orderHistory[status],$D$11,0)),MATCH(ROW(orderHistory[customer]),ROW(orderHistory[customer])),""),ROWS($A$15:A65)+$B$3)),INDEX(orderHistory[invoice_no],SMALL(IF(ISNUMBER(MATCH(orderHistory[status],$D$11,0)*MATCH(YEAR(orderHistory[invoice_date]),$D$15,0)),MATCH(ROW(orderHistory[customer]),ROW(orderHistory[customer])),""),ROWS($A$15:A65)+$B$3))),IF($D$15="",INDEX(orderHistory[invoice_no],SMALL(IF(ISNUMBER(MATCH(orderHistory[status],$D$11,0)*MATCH(orderHistory[order_type],$D$13,0)),MATCH(ROW(orderHistory[customer]),ROW(orderHistory[customer])),""),ROWS($A$15:A65)+$B$3)),INDEX(orderHistory[invoice_no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invoice_no],SMALL(IF(ISNUMBER(MATCH(orderHistory[customer],$D$9,0)),MATCH(ROW(orderHistory[customer]),ROW(orderHistory[customer])),""),ROWS($A$15:A65)+$B$3)),INDEX(orderHistory[invoice_no],SMALL(IF(ISNUMBER(MATCH(orderHistory[customer],$D$9,0)*MATCH(YEAR(orderHistory[invoice_date]),$D$15,0)),MATCH(ROW(orderHistory[customer]),ROW(orderHistory[customer])),""),ROWS($A$15:A65)+$B$3))),IF($D$15="",INDEX(orderHistory[invoice_no],SMALL(IF(ISNUMBER(MATCH(orderHistory[customer],$D$9,0)*MATCH(orderHistory[order_type],$D$13,0)),MATCH(ROW(orderHistory[customer]),ROW(orderHistory[customer])),""),ROWS($A$15:A65)+$B$3)),INDEX(orderHistory[invoice_no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invoice_no],SMALL(IF(ISNUMBER(MATCH(orderHistory[customer],$D$9,0)*MATCH(orderHistory[status],$D$11,0)),MATCH(ROW(orderHistory[customer]),ROW(orderHistory[customer])),""),ROWS($A$15:A65)+$B$3)),INDEX(orderHistory[invoice_no],SMALL(IF(ISNUMBER(MATCH(orderHistory[customer],$D$9,0)*MATCH(orderHistory[status],$D$11,0)*MATCH(YEAR(orderHistory[invoice_date]),$D$15,0)),MATCH(ROW(orderHistory[customer]),ROW(orderHistory[customer])),""),ROWS($A$15:A65)+$B$3))),IF($D$15="",INDEX(orderHistory[invoice_no],SMALL(IF(ISNUMBER(MATCH(orderHistory[customer],$D$9,0)*MATCH(orderHistory[status],$D$11,0)*MATCH(orderHistory[order_type],$D$13,0)),MATCH(ROW(orderHistory[customer]),ROW(orderHistory[customer])),""),ROWS($A$15:A65)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Q60" s="393" t="str">
        <f t="array" ref="Q60">IFERROR(IF($D$9="",IF($D$11="",IF($D$13="",IF($D$15="",INDEX(orderHistory[invoice_date],SMALL(MATCH(ROW(orderHistory[customer]),ROW(orderHistory[customer])),ROWS($A$15:A65)+$B$3)),INDEX(orderHistory[invoice_date],SMALL(IF(ISNUMBER(MATCH(YEAR(orderHistory[invoice_date]),$D$15,0)),MATCH(ROW(orderHistory[customer]),ROW(orderHistory[customer])),""),ROWS($A$15:A65)+$B$3))),IF($D$15="",INDEX(orderHistory[invoice_date],SMALL(IF(ISNUMBER(MATCH(orderHistory[order_type],$D$13,0)),MATCH(ROW(orderHistory[customer]),ROW(orderHistory[customer])),""),ROWS($A$15:A65)+$B$3)),INDEX(orderHistory[invoice_date],SMALL(IF(ISNUMBER(MATCH(orderHistory[order_type],$D$13,0)*MATCH(YEAR(orderHistory[invoice_date]),$D$15,0)),MATCH(ROW(orderHistory[customer]),ROW(orderHistory[customer])),""),ROWS($A$15:A65)+$B$3)))),IF($D$13="",IF($D$15="",INDEX(orderHistory[invoice_date],SMALL(IF(ISNUMBER(MATCH(orderHistory[status],$D$11,0)),MATCH(ROW(orderHistory[customer]),ROW(orderHistory[customer])),""),ROWS($A$15:A65)+$B$3)),INDEX(orderHistory[invoice_date],SMALL(IF(ISNUMBER(MATCH(orderHistory[status],$D$11,0)*MATCH(YEAR(orderHistory[invoice_date]),$D$15,0)),MATCH(ROW(orderHistory[customer]),ROW(orderHistory[customer])),""),ROWS($A$15:A65)+$B$3))),IF($D$15="",INDEX(orderHistory[invoice_date],SMALL(IF(ISNUMBER(MATCH(orderHistory[status],$D$11,0)*MATCH(orderHistory[order_type],$D$13,0)),MATCH(ROW(orderHistory[customer]),ROW(orderHistory[customer])),""),ROWS($A$15:A65)+$B$3)),INDEX(orderHistory[invoice_date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invoice_date],SMALL(IF(ISNUMBER(MATCH(orderHistory[customer],$D$9,0)),MATCH(ROW(orderHistory[customer]),ROW(orderHistory[customer])),""),ROWS($A$15:A65)+$B$3)),INDEX(orderHistory[invoice_date],SMALL(IF(ISNUMBER(MATCH(orderHistory[customer],$D$9,0)*MATCH(YEAR(orderHistory[invoice_date]),$D$15,0)),MATCH(ROW(orderHistory[customer]),ROW(orderHistory[customer])),""),ROWS($A$15:A65)+$B$3))),IF($D$15="",INDEX(orderHistory[invoice_date],SMALL(IF(ISNUMBER(MATCH(orderHistory[customer],$D$9,0)*MATCH(orderHistory[order_type],$D$13,0)),MATCH(ROW(orderHistory[customer]),ROW(orderHistory[customer])),""),ROWS($A$15:A65)+$B$3)),INDEX(orderHistory[invoice_date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invoice_date],SMALL(IF(ISNUMBER(MATCH(orderHistory[customer],$D$9,0)*MATCH(orderHistory[status],$D$11,0)),MATCH(ROW(orderHistory[customer]),ROW(orderHistory[customer])),""),ROWS($A$15:A65)+$B$3)),INDEX(orderHistory[invoice_date],SMALL(IF(ISNUMBER(MATCH(orderHistory[customer],$D$9,0)*MATCH(orderHistory[status],$D$11,0)*MATCH(YEAR(orderHistory[invoice_date]),$D$15,0)),MATCH(ROW(orderHistory[customer]),ROW(orderHistory[customer])),""),ROWS($A$15:A65)+$B$3))),IF($D$15="",INDEX(orderHistory[invoice_date],SMALL(IF(ISNUMBER(MATCH(orderHistory[customer],$D$9,0)*MATCH(orderHistory[status],$D$11,0)*MATCH(orderHistory[order_type],$D$13,0)),MATCH(ROW(orderHistory[customer]),ROW(orderHistory[customer])),""),ROWS($A$15:A65)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R60" s="394" t="str">
        <f t="array" ref="R60">IFERROR(IF($D$9="",IF($D$11="",IF($D$13="",IF($D$15="",INDEX(orderHistory[inv_amount],SMALL(MATCH(ROW(orderHistory[customer]),ROW(orderHistory[customer])),ROWS($A$15:A65)+$B$3)),INDEX(orderHistory[inv_amount],SMALL(IF(ISNUMBER(MATCH(YEAR(orderHistory[invoice_date]),$D$15,0)),MATCH(ROW(orderHistory[customer]),ROW(orderHistory[customer])),""),ROWS($A$15:A65)+$B$3))),IF($D$15="",INDEX(orderHistory[inv_amount],SMALL(IF(ISNUMBER(MATCH(orderHistory[order_type],$D$13,0)),MATCH(ROW(orderHistory[customer]),ROW(orderHistory[customer])),""),ROWS($A$15:A65)+$B$3)),INDEX(orderHistory[inv_amount],SMALL(IF(ISNUMBER(MATCH(orderHistory[order_type],$D$13,0)*MATCH(YEAR(orderHistory[invoice_date]),$D$15,0)),MATCH(ROW(orderHistory[customer]),ROW(orderHistory[customer])),""),ROWS($A$15:A65)+$B$3)))),IF($D$13="",IF($D$15="",INDEX(orderHistory[inv_amount],SMALL(IF(ISNUMBER(MATCH(orderHistory[status],$D$11,0)),MATCH(ROW(orderHistory[customer]),ROW(orderHistory[customer])),""),ROWS($A$15:A65)+$B$3)),INDEX(orderHistory[inv_amount],SMALL(IF(ISNUMBER(MATCH(orderHistory[status],$D$11,0)*MATCH(YEAR(orderHistory[invoice_date]),$D$15,0)),MATCH(ROW(orderHistory[customer]),ROW(orderHistory[customer])),""),ROWS($A$15:A65)+$B$3))),IF($D$15="",INDEX(orderHistory[inv_amount],SMALL(IF(ISNUMBER(MATCH(orderHistory[status],$D$11,0)*MATCH(orderHistory[order_type],$D$13,0)),MATCH(ROW(orderHistory[customer]),ROW(orderHistory[customer])),""),ROWS($A$15:A65)+$B$3)),INDEX(orderHistory[inv_amount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inv_amount],SMALL(IF(ISNUMBER(MATCH(orderHistory[customer],$D$9,0)),MATCH(ROW(orderHistory[customer]),ROW(orderHistory[customer])),""),ROWS($A$15:A65)+$B$3)),INDEX(orderHistory[inv_amount],SMALL(IF(ISNUMBER(MATCH(orderHistory[customer],$D$9,0)*MATCH(YEAR(orderHistory[invoice_date]),$D$15,0)),MATCH(ROW(orderHistory[customer]),ROW(orderHistory[customer])),""),ROWS($A$15:A65)+$B$3))),IF($D$15="",INDEX(orderHistory[inv_amount],SMALL(IF(ISNUMBER(MATCH(orderHistory[customer],$D$9,0)*MATCH(orderHistory[order_type],$D$13,0)),MATCH(ROW(orderHistory[customer]),ROW(orderHistory[customer])),""),ROWS($A$15:A65)+$B$3)),INDEX(orderHistory[inv_amount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inv_amount],SMALL(IF(ISNUMBER(MATCH(orderHistory[customer],$D$9,0)*MATCH(orderHistory[status],$D$11,0)),MATCH(ROW(orderHistory[customer]),ROW(orderHistory[customer])),""),ROWS($A$15:A65)+$B$3)),INDEX(orderHistory[inv_amount],SMALL(IF(ISNUMBER(MATCH(orderHistory[customer],$D$9,0)*MATCH(orderHistory[status],$D$11,0)*MATCH(YEAR(orderHistory[inv_amount]),$D$15,0)),MATCH(ROW(orderHistory[customer]),ROW(orderHistory[customer])),""),ROWS($A$15:A65)+$B$3))),IF($D$15="",INDEX(orderHistory[inv_amount],SMALL(IF(ISNUMBER(MATCH(orderHistory[customer],$D$9,0)*MATCH(orderHistory[status],$D$11,0)*MATCH(orderHistory[order_type],$D$13,0)),MATCH(ROW(orderHistory[customer]),ROW(orderHistory[customer])),""),ROWS($A$15:A65)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S60" s="466" t="str">
        <f t="array" ref="S60">IFERROR(IF($D$9="",IF($D$11="",IF($D$13="",IF($D$15="",INDEX(orderHistory[lock_goods],SMALL(MATCH(ROW(orderHistory[customer]),ROW(orderHistory[customer])),ROWS($A$15:A65)+$B$3)),INDEX(orderHistory[lock_goods],SMALL(IF(ISNUMBER(MATCH(YEAR(orderHistory[invoice_date]),$D$15,0)),MATCH(ROW(orderHistory[customer]),ROW(orderHistory[customer])),""),ROWS($A$15:A65)+$B$3))),IF($D$15="",INDEX(orderHistory[lock_goods],SMALL(IF(ISNUMBER(MATCH(orderHistory[order_type],$D$13,0)),MATCH(ROW(orderHistory[customer]),ROW(orderHistory[customer])),""),ROWS($A$15:A65)+$B$3)),INDEX(orderHistory[lock_goods],SMALL(IF(ISNUMBER(MATCH(orderHistory[order_type],$D$13,0)*MATCH(YEAR(orderHistory[invoice_date]),$D$15,0)),MATCH(ROW(orderHistory[customer]),ROW(orderHistory[customer])),""),ROWS($A$15:A65)+$B$3)))),IF($D$13="",IF($D$15="",INDEX(orderHistory[lock_goods],SMALL(IF(ISNUMBER(MATCH(orderHistory[status],$D$11,0)),MATCH(ROW(orderHistory[customer]),ROW(orderHistory[customer])),""),ROWS($A$15:A65)+$B$3)),INDEX(orderHistory[lock_goods],SMALL(IF(ISNUMBER(MATCH(orderHistory[status],$D$11,0)*MATCH(YEAR(orderHistory[invoice_date]),$D$15,0)),MATCH(ROW(orderHistory[customer]),ROW(orderHistory[customer])),""),ROWS($A$15:A65)+$B$3))),IF($D$15="",INDEX(orderHistory[lock_goods],SMALL(IF(ISNUMBER(MATCH(orderHistory[status],$D$11,0)*MATCH(orderHistory[order_type],$D$13,0)),MATCH(ROW(orderHistory[customer]),ROW(orderHistory[customer])),""),ROWS($A$15:A65)+$B$3)),INDEX(orderHistory[lock_goods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lock_goods],SMALL(IF(ISNUMBER(MATCH(orderHistory[customer],$D$9,0)),MATCH(ROW(orderHistory[customer]),ROW(orderHistory[customer])),""),ROWS($A$15:A65)+$B$3)),INDEX(orderHistory[lock_goods],SMALL(IF(ISNUMBER(MATCH(orderHistory[customer],$D$9,0)*MATCH(YEAR(orderHistory[invoice_date]),$D$15,0)),MATCH(ROW(orderHistory[customer]),ROW(orderHistory[customer])),""),ROWS($A$15:A65)+$B$3))),IF($D$15="",INDEX(orderHistory[lock_goods],SMALL(IF(ISNUMBER(MATCH(orderHistory[customer],$D$9,0)*MATCH(orderHistory[order_type],$D$13,0)),MATCH(ROW(orderHistory[customer]),ROW(orderHistory[customer])),""),ROWS($A$15:A65)+$B$3)),INDEX(orderHistory[lock_goods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lock_goods],SMALL(IF(ISNUMBER(MATCH(orderHistory[customer],$D$9,0)*MATCH(orderHistory[status],$D$11,0)),MATCH(ROW(orderHistory[customer]),ROW(orderHistory[customer])),""),ROWS($A$15:A65)+$B$3)),INDEX(orderHistory[lock_goods],SMALL(IF(ISNUMBER(MATCH(orderHistory[customer],$D$9,0)*MATCH(orderHistory[status],$D$11,0)*MATCH(YEAR(orderHistory[payed]),$D$15,0)),MATCH(ROW(orderHistory[customer]),ROW(orderHistory[customer])),""),ROWS($A$15:A65)+$B$3))),IF($D$15="",INDEX(orderHistory[lock_goods],SMALL(IF(ISNUMBER(MATCH(orderHistory[customer],$D$9,0)*MATCH(orderHistory[status],$D$11,0)*MATCH(orderHistory[order_type],$D$13,0)),MATCH(ROW(orderHistory[customer]),ROW(orderHistory[customer])),""),ROWS($A$15:A65)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T60" s="395" t="str">
        <f t="array" ref="T60">IFERROR(IF($D$9="",IF($D$11="",IF($D$13="",IF($D$15="",INDEX(orderHistory[payed],SMALL(MATCH(ROW(orderHistory[customer]),ROW(orderHistory[customer])),ROWS($A$15:A65)+$B$3)),INDEX(orderHistory[payed],SMALL(IF(ISNUMBER(MATCH(YEAR(orderHistory[invoice_date]),$D$15,0)),MATCH(ROW(orderHistory[customer]),ROW(orderHistory[customer])),""),ROWS($A$15:A65)+$B$3))),IF($D$15="",INDEX(orderHistory[payed],SMALL(IF(ISNUMBER(MATCH(orderHistory[order_type],$D$13,0)),MATCH(ROW(orderHistory[customer]),ROW(orderHistory[customer])),""),ROWS($A$15:A65)+$B$3)),INDEX(orderHistory[payed],SMALL(IF(ISNUMBER(MATCH(orderHistory[order_type],$D$13,0)*MATCH(YEAR(orderHistory[invoice_date]),$D$15,0)),MATCH(ROW(orderHistory[customer]),ROW(orderHistory[customer])),""),ROWS($A$15:A65)+$B$3)))),IF($D$13="",IF($D$15="",INDEX(orderHistory[payed],SMALL(IF(ISNUMBER(MATCH(orderHistory[status],$D$11,0)),MATCH(ROW(orderHistory[customer]),ROW(orderHistory[customer])),""),ROWS($A$15:A65)+$B$3)),INDEX(orderHistory[payed],SMALL(IF(ISNUMBER(MATCH(orderHistory[status],$D$11,0)*MATCH(YEAR(orderHistory[invoice_date]),$D$15,0)),MATCH(ROW(orderHistory[customer]),ROW(orderHistory[customer])),""),ROWS($A$15:A65)+$B$3))),IF($D$15="",INDEX(orderHistory[payed],SMALL(IF(ISNUMBER(MATCH(orderHistory[status],$D$11,0)*MATCH(orderHistory[order_type],$D$13,0)),MATCH(ROW(orderHistory[customer]),ROW(orderHistory[customer])),""),ROWS($A$15:A65)+$B$3)),INDEX(orderHistory[payed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payed],SMALL(IF(ISNUMBER(MATCH(orderHistory[customer],$D$9,0)),MATCH(ROW(orderHistory[customer]),ROW(orderHistory[customer])),""),ROWS($A$15:A65)+$B$3)),INDEX(orderHistory[payed],SMALL(IF(ISNUMBER(MATCH(orderHistory[customer],$D$9,0)*MATCH(YEAR(orderHistory[invoice_date]),$D$15,0)),MATCH(ROW(orderHistory[customer]),ROW(orderHistory[customer])),""),ROWS($A$15:A65)+$B$3))),IF($D$15="",INDEX(orderHistory[payed],SMALL(IF(ISNUMBER(MATCH(orderHistory[customer],$D$9,0)*MATCH(orderHistory[order_type],$D$13,0)),MATCH(ROW(orderHistory[customer]),ROW(orderHistory[customer])),""),ROWS($A$15:A65)+$B$3)),INDEX(orderHistory[payed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payed],SMALL(IF(ISNUMBER(MATCH(orderHistory[customer],$D$9,0)*MATCH(orderHistory[status],$D$11,0)),MATCH(ROW(orderHistory[customer]),ROW(orderHistory[customer])),""),ROWS($A$15:A65)+$B$3)),INDEX(orderHistory[payed],SMALL(IF(ISNUMBER(MATCH(orderHistory[customer],$D$9,0)*MATCH(orderHistory[status],$D$11,0)*MATCH(YEAR(orderHistory[payed]),$D$15,0)),MATCH(ROW(orderHistory[customer]),ROW(orderHistory[customer])),""),ROWS($A$15:A65)+$B$3))),IF($D$15="",INDEX(orderHistory[payed],SMALL(IF(ISNUMBER(MATCH(orderHistory[customer],$D$9,0)*MATCH(orderHistory[status],$D$11,0)*MATCH(orderHistory[order_type],$D$13,0)),MATCH(ROW(orderHistory[customer]),ROW(orderHistory[customer])),""),ROWS($A$15:A65)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U60" s="391" t="str">
        <f t="array" ref="U60">IFERROR(IF($D$9="",IF($D$11="",IF($D$13="",IF($D$15="",INDEX(orderHistory[shipping_method],SMALL(MATCH(ROW(orderHistory[customer]),ROW(orderHistory[customer])),ROWS($A$15:A65)+$B$3)),INDEX(orderHistory[shipping_method],SMALL(IF(ISNUMBER(MATCH(YEAR(orderHistory[invoice_date]),$D$15,0)),MATCH(ROW(orderHistory[customer]),ROW(orderHistory[customer])),""),ROWS($A$15:A65)+$B$3))),IF($D$15="",INDEX(orderHistory[shipping_method],SMALL(IF(ISNUMBER(MATCH(orderHistory[order_type],$D$13,0)),MATCH(ROW(orderHistory[customer]),ROW(orderHistory[customer])),""),ROWS($A$15:A65)+$B$3)),INDEX(orderHistory[shipping_method],SMALL(IF(ISNUMBER(MATCH(orderHistory[order_type],$D$13,0)*MATCH(YEAR(orderHistory[invoice_date]),$D$15,0)),MATCH(ROW(orderHistory[customer]),ROW(orderHistory[customer])),""),ROWS($A$15:A65)+$B$3)))),IF($D$13="",IF($D$15="",INDEX(orderHistory[shipping_method],SMALL(IF(ISNUMBER(MATCH(orderHistory[status],$D$11,0)),MATCH(ROW(orderHistory[customer]),ROW(orderHistory[customer])),""),ROWS($A$15:A65)+$B$3)),INDEX(orderHistory[shipping_method],SMALL(IF(ISNUMBER(MATCH(orderHistory[status],$D$11,0)*MATCH(YEAR(orderHistory[invoice_date]),$D$15,0)),MATCH(ROW(orderHistory[customer]),ROW(orderHistory[customer])),""),ROWS($A$15:A65)+$B$3))),IF($D$15="",INDEX(orderHistory[shipping_method],SMALL(IF(ISNUMBER(MATCH(orderHistory[status],$D$11,0)*MATCH(orderHistory[order_type],$D$13,0)),MATCH(ROW(orderHistory[customer]),ROW(orderHistory[customer])),""),ROWS($A$15:A65)+$B$3)),INDEX(orderHistory[shipping_method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shipping_method],SMALL(IF(ISNUMBER(MATCH(orderHistory[customer],$D$9,0)),MATCH(ROW(orderHistory[customer]),ROW(orderHistory[customer])),""),ROWS($A$15:A65)+$B$3)),INDEX(orderHistory[shipping_method],SMALL(IF(ISNUMBER(MATCH(orderHistory[customer],$D$9,0)*MATCH(YEAR(orderHistory[invoice_date]),$D$15,0)),MATCH(ROW(orderHistory[customer]),ROW(orderHistory[customer])),""),ROWS($A$15:A65)+$B$3))),IF($D$15="",INDEX(orderHistory[shipping_method],SMALL(IF(ISNUMBER(MATCH(orderHistory[customer],$D$9,0)*MATCH(orderHistory[order_type],$D$13,0)),MATCH(ROW(orderHistory[customer]),ROW(orderHistory[customer])),""),ROWS($A$15:A65)+$B$3)),INDEX(orderHistory[shipping_method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shipping_method],SMALL(IF(ISNUMBER(MATCH(orderHistory[customer],$D$9,0)*MATCH(orderHistory[status],$D$11,0)),MATCH(ROW(orderHistory[customer]),ROW(orderHistory[customer])),""),ROWS($A$15:A65)+$B$3)),INDEX(orderHistory[shipping_method],SMALL(IF(ISNUMBER(MATCH(orderHistory[customer],$D$9,0)*MATCH(orderHistory[status],$D$11,0)*MATCH(YEAR(orderHistory[shipping_method]),$D$15,0)),MATCH(ROW(orderHistory[customer]),ROW(orderHistory[customer])),""),ROWS($A$15:A65)+$B$3))),IF($D$15="",INDEX(orderHistory[shipping_method],SMALL(IF(ISNUMBER(MATCH(orderHistory[customer],$D$9,0)*MATCH(orderHistory[status],$D$11,0)*MATCH(orderHistory[order_type],$D$13,0)),MATCH(ROW(orderHistory[customer]),ROW(orderHistory[customer])),""),ROWS($A$15:A65)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V60" s="395" t="str">
        <f t="array" ref="V60">IFERROR(IF($D$9="",IF($D$11="",IF($D$13="",IF($D$15="",INDEX(orderHistory[status],SMALL(MATCH(ROW(orderHistory[customer]),ROW(orderHistory[customer])),ROWS($A$15:A65)+$B$3)),INDEX(orderHistory[status],SMALL(IF(ISNUMBER(MATCH(YEAR(orderHistory[invoice_date]),$D$15,0)),MATCH(ROW(orderHistory[customer]),ROW(orderHistory[customer])),""),ROWS($A$15:A65)+$B$3))),IF($D$15="",INDEX(orderHistory[status],SMALL(IF(ISNUMBER(MATCH(orderHistory[order_type],$D$13,0)),MATCH(ROW(orderHistory[customer]),ROW(orderHistory[customer])),""),ROWS($A$15:A65)+$B$3)),INDEX(orderHistory[status],SMALL(IF(ISNUMBER(MATCH(orderHistory[order_type],$D$13,0)*MATCH(YEAR(orderHistory[invoice_date]),$D$15,0)),MATCH(ROW(orderHistory[customer]),ROW(orderHistory[customer])),""),ROWS($A$15:A65)+$B$3)))),IF($D$13="",IF($D$15="",INDEX(orderHistory[status],SMALL(IF(ISNUMBER(MATCH(orderHistory[status],$D$11,0)),MATCH(ROW(orderHistory[customer]),ROW(orderHistory[customer])),""),ROWS($A$15:A65)+$B$3)),INDEX(orderHistory[status],SMALL(IF(ISNUMBER(MATCH(orderHistory[status],$D$11,0)*MATCH(YEAR(orderHistory[invoice_date]),$D$15,0)),MATCH(ROW(orderHistory[customer]),ROW(orderHistory[customer])),""),ROWS($A$15:A65)+$B$3))),IF($D$15="",INDEX(orderHistory[status],SMALL(IF(ISNUMBER(MATCH(orderHistory[status],$D$11,0)*MATCH(orderHistory[order_type],$D$13,0)),MATCH(ROW(orderHistory[customer]),ROW(orderHistory[customer])),""),ROWS($A$15:A65)+$B$3)),INDEX(orderHistory[status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status],SMALL(IF(ISNUMBER(MATCH(orderHistory[customer],$D$9,0)),MATCH(ROW(orderHistory[customer]),ROW(orderHistory[customer])),""),ROWS($A$15:A65)+$B$3)),INDEX(orderHistory[status],SMALL(IF(ISNUMBER(MATCH(orderHistory[customer],$D$9,0)*MATCH(YEAR(orderHistory[invoice_date]),$D$15,0)),MATCH(ROW(orderHistory[customer]),ROW(orderHistory[customer])),""),ROWS($A$15:A65)+$B$3))),IF($D$15="",INDEX(orderHistory[status],SMALL(IF(ISNUMBER(MATCH(orderHistory[customer],$D$9,0)*MATCH(orderHistory[order_type],$D$13,0)),MATCH(ROW(orderHistory[customer]),ROW(orderHistory[customer])),""),ROWS($A$15:A65)+$B$3)),INDEX(orderHistory[status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status],SMALL(IF(ISNUMBER(MATCH(orderHistory[customer],$D$9,0)*MATCH(orderHistory[status],$D$11,0)),MATCH(ROW(orderHistory[customer]),ROW(orderHistory[customer])),""),ROWS($A$15:A65)+$B$3)),INDEX(orderHistory[status],SMALL(IF(ISNUMBER(MATCH(orderHistory[customer],$D$9,0)*MATCH(orderHistory[status],$D$11,0)*MATCH(YEAR(orderHistory[status]),$D$15,0)),MATCH(ROW(orderHistory[customer]),ROW(orderHistory[customer])),""),ROWS($A$15:A65)+$B$3))),IF($D$15="",INDEX(orderHistory[status],SMALL(IF(ISNUMBER(MATCH(orderHistory[customer],$D$9,0)*MATCH(orderHistory[status],$D$11,0)*MATCH(orderHistory[order_type],$D$13,0)),MATCH(ROW(orderHistory[customer]),ROW(orderHistory[customer])),""),ROWS($A$15:A65)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W60" s="548" t="str">
        <f t="array" ref="W60">IFERROR(IF($D$9="",IF($D$11="",IF($D$13="",IF($D$15="",INDEX(orderHistory[custom_docs],SMALL(MATCH(ROW(orderHistory[customer]),ROW(orderHistory[customer])),ROWS($A$15:A65)+$B$3)),INDEX(orderHistory[custom_docs],SMALL(IF(ISNUMBER(MATCH(YEAR(orderHistory[invoice_date]),$D$15,0)),MATCH(ROW(orderHistory[customer]),ROW(orderHistory[customer])),""),ROWS($A$15:A65)+$B$3))),IF($D$15="",INDEX(orderHistory[custom_docs],SMALL(IF(ISNUMBER(MATCH(orderHistory[order_type],$D$13,0)),MATCH(ROW(orderHistory[customer]),ROW(orderHistory[customer])),""),ROWS($A$15:A65)+$B$3)),INDEX(orderHistory[custom_docs],SMALL(IF(ISNUMBER(MATCH(orderHistory[order_type],$D$13,0)*MATCH(YEAR(orderHistory[invoice_date]),$D$15,0)),MATCH(ROW(orderHistory[customer]),ROW(orderHistory[customer])),""),ROWS($A$15:A65)+$B$3)))),IF($D$13="",IF($D$15="",INDEX(orderHistory[custom_docs],SMALL(IF(ISNUMBER(MATCH(orderHistory[status],$D$11,0)),MATCH(ROW(orderHistory[customer]),ROW(orderHistory[customer])),""),ROWS($A$15:A65)+$B$3)),INDEX(orderHistory[custom_docs],SMALL(IF(ISNUMBER(MATCH(orderHistory[status],$D$11,0)*MATCH(YEAR(orderHistory[invoice_date]),$D$15,0)),MATCH(ROW(orderHistory[customer]),ROW(orderHistory[customer])),""),ROWS($A$15:A65)+$B$3))),IF($D$15="",INDEX(orderHistory[custom_docs],SMALL(IF(ISNUMBER(MATCH(orderHistory[status],$D$11,0)*MATCH(orderHistory[order_type],$D$13,0)),MATCH(ROW(orderHistory[customer]),ROW(orderHistory[customer])),""),ROWS($A$15:A65)+$B$3)),INDEX(orderHistory[custom_docs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custom_docs],SMALL(IF(ISNUMBER(MATCH(orderHistory[customer],$D$9,0)),MATCH(ROW(orderHistory[customer]),ROW(orderHistory[customer])),""),ROWS($A$15:A65)+$B$3)),INDEX(orderHistory[custom_docs],SMALL(IF(ISNUMBER(MATCH(orderHistory[customer],$D$9,0)*MATCH(YEAR(orderHistory[invoice_date]),$D$15,0)),MATCH(ROW(orderHistory[customer]),ROW(orderHistory[customer])),""),ROWS($A$15:A65)+$B$3))),IF($D$15="",INDEX(orderHistory[custom_docs],SMALL(IF(ISNUMBER(MATCH(orderHistory[customer],$D$9,0)*MATCH(orderHistory[order_type],$D$13,0)),MATCH(ROW(orderHistory[customer]),ROW(orderHistory[customer])),""),ROWS($A$15:A65)+$B$3)),INDEX(orderHistory[custom_docs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custom_docs],SMALL(IF(ISNUMBER(MATCH(orderHistory[customer],$D$9,0)*MATCH(orderHistory[status],$D$11,0)),MATCH(ROW(orderHistory[customer]),ROW(orderHistory[customer])),""),ROWS($A$15:A65)+$B$3)),INDEX(orderHistory[custom_docs],SMALL(IF(ISNUMBER(MATCH(orderHistory[customer],$D$9,0)*MATCH(orderHistory[status],$D$11,0)*MATCH(YEAR(orderHistory[status]),$D$15,0)),MATCH(ROW(orderHistory[customer]),ROW(orderHistory[customer])),""),ROWS($A$15:A65)+$B$3))),IF($D$15="",INDEX(orderHistory[custom_docs],SMALL(IF(ISNUMBER(MATCH(orderHistory[customer],$D$9,0)*MATCH(orderHistory[status],$D$11,0)*MATCH(orderHistory[order_type],$D$13,0)),MATCH(ROW(orderHistory[customer]),ROW(orderHistory[customer])),""),ROWS($A$15:A65)+$B$3)),INDEX(orderHistory[custom_docs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BG60" s="215"/>
      <c r="BK60" s="296"/>
      <c r="BL60" s="297"/>
      <c r="BM60" s="298"/>
      <c r="BN60" s="297"/>
      <c r="BO60" s="298"/>
      <c r="BZ60" s="414"/>
      <c r="CA60" s="401" t="str">
        <f>IFERROR(IF(BZ60="","",INDEX(bhpc_data[description],MATCH(BZ60,bhpc_data[sku],0))),"")</f>
        <v/>
      </c>
      <c r="CB60" s="403"/>
      <c r="CC60" s="886"/>
      <c r="CD60" s="411"/>
      <c r="CE60" s="890"/>
      <c r="CF60" s="404"/>
      <c r="CG60" s="405" t="str">
        <f>IFERROR(ROUNDUP(CB60/INDEX(bhpc_data[units_per_carton],MATCH(BZ60,bhpc_data[sku],0)),0),"")</f>
        <v/>
      </c>
      <c r="CH60" s="406" t="str">
        <f>IFERROR(ROUNDUP(CD60/INDEX(bhpc_data[units_per_carton],MATCH(BZ60,bhpc_data[sku],0)),0),"")</f>
        <v/>
      </c>
      <c r="CI60" s="406" t="str">
        <f>IFERROR(ROUNDUP(CF60/INDEX(bhpc_data[units_per_carton],MATCH(BZ60,bhpc_data[sku])),0),"")</f>
        <v/>
      </c>
      <c r="CJ60" s="406" t="str">
        <f>IFERROR(((CB60+CD60+CF60)/INDEX(bhpc_data[units_per_carton],MATCH(BZ60,bhpc_data[sku],0)))*INDEX(bhpc_data[net_weight],MATCH(BZ60,bhpc_data[sku],0)),"")</f>
        <v/>
      </c>
      <c r="CK60" s="406" t="str">
        <f>IFERROR(((CB60+CD60+CF60)/INDEX(bhpc_data[units_per_carton],MATCH(BZ60,bhpc_data[sku],0)))*INDEX(bhpc_data[gross_weight],MATCH(BZ60,bhpc_data[sku],0)),"")</f>
        <v/>
      </c>
      <c r="CL60" s="602" t="str">
        <f>IFERROR((CB60+CD60+CF60)/INDEX(bhpc_data[units_per_carton],MATCH(BZ60,bhpc_data[sku],0))*INDEX(bhpc_data[length],MATCH(BZ60,bhpc_data[sku],0))*INDEX(bhpc_data[width],MATCH(BZ60,bhpc_data[sku],0))*INDEX(bhpc_data[height],MATCH(BZ60,bhpc_data[sku],0))/1000000000,"")</f>
        <v/>
      </c>
      <c r="CM60" s="407" t="str">
        <f>IFERROR(INDEX(bhpc_data[category],MATCH(BZ60,bhpc_data[sku],0)),"")</f>
        <v/>
      </c>
      <c r="CN60" s="407" t="str">
        <f>IFERROR(INDEX(bhpc_data[size],MATCH(BZ60,bhpc_data[sku],0)),"")</f>
        <v/>
      </c>
      <c r="CO60" s="408" t="str">
        <f>IFERROR(INDEX(bhpc_data[hs_code],MATCH(BZ60,bhpc_data[sku],0)),"")</f>
        <v/>
      </c>
      <c r="CP60" s="489" t="str">
        <f>IFERROR(INDEX(bhpc_data[sku_geko],MATCH(BZ60,bhpc_data[sku],0)),"")</f>
        <v/>
      </c>
      <c r="CQ60" s="404"/>
      <c r="CR60" s="517" t="str">
        <f>IFERROR(IF(BZ60="","",IF($BX$15="SALE",INDEX(inventory[COSTO UNITARIO],MATCH(BZ60,inventory[SKU],0)),IF($BX$15="SAMPLING",INDEX(inventory[COSTO UNITARIO],MATCH(BZ60,inventory[SKU],0)),""))),"")</f>
        <v/>
      </c>
      <c r="CS60" s="517" t="str">
        <f t="shared" si="7"/>
        <v/>
      </c>
      <c r="CT60" s="896" t="str">
        <f t="shared" si="8"/>
        <v/>
      </c>
      <c r="CU60" s="469" t="str">
        <f t="shared" si="0"/>
        <v/>
      </c>
      <c r="DB60" s="280" t="str">
        <f>IFERROR(VLOOKUP(BZ60,bhpc_data[],22,FALSE),"")</f>
        <v/>
      </c>
      <c r="EE60" s="445" t="str" cm="1">
        <f t="array" ref="EE60">IFERROR(IF($EC$9="",IF($EC$11="",IF($EC$13="",INDEX(bhpc_data[sku],SMALL(MATCH(ROW(bhpc_data[sku]),ROW(bhpc_data[sku])),ROWS($A$15:A65)+$B$3)),INDEX(bhpc_data[sku],SMALL(IF(ISNUMBER(MATCH(bhpc_data[size],$EC$13,0)),MATCH(ROW(bhpc_data[sku]),ROW(bhpc_data[sku])),""),ROWS($A$15:A65)+$B$3))),IF($EC$13="",INDEX(bhpc_data[sku],SMALL(IF(ISNUMBER(MATCH(bhpc_data[sex],$EC$11,0)),MATCH(ROW(bhpc_data[sku]),ROW(bhpc_data[sku])),""),ROWS($A$15:A65)+$B$3)),INDEX(bhpc_data[sku],SMALL(IF(ISNUMBER(MATCH(bhpc_data[sex],$EC$11,0)*MATCH(bhpc_data[size],$EC$13,0)),MATCH(ROW(bhpc_data[sku]),ROW(bhpc_data[sku])),""),ROWS($A$15:A65)+$B$3)))),IF($EC$11="",IF($EC$13="",INDEX(bhpc_data[sku],SMALL(IF(ISNUMBER(MATCH(bhpc_data[category],$EC$9,0)),MATCH(ROW(bhpc_data[sku]),ROW(bhpc_data[sku])),""),ROWS($A$15:A65)+$B$3)),INDEX(bhpc_data[sku],SMALL(IF(ISNUMBER(MATCH(bhpc_data[category],$EC$9,0)*MATCH(bhpc_data[size],$EC$13,0)),MATCH(ROW(bhpc_data[sku]),ROW(bhpc_data[sku])),""),ROWS($A$15:A65)+$B$3))),IF($EC$13="",INDEX(bhpc_data[sku],SMALL(IF(ISNUMBER(MATCH(bhpc_data[category],$EC$9,0)*MATCH(bhpc_data[sex],$EC$11,0)),MATCH(ROW(bhpc_data[sku]),ROW(bhpc_data[sku])),""),ROWS($A$15:A65)+$B$3)),INDEX(bhpc_data[sku],SMALL(IF(ISNUMBER(MATCH(bhpc_data[category],$EC$9,0)*MATCH(bhpc_data[sex],$EC$11,0)*MATCH(bhpc_data[size],$EC$13,0)),MATCH(ROW(bhpc_data[sku]),ROW(bhpc_data[sku])),""),ROWS($A$15:A65)+$B$3))))),"")</f>
        <v>PBM008</v>
      </c>
      <c r="EF60" s="446" t="str" cm="1">
        <f t="array" ref="EF60">IFERROR(IF($EC$9="",IF($EC$11="",IF($EC$13="",INDEX(bhpc_data[description],SMALL(MATCH(ROW(bhpc_data[sku]),ROW(bhpc_data[sku])),ROWS($A$15:A65)+$B$3)),INDEX(bhpc_data[description],SMALL(IF(ISNUMBER(MATCH(bhpc_data[size],$EC$13,0)),MATCH(ROW(bhpc_data[sku]),ROW(bhpc_data[sku])),""),ROWS($A$15:A65)+$B$3))),IF($EC$13="",INDEX(bhpc_data[description],SMALL(IF(ISNUMBER(MATCH(bhpc_data[sex],$EC$11,0)),MATCH(ROW(bhpc_data[sku]),ROW(bhpc_data[sku])),""),ROWS($A$15:A65)+$B$3)),INDEX(bhpc_data[description],SMALL(IF(ISNUMBER(MATCH(bhpc_data[sex],$EC$11,0)*MATCH(bhpc_data[size],$EC$13,0)),MATCH(ROW(bhpc_data[sku]),ROW(bhpc_data[sku])),""),ROWS($A$15:A65)+$B$3)))),IF($EC$11="",IF($EC$13="",INDEX(bhpc_data[description],SMALL(IF(ISNUMBER(MATCH(bhpc_data[category],$EC$9,0)),MATCH(ROW(bhpc_data[sku]),ROW(bhpc_data[sku])),""),ROWS($A$15:A65)+$B$3)),INDEX(bhpc_data[description],SMALL(IF(ISNUMBER(MATCH(bhpc_data[category],$EC$9,0)*MATCH(bhpc_data[size],$EC$13,0)),MATCH(ROW(bhpc_data[sku]),ROW(bhpc_data[sku])),""),ROWS($A$15:A65)+$B$3))),IF($EC$13="",INDEX(bhpc_data[description],SMALL(IF(ISNUMBER(MATCH(bhpc_data[category],$EC$9,0)*MATCH(bhpc_data[sex],$EC$11,0)),MATCH(ROW(bhpc_data[sku]),ROW(bhpc_data[sku])),""),ROWS($A$15:A65)+$B$3)),INDEX(bhpc_data[description],SMALL(IF(ISNUMBER(MATCH(bhpc_data[category],$EC$9,0)*MATCH(bhpc_data[sex],$EC$11,0)*MATCH(bhpc_data[size],$EC$13,0)),MATCH(ROW(bhpc_data[sku]),ROW(bhpc_data[sku])),""),ROWS($A$15:A65)+$B$3))))),"")</f>
        <v>BHPC WOMEN BODY MIST #8 EXOTIC FRAGRANCE 200ML</v>
      </c>
      <c r="EG60" s="447">
        <f>IFERROR(IF('BHPC MANAGER'!$EE60="","",INDEX(inventory[ESISTENZA],MATCH('BHPC MANAGER'!$EE60,inventory[SKU],0))),0)</f>
        <v>7223</v>
      </c>
      <c r="EH60" s="448">
        <v>-668</v>
      </c>
      <c r="EI60" s="448">
        <f t="shared" si="1"/>
        <v>6555</v>
      </c>
      <c r="EJ60" s="449">
        <v>0</v>
      </c>
      <c r="EK60" s="450">
        <f t="shared" si="2"/>
        <v>6555</v>
      </c>
      <c r="EO60" s="215" t="str">
        <f t="array" ref="EO60">IFERROR(INDEX(orderHistory[order_no],SMALL(IF(ISNUMBER(MATCH(orderHistory[status],$EO$7,0)),MATCH(ROW(orderHistory[order_no]),ROW(orderHistory[order_no])),""),ROWS($A$15:A65))),"")</f>
        <v/>
      </c>
    </row>
    <row r="61" spans="10:145" ht="15" customHeight="1" x14ac:dyDescent="0.35">
      <c r="M61" s="215"/>
      <c r="BG61" s="215"/>
      <c r="BK61" s="296"/>
      <c r="BL61" s="297"/>
      <c r="BM61" s="298"/>
      <c r="BN61" s="297"/>
      <c r="BO61" s="298"/>
      <c r="BZ61" s="414"/>
      <c r="CA61" s="401" t="str">
        <f>IFERROR(IF(BZ61="","",INDEX(bhpc_data[description],MATCH(BZ61,bhpc_data[sku],0))),"")</f>
        <v/>
      </c>
      <c r="CB61" s="403"/>
      <c r="CC61" s="886"/>
      <c r="CD61" s="415"/>
      <c r="CE61" s="891"/>
      <c r="CF61" s="404"/>
      <c r="CG61" s="405" t="str">
        <f>IFERROR(ROUNDUP(CB61/INDEX(bhpc_data[units_per_carton],MATCH(BZ61,bhpc_data[sku],0)),0),"")</f>
        <v/>
      </c>
      <c r="CH61" s="406" t="str">
        <f>IFERROR(ROUNDUP(CD61/INDEX(bhpc_data[units_per_carton],MATCH(BZ61,bhpc_data[sku],0)),0),"")</f>
        <v/>
      </c>
      <c r="CI61" s="406" t="str">
        <f>IFERROR(ROUNDUP(CF61/INDEX(bhpc_data[units_per_carton],MATCH(BZ61,bhpc_data[sku])),0),"")</f>
        <v/>
      </c>
      <c r="CJ61" s="406" t="str">
        <f>IFERROR(((CB61+CD61+CF61)/INDEX(bhpc_data[units_per_carton],MATCH(BZ61,bhpc_data[sku],0)))*INDEX(bhpc_data[net_weight],MATCH(BZ61,bhpc_data[sku],0)),"")</f>
        <v/>
      </c>
      <c r="CK61" s="406" t="str">
        <f>IFERROR(((CB61+CD61+CF61)/INDEX(bhpc_data[units_per_carton],MATCH(BZ61,bhpc_data[sku],0)))*INDEX(bhpc_data[gross_weight],MATCH(BZ61,bhpc_data[sku],0)),"")</f>
        <v/>
      </c>
      <c r="CL61" s="602" t="str">
        <f>IFERROR((CB61+CD61+CF61)/INDEX(bhpc_data[units_per_carton],MATCH(BZ61,bhpc_data[sku],0))*INDEX(bhpc_data[length],MATCH(BZ61,bhpc_data[sku],0))*INDEX(bhpc_data[width],MATCH(BZ61,bhpc_data[sku],0))*INDEX(bhpc_data[height],MATCH(BZ61,bhpc_data[sku],0))/1000000000,"")</f>
        <v/>
      </c>
      <c r="CM61" s="407" t="str">
        <f>IFERROR(INDEX(bhpc_data[category],MATCH(BZ61,bhpc_data[sku],0)),"")</f>
        <v/>
      </c>
      <c r="CN61" s="407" t="str">
        <f>IFERROR(INDEX(bhpc_data[size],MATCH(BZ61,bhpc_data[sku],0)),"")</f>
        <v/>
      </c>
      <c r="CO61" s="408" t="str">
        <f>IFERROR(INDEX(bhpc_data[hs_code],MATCH(BZ61,bhpc_data[sku],0)),"")</f>
        <v/>
      </c>
      <c r="CP61" s="489" t="str">
        <f>IFERROR(INDEX(bhpc_data[sku_geko],MATCH(BZ61,bhpc_data[sku],0)),"")</f>
        <v/>
      </c>
      <c r="CQ61" s="404"/>
      <c r="CR61" s="517" t="str">
        <f>IFERROR(IF(BZ61="","",IF($BX$15="SALE",INDEX(inventory[COSTO UNITARIO],MATCH(BZ61,inventory[SKU],0)),IF($BX$15="SAMPLING",INDEX(inventory[COSTO UNITARIO],MATCH(BZ61,inventory[SKU],0)),""))),"")</f>
        <v/>
      </c>
      <c r="CS61" s="517" t="str">
        <f t="shared" si="7"/>
        <v/>
      </c>
      <c r="CT61" s="896" t="str">
        <f t="shared" si="8"/>
        <v/>
      </c>
      <c r="CU61" s="469" t="str">
        <f t="shared" si="0"/>
        <v/>
      </c>
      <c r="DB61" s="280" t="str">
        <f>IFERROR(VLOOKUP(BZ61,bhpc_data[],22,FALSE),"")</f>
        <v/>
      </c>
      <c r="EE61" s="439" t="str" cm="1">
        <f t="array" ref="EE61">IFERROR(IF($EC$9="",IF($EC$11="",IF($EC$13="",INDEX(bhpc_data[sku],SMALL(MATCH(ROW(bhpc_data[sku]),ROW(bhpc_data[sku])),ROWS($A$15:A66)+$B$3)),INDEX(bhpc_data[sku],SMALL(IF(ISNUMBER(MATCH(bhpc_data[size],$EC$13,0)),MATCH(ROW(bhpc_data[sku]),ROW(bhpc_data[sku])),""),ROWS($A$15:A66)+$B$3))),IF($EC$13="",INDEX(bhpc_data[sku],SMALL(IF(ISNUMBER(MATCH(bhpc_data[sex],$EC$11,0)),MATCH(ROW(bhpc_data[sku]),ROW(bhpc_data[sku])),""),ROWS($A$15:A66)+$B$3)),INDEX(bhpc_data[sku],SMALL(IF(ISNUMBER(MATCH(bhpc_data[sex],$EC$11,0)*MATCH(bhpc_data[size],$EC$13,0)),MATCH(ROW(bhpc_data[sku]),ROW(bhpc_data[sku])),""),ROWS($A$15:A66)+$B$3)))),IF($EC$11="",IF($EC$13="",INDEX(bhpc_data[sku],SMALL(IF(ISNUMBER(MATCH(bhpc_data[category],$EC$9,0)),MATCH(ROW(bhpc_data[sku]),ROW(bhpc_data[sku])),""),ROWS($A$15:A66)+$B$3)),INDEX(bhpc_data[sku],SMALL(IF(ISNUMBER(MATCH(bhpc_data[category],$EC$9,0)*MATCH(bhpc_data[size],$EC$13,0)),MATCH(ROW(bhpc_data[sku]),ROW(bhpc_data[sku])),""),ROWS($A$15:A66)+$B$3))),IF($EC$13="",INDEX(bhpc_data[sku],SMALL(IF(ISNUMBER(MATCH(bhpc_data[category],$EC$9,0)*MATCH(bhpc_data[sex],$EC$11,0)),MATCH(ROW(bhpc_data[sku]),ROW(bhpc_data[sku])),""),ROWS($A$15:A66)+$B$3)),INDEX(bhpc_data[sku],SMALL(IF(ISNUMBER(MATCH(bhpc_data[category],$EC$9,0)*MATCH(bhpc_data[sex],$EC$11,0)*MATCH(bhpc_data[size],$EC$13,0)),MATCH(ROW(bhpc_data[sku]),ROW(bhpc_data[sku])),""),ROWS($A$15:A66)+$B$3))))),"")</f>
        <v>PBM009</v>
      </c>
      <c r="EF61" s="440" t="str" cm="1">
        <f t="array" ref="EF61">IFERROR(IF($EC$9="",IF($EC$11="",IF($EC$13="",INDEX(bhpc_data[description],SMALL(MATCH(ROW(bhpc_data[sku]),ROW(bhpc_data[sku])),ROWS($A$15:A66)+$B$3)),INDEX(bhpc_data[description],SMALL(IF(ISNUMBER(MATCH(bhpc_data[size],$EC$13,0)),MATCH(ROW(bhpc_data[sku]),ROW(bhpc_data[sku])),""),ROWS($A$15:A66)+$B$3))),IF($EC$13="",INDEX(bhpc_data[description],SMALL(IF(ISNUMBER(MATCH(bhpc_data[sex],$EC$11,0)),MATCH(ROW(bhpc_data[sku]),ROW(bhpc_data[sku])),""),ROWS($A$15:A66)+$B$3)),INDEX(bhpc_data[description],SMALL(IF(ISNUMBER(MATCH(bhpc_data[sex],$EC$11,0)*MATCH(bhpc_data[size],$EC$13,0)),MATCH(ROW(bhpc_data[sku]),ROW(bhpc_data[sku])),""),ROWS($A$15:A66)+$B$3)))),IF($EC$11="",IF($EC$13="",INDEX(bhpc_data[description],SMALL(IF(ISNUMBER(MATCH(bhpc_data[category],$EC$9,0)),MATCH(ROW(bhpc_data[sku]),ROW(bhpc_data[sku])),""),ROWS($A$15:A66)+$B$3)),INDEX(bhpc_data[description],SMALL(IF(ISNUMBER(MATCH(bhpc_data[category],$EC$9,0)*MATCH(bhpc_data[size],$EC$13,0)),MATCH(ROW(bhpc_data[sku]),ROW(bhpc_data[sku])),""),ROWS($A$15:A66)+$B$3))),IF($EC$13="",INDEX(bhpc_data[description],SMALL(IF(ISNUMBER(MATCH(bhpc_data[category],$EC$9,0)*MATCH(bhpc_data[sex],$EC$11,0)),MATCH(ROW(bhpc_data[sku]),ROW(bhpc_data[sku])),""),ROWS($A$15:A66)+$B$3)),INDEX(bhpc_data[description],SMALL(IF(ISNUMBER(MATCH(bhpc_data[category],$EC$9,0)*MATCH(bhpc_data[sex],$EC$11,0)*MATCH(bhpc_data[size],$EC$13,0)),MATCH(ROW(bhpc_data[sku]),ROW(bhpc_data[sku])),""),ROWS($A$15:A66)+$B$3))))),"")</f>
        <v>BHPC WOMEN BODY MIST #9 SPARKING FLORAL 200ML</v>
      </c>
      <c r="EG61" s="441">
        <f>IFERROR(IF('BHPC MANAGER'!$EE61="","",INDEX(inventory[ESISTENZA],MATCH('BHPC MANAGER'!$EE61,inventory[SKU],0))),0)</f>
        <v>7196</v>
      </c>
      <c r="EH61" s="442">
        <v>-668</v>
      </c>
      <c r="EI61" s="442">
        <f t="shared" si="1"/>
        <v>6528</v>
      </c>
      <c r="EJ61" s="443">
        <v>0</v>
      </c>
      <c r="EK61" s="444">
        <f t="shared" si="2"/>
        <v>6528</v>
      </c>
    </row>
    <row r="62" spans="10:145" ht="15" customHeight="1" x14ac:dyDescent="0.35">
      <c r="M62" s="215"/>
      <c r="BG62" s="215"/>
      <c r="BK62" s="296"/>
      <c r="BL62" s="297"/>
      <c r="BM62" s="298"/>
      <c r="BN62" s="297"/>
      <c r="BO62" s="298"/>
      <c r="BZ62" s="414"/>
      <c r="CA62" s="401" t="str">
        <f>IFERROR(IF(BZ62="","",INDEX(bhpc_data[description],MATCH(BZ62,bhpc_data[sku],0))),"")</f>
        <v/>
      </c>
      <c r="CB62" s="403"/>
      <c r="CC62" s="886"/>
      <c r="CD62" s="415"/>
      <c r="CE62" s="891"/>
      <c r="CF62" s="404"/>
      <c r="CG62" s="405" t="str">
        <f>IFERROR(ROUNDUP(CB62/INDEX(bhpc_data[units_per_carton],MATCH(BZ62,bhpc_data[sku],0)),0),"")</f>
        <v/>
      </c>
      <c r="CH62" s="406" t="str">
        <f>IFERROR(ROUNDUP(CD62/INDEX(bhpc_data[units_per_carton],MATCH(BZ62,bhpc_data[sku],0)),0),"")</f>
        <v/>
      </c>
      <c r="CI62" s="406" t="str">
        <f>IFERROR(ROUNDUP(CF62/INDEX(bhpc_data[units_per_carton],MATCH(BZ62,bhpc_data[sku])),0),"")</f>
        <v/>
      </c>
      <c r="CJ62" s="406" t="str">
        <f>IFERROR(((CB62+CD62+CF62)/INDEX(bhpc_data[units_per_carton],MATCH(BZ62,bhpc_data[sku],0)))*INDEX(bhpc_data[net_weight],MATCH(BZ62,bhpc_data[sku],0)),"")</f>
        <v/>
      </c>
      <c r="CK62" s="406" t="str">
        <f>IFERROR(((CB62+CD62+CF62)/INDEX(bhpc_data[units_per_carton],MATCH(BZ62,bhpc_data[sku],0)))*INDEX(bhpc_data[gross_weight],MATCH(BZ62,bhpc_data[sku],0)),"")</f>
        <v/>
      </c>
      <c r="CL62" s="602" t="str">
        <f>IFERROR((CB62+CD62+CF62)/INDEX(bhpc_data[units_per_carton],MATCH(BZ62,bhpc_data[sku],0))*INDEX(bhpc_data[length],MATCH(BZ62,bhpc_data[sku],0))*INDEX(bhpc_data[width],MATCH(BZ62,bhpc_data[sku],0))*INDEX(bhpc_data[height],MATCH(BZ62,bhpc_data[sku],0))/1000000000,"")</f>
        <v/>
      </c>
      <c r="CM62" s="407" t="str">
        <f>IFERROR(INDEX(bhpc_data[category],MATCH(BZ62,bhpc_data[sku],0)),"")</f>
        <v/>
      </c>
      <c r="CN62" s="407" t="str">
        <f>IFERROR(INDEX(bhpc_data[size],MATCH(BZ62,bhpc_data[sku],0)),"")</f>
        <v/>
      </c>
      <c r="CO62" s="408" t="str">
        <f>IFERROR(INDEX(bhpc_data[hs_code],MATCH(BZ62,bhpc_data[sku],0)),"")</f>
        <v/>
      </c>
      <c r="CP62" s="489" t="str">
        <f>IFERROR(INDEX(bhpc_data[sku_geko],MATCH(BZ62,bhpc_data[sku],0)),"")</f>
        <v/>
      </c>
      <c r="CQ62" s="404"/>
      <c r="CR62" s="517" t="str">
        <f>IFERROR(IF(BZ62="","",IF($BX$15="SALE",INDEX(inventory[COSTO UNITARIO],MATCH(BZ62,inventory[SKU],0)),IF($BX$15="SAMPLING",INDEX(inventory[COSTO UNITARIO],MATCH(BZ62,inventory[SKU],0)),""))),"")</f>
        <v/>
      </c>
      <c r="CS62" s="517" t="str">
        <f t="shared" si="7"/>
        <v/>
      </c>
      <c r="CT62" s="896" t="str">
        <f t="shared" si="8"/>
        <v/>
      </c>
      <c r="CU62" s="469" t="str">
        <f t="shared" si="0"/>
        <v/>
      </c>
      <c r="DB62" s="280" t="str">
        <f>IFERROR(VLOOKUP(BZ62,bhpc_data[],22,FALSE),"")</f>
        <v/>
      </c>
      <c r="EE62" s="445" t="str" cm="1">
        <f t="array" ref="EE62">IFERROR(IF($EC$9="",IF($EC$11="",IF($EC$13="",INDEX(bhpc_data[sku],SMALL(MATCH(ROW(bhpc_data[sku]),ROW(bhpc_data[sku])),ROWS($A$15:A67)+$B$3)),INDEX(bhpc_data[sku],SMALL(IF(ISNUMBER(MATCH(bhpc_data[size],$EC$13,0)),MATCH(ROW(bhpc_data[sku]),ROW(bhpc_data[sku])),""),ROWS($A$15:A67)+$B$3))),IF($EC$13="",INDEX(bhpc_data[sku],SMALL(IF(ISNUMBER(MATCH(bhpc_data[sex],$EC$11,0)),MATCH(ROW(bhpc_data[sku]),ROW(bhpc_data[sku])),""),ROWS($A$15:A67)+$B$3)),INDEX(bhpc_data[sku],SMALL(IF(ISNUMBER(MATCH(bhpc_data[sex],$EC$11,0)*MATCH(bhpc_data[size],$EC$13,0)),MATCH(ROW(bhpc_data[sku]),ROW(bhpc_data[sku])),""),ROWS($A$15:A67)+$B$3)))),IF($EC$11="",IF($EC$13="",INDEX(bhpc_data[sku],SMALL(IF(ISNUMBER(MATCH(bhpc_data[category],$EC$9,0)),MATCH(ROW(bhpc_data[sku]),ROW(bhpc_data[sku])),""),ROWS($A$15:A67)+$B$3)),INDEX(bhpc_data[sku],SMALL(IF(ISNUMBER(MATCH(bhpc_data[category],$EC$9,0)*MATCH(bhpc_data[size],$EC$13,0)),MATCH(ROW(bhpc_data[sku]),ROW(bhpc_data[sku])),""),ROWS($A$15:A67)+$B$3))),IF($EC$13="",INDEX(bhpc_data[sku],SMALL(IF(ISNUMBER(MATCH(bhpc_data[category],$EC$9,0)*MATCH(bhpc_data[sex],$EC$11,0)),MATCH(ROW(bhpc_data[sku]),ROW(bhpc_data[sku])),""),ROWS($A$15:A67)+$B$3)),INDEX(bhpc_data[sku],SMALL(IF(ISNUMBER(MATCH(bhpc_data[category],$EC$9,0)*MATCH(bhpc_data[sex],$EC$11,0)*MATCH(bhpc_data[size],$EC$13,0)),MATCH(ROW(bhpc_data[sku]),ROW(bhpc_data[sku])),""),ROWS($A$15:A67)+$B$3))))),"")</f>
        <v>X05008</v>
      </c>
      <c r="EF62" s="446" t="str" cm="1">
        <f t="array" ref="EF62">IFERROR(IF($EC$9="",IF($EC$11="",IF($EC$13="",INDEX(bhpc_data[description],SMALL(MATCH(ROW(bhpc_data[sku]),ROW(bhpc_data[sku])),ROWS($A$15:A67)+$B$3)),INDEX(bhpc_data[description],SMALL(IF(ISNUMBER(MATCH(bhpc_data[size],$EC$13,0)),MATCH(ROW(bhpc_data[sku]),ROW(bhpc_data[sku])),""),ROWS($A$15:A67)+$B$3))),IF($EC$13="",INDEX(bhpc_data[description],SMALL(IF(ISNUMBER(MATCH(bhpc_data[sex],$EC$11,0)),MATCH(ROW(bhpc_data[sku]),ROW(bhpc_data[sku])),""),ROWS($A$15:A67)+$B$3)),INDEX(bhpc_data[description],SMALL(IF(ISNUMBER(MATCH(bhpc_data[sex],$EC$11,0)*MATCH(bhpc_data[size],$EC$13,0)),MATCH(ROW(bhpc_data[sku]),ROW(bhpc_data[sku])),""),ROWS($A$15:A67)+$B$3)))),IF($EC$11="",IF($EC$13="",INDEX(bhpc_data[description],SMALL(IF(ISNUMBER(MATCH(bhpc_data[category],$EC$9,0)),MATCH(ROW(bhpc_data[sku]),ROW(bhpc_data[sku])),""),ROWS($A$15:A67)+$B$3)),INDEX(bhpc_data[description],SMALL(IF(ISNUMBER(MATCH(bhpc_data[category],$EC$9,0)*MATCH(bhpc_data[size],$EC$13,0)),MATCH(ROW(bhpc_data[sku]),ROW(bhpc_data[sku])),""),ROWS($A$15:A67)+$B$3))),IF($EC$13="",INDEX(bhpc_data[description],SMALL(IF(ISNUMBER(MATCH(bhpc_data[category],$EC$9,0)*MATCH(bhpc_data[sex],$EC$11,0)),MATCH(ROW(bhpc_data[sku]),ROW(bhpc_data[sku])),""),ROWS($A$15:A67)+$B$3)),INDEX(bhpc_data[description],SMALL(IF(ISNUMBER(MATCH(bhpc_data[category],$EC$9,0)*MATCH(bhpc_data[sex],$EC$11,0)*MATCH(bhpc_data[size],$EC$13,0)),MATCH(ROW(bhpc_data[sku]),ROW(bhpc_data[sku])),""),ROWS($A$15:A67)+$B$3))))),"")</f>
        <v>BHPC GIFT BOX MEN NO.1 50ML</v>
      </c>
      <c r="EG62" s="447">
        <f>IFERROR(IF('BHPC MANAGER'!$EE62="","",INDEX(inventory[ESISTENZA],MATCH('BHPC MANAGER'!$EE62,inventory[SKU],0))),0)</f>
        <v>1330</v>
      </c>
      <c r="EH62" s="448">
        <v>-35</v>
      </c>
      <c r="EI62" s="448">
        <f t="shared" si="1"/>
        <v>1295</v>
      </c>
      <c r="EJ62" s="449">
        <v>0</v>
      </c>
      <c r="EK62" s="450">
        <f t="shared" si="2"/>
        <v>1295</v>
      </c>
    </row>
    <row r="63" spans="10:145" ht="15" customHeight="1" x14ac:dyDescent="0.35">
      <c r="M63" s="215"/>
      <c r="BG63" s="215"/>
      <c r="BK63" s="296"/>
      <c r="BL63" s="297"/>
      <c r="BM63" s="298"/>
      <c r="BN63" s="297"/>
      <c r="BO63" s="298"/>
      <c r="BZ63" s="414"/>
      <c r="CA63" s="401" t="str">
        <f>IFERROR(IF(BZ63="","",INDEX(bhpc_data[description],MATCH(BZ63,bhpc_data[sku],0))),"")</f>
        <v/>
      </c>
      <c r="CB63" s="403"/>
      <c r="CC63" s="886"/>
      <c r="CD63" s="415"/>
      <c r="CE63" s="891"/>
      <c r="CF63" s="404"/>
      <c r="CG63" s="405" t="str">
        <f>IFERROR(ROUNDUP(CB63/INDEX(bhpc_data[units_per_carton],MATCH(BZ63,bhpc_data[sku],0)),0),"")</f>
        <v/>
      </c>
      <c r="CH63" s="406" t="str">
        <f>IFERROR(ROUNDUP(CD63/INDEX(bhpc_data[units_per_carton],MATCH(BZ63,bhpc_data[sku],0)),0),"")</f>
        <v/>
      </c>
      <c r="CI63" s="406" t="str">
        <f>IFERROR(ROUNDUP(CF63/INDEX(bhpc_data[units_per_carton],MATCH(BZ63,bhpc_data[sku])),0),"")</f>
        <v/>
      </c>
      <c r="CJ63" s="406" t="str">
        <f>IFERROR(((CB63+CD63+CF63)/INDEX(bhpc_data[units_per_carton],MATCH(BZ63,bhpc_data[sku],0)))*INDEX(bhpc_data[net_weight],MATCH(BZ63,bhpc_data[sku],0)),"")</f>
        <v/>
      </c>
      <c r="CK63" s="406" t="str">
        <f>IFERROR(((CB63+CD63+CF63)/INDEX(bhpc_data[units_per_carton],MATCH(BZ63,bhpc_data[sku],0)))*INDEX(bhpc_data[gross_weight],MATCH(BZ63,bhpc_data[sku],0)),"")</f>
        <v/>
      </c>
      <c r="CL63" s="602" t="str">
        <f>IFERROR((CB63+CD63+CF63)/INDEX(bhpc_data[units_per_carton],MATCH(BZ63,bhpc_data[sku],0))*INDEX(bhpc_data[length],MATCH(BZ63,bhpc_data[sku],0))*INDEX(bhpc_data[width],MATCH(BZ63,bhpc_data[sku],0))*INDEX(bhpc_data[height],MATCH(BZ63,bhpc_data[sku],0))/1000000000,"")</f>
        <v/>
      </c>
      <c r="CM63" s="407" t="str">
        <f>IFERROR(INDEX(bhpc_data[category],MATCH(BZ63,bhpc_data[sku],0)),"")</f>
        <v/>
      </c>
      <c r="CN63" s="407" t="str">
        <f>IFERROR(INDEX(bhpc_data[size],MATCH(BZ63,bhpc_data[sku],0)),"")</f>
        <v/>
      </c>
      <c r="CO63" s="408" t="str">
        <f>IFERROR(INDEX(bhpc_data[hs_code],MATCH(BZ63,bhpc_data[sku],0)),"")</f>
        <v/>
      </c>
      <c r="CP63" s="489" t="str">
        <f>IFERROR(INDEX(bhpc_data[sku_geko],MATCH(BZ63,bhpc_data[sku],0)),"")</f>
        <v/>
      </c>
      <c r="CQ63" s="404"/>
      <c r="CR63" s="517" t="str">
        <f>IFERROR(IF(BZ63="","",IF($BX$15="SALE",INDEX(inventory[COSTO UNITARIO],MATCH(BZ63,inventory[SKU],0)),IF($BX$15="SAMPLING",INDEX(inventory[COSTO UNITARIO],MATCH(BZ63,inventory[SKU],0)),""))),"")</f>
        <v/>
      </c>
      <c r="CS63" s="517" t="str">
        <f t="shared" si="7"/>
        <v/>
      </c>
      <c r="CT63" s="896" t="str">
        <f t="shared" si="8"/>
        <v/>
      </c>
      <c r="CU63" s="469" t="str">
        <f t="shared" si="0"/>
        <v/>
      </c>
      <c r="DB63" s="280" t="str">
        <f>IFERROR(VLOOKUP(BZ63,bhpc_data[],22,FALSE),"")</f>
        <v/>
      </c>
      <c r="EE63" s="439" t="str" cm="1">
        <f t="array" ref="EE63">IFERROR(IF($EC$9="",IF($EC$11="",IF($EC$13="",INDEX(bhpc_data[sku],SMALL(MATCH(ROW(bhpc_data[sku]),ROW(bhpc_data[sku])),ROWS($A$15:A68)+$B$3)),INDEX(bhpc_data[sku],SMALL(IF(ISNUMBER(MATCH(bhpc_data[size],$EC$13,0)),MATCH(ROW(bhpc_data[sku]),ROW(bhpc_data[sku])),""),ROWS($A$15:A68)+$B$3))),IF($EC$13="",INDEX(bhpc_data[sku],SMALL(IF(ISNUMBER(MATCH(bhpc_data[sex],$EC$11,0)),MATCH(ROW(bhpc_data[sku]),ROW(bhpc_data[sku])),""),ROWS($A$15:A68)+$B$3)),INDEX(bhpc_data[sku],SMALL(IF(ISNUMBER(MATCH(bhpc_data[sex],$EC$11,0)*MATCH(bhpc_data[size],$EC$13,0)),MATCH(ROW(bhpc_data[sku]),ROW(bhpc_data[sku])),""),ROWS($A$15:A68)+$B$3)))),IF($EC$11="",IF($EC$13="",INDEX(bhpc_data[sku],SMALL(IF(ISNUMBER(MATCH(bhpc_data[category],$EC$9,0)),MATCH(ROW(bhpc_data[sku]),ROW(bhpc_data[sku])),""),ROWS($A$15:A68)+$B$3)),INDEX(bhpc_data[sku],SMALL(IF(ISNUMBER(MATCH(bhpc_data[category],$EC$9,0)*MATCH(bhpc_data[size],$EC$13,0)),MATCH(ROW(bhpc_data[sku]),ROW(bhpc_data[sku])),""),ROWS($A$15:A68)+$B$3))),IF($EC$13="",INDEX(bhpc_data[sku],SMALL(IF(ISNUMBER(MATCH(bhpc_data[category],$EC$9,0)*MATCH(bhpc_data[sex],$EC$11,0)),MATCH(ROW(bhpc_data[sku]),ROW(bhpc_data[sku])),""),ROWS($A$15:A68)+$B$3)),INDEX(bhpc_data[sku],SMALL(IF(ISNUMBER(MATCH(bhpc_data[category],$EC$9,0)*MATCH(bhpc_data[sex],$EC$11,0)*MATCH(bhpc_data[size],$EC$13,0)),MATCH(ROW(bhpc_data[sku]),ROW(bhpc_data[sku])),""),ROWS($A$15:A68)+$B$3))))),"")</f>
        <v>X05009</v>
      </c>
      <c r="EF63" s="440" t="str" cm="1">
        <f t="array" ref="EF63">IFERROR(IF($EC$9="",IF($EC$11="",IF($EC$13="",INDEX(bhpc_data[description],SMALL(MATCH(ROW(bhpc_data[sku]),ROW(bhpc_data[sku])),ROWS($A$15:A68)+$B$3)),INDEX(bhpc_data[description],SMALL(IF(ISNUMBER(MATCH(bhpc_data[size],$EC$13,0)),MATCH(ROW(bhpc_data[sku]),ROW(bhpc_data[sku])),""),ROWS($A$15:A68)+$B$3))),IF($EC$13="",INDEX(bhpc_data[description],SMALL(IF(ISNUMBER(MATCH(bhpc_data[sex],$EC$11,0)),MATCH(ROW(bhpc_data[sku]),ROW(bhpc_data[sku])),""),ROWS($A$15:A68)+$B$3)),INDEX(bhpc_data[description],SMALL(IF(ISNUMBER(MATCH(bhpc_data[sex],$EC$11,0)*MATCH(bhpc_data[size],$EC$13,0)),MATCH(ROW(bhpc_data[sku]),ROW(bhpc_data[sku])),""),ROWS($A$15:A68)+$B$3)))),IF($EC$11="",IF($EC$13="",INDEX(bhpc_data[description],SMALL(IF(ISNUMBER(MATCH(bhpc_data[category],$EC$9,0)),MATCH(ROW(bhpc_data[sku]),ROW(bhpc_data[sku])),""),ROWS($A$15:A68)+$B$3)),INDEX(bhpc_data[description],SMALL(IF(ISNUMBER(MATCH(bhpc_data[category],$EC$9,0)*MATCH(bhpc_data[size],$EC$13,0)),MATCH(ROW(bhpc_data[sku]),ROW(bhpc_data[sku])),""),ROWS($A$15:A68)+$B$3))),IF($EC$13="",INDEX(bhpc_data[description],SMALL(IF(ISNUMBER(MATCH(bhpc_data[category],$EC$9,0)*MATCH(bhpc_data[sex],$EC$11,0)),MATCH(ROW(bhpc_data[sku]),ROW(bhpc_data[sku])),""),ROWS($A$15:A68)+$B$3)),INDEX(bhpc_data[description],SMALL(IF(ISNUMBER(MATCH(bhpc_data[category],$EC$9,0)*MATCH(bhpc_data[sex],$EC$11,0)*MATCH(bhpc_data[size],$EC$13,0)),MATCH(ROW(bhpc_data[sku]),ROW(bhpc_data[sku])),""),ROWS($A$15:A68)+$B$3))))),"")</f>
        <v>BHPC GIFT BOX MEN NO.9 50ML</v>
      </c>
      <c r="EG63" s="441">
        <f>IFERROR(IF('BHPC MANAGER'!$EE63="","",INDEX(inventory[ESISTENZA],MATCH('BHPC MANAGER'!$EE63,inventory[SKU],0))),0)</f>
        <v>2400</v>
      </c>
      <c r="EH63" s="442">
        <v>-57</v>
      </c>
      <c r="EI63" s="442">
        <f t="shared" si="1"/>
        <v>2343</v>
      </c>
      <c r="EJ63" s="443">
        <v>0</v>
      </c>
      <c r="EK63" s="444">
        <f t="shared" si="2"/>
        <v>2343</v>
      </c>
    </row>
    <row r="64" spans="10:145" ht="15" customHeight="1" x14ac:dyDescent="0.35">
      <c r="BG64" s="215"/>
      <c r="BK64" s="296"/>
      <c r="BL64" s="297"/>
      <c r="BM64" s="298"/>
      <c r="BN64" s="297"/>
      <c r="BO64" s="298"/>
      <c r="BZ64" s="400"/>
      <c r="CA64" s="401" t="str">
        <f>IFERROR(IF(BZ64="","",INDEX(bhpc_data[description],MATCH(BZ64,bhpc_data[sku],0))),"")</f>
        <v/>
      </c>
      <c r="CB64" s="403"/>
      <c r="CC64" s="886"/>
      <c r="CD64" s="415"/>
      <c r="CE64" s="891"/>
      <c r="CF64" s="404"/>
      <c r="CG64" s="405" t="str">
        <f>IFERROR(ROUNDUP(CB64/INDEX(bhpc_data[units_per_carton],MATCH(BZ64,bhpc_data[sku],0)),0),"")</f>
        <v/>
      </c>
      <c r="CH64" s="406" t="str">
        <f>IFERROR(ROUNDUP(CD64/INDEX(bhpc_data[units_per_carton],MATCH(BZ64,bhpc_data[sku],0)),0),"")</f>
        <v/>
      </c>
      <c r="CI64" s="406" t="str">
        <f>IFERROR(ROUNDUP(CF64/INDEX(bhpc_data[units_per_carton],MATCH(BZ64,bhpc_data[sku])),0),"")</f>
        <v/>
      </c>
      <c r="CJ64" s="406" t="str">
        <f>IFERROR(((CB64+CD64+CF64)/INDEX(bhpc_data[units_per_carton],MATCH(BZ64,bhpc_data[sku],0)))*INDEX(bhpc_data[net_weight],MATCH(BZ64,bhpc_data[sku],0)),"")</f>
        <v/>
      </c>
      <c r="CK64" s="406" t="str">
        <f>IFERROR(((CB64+CD64+CF64)/INDEX(bhpc_data[units_per_carton],MATCH(BZ64,bhpc_data[sku],0)))*INDEX(bhpc_data[gross_weight],MATCH(BZ64,bhpc_data[sku],0)),"")</f>
        <v/>
      </c>
      <c r="CL64" s="602" t="str">
        <f>IFERROR((CB64+CD64+CF64)/INDEX(bhpc_data[units_per_carton],MATCH(BZ64,bhpc_data[sku],0))*INDEX(bhpc_data[length],MATCH(BZ64,bhpc_data[sku],0))*INDEX(bhpc_data[width],MATCH(BZ64,bhpc_data[sku],0))*INDEX(bhpc_data[height],MATCH(BZ64,bhpc_data[sku],0))/1000000000,"")</f>
        <v/>
      </c>
      <c r="CM64" s="407" t="str">
        <f>IFERROR(INDEX(bhpc_data[category],MATCH(BZ64,bhpc_data[sku],0)),"")</f>
        <v/>
      </c>
      <c r="CN64" s="407" t="str">
        <f>IFERROR(INDEX(bhpc_data[size],MATCH(BZ64,bhpc_data[sku],0)),"")</f>
        <v/>
      </c>
      <c r="CO64" s="408" t="str">
        <f>IFERROR(INDEX(bhpc_data[hs_code],MATCH(BZ64,bhpc_data[sku],0)),"")</f>
        <v/>
      </c>
      <c r="CP64" s="489" t="str">
        <f>IFERROR(INDEX(bhpc_data[sku_geko],MATCH(BZ64,bhpc_data[sku],0)),"")</f>
        <v/>
      </c>
      <c r="CQ64" s="404"/>
      <c r="CR64" s="517" t="str">
        <f>IFERROR(IF(BZ64="","",IF($BX$15="SALE",INDEX(inventory[COSTO UNITARIO],MATCH(BZ64,inventory[SKU],0)),IF($BX$15="SAMPLING",INDEX(inventory[COSTO UNITARIO],MATCH(BZ64,inventory[SKU],0)),""))),"")</f>
        <v/>
      </c>
      <c r="CS64" s="517" t="str">
        <f t="shared" ref="CS64:CS73" si="9">IFERROR(IF(BZ64="","",(CB64+CD64)*CR64),"")</f>
        <v/>
      </c>
      <c r="CT64" s="896" t="str">
        <f t="shared" ref="CT64:CT73" si="10">IF(BZ64="","",CB64*CC64+CD64*CE64)</f>
        <v/>
      </c>
      <c r="CU64" s="469" t="str">
        <f t="shared" si="0"/>
        <v/>
      </c>
      <c r="DB64" s="280" t="str">
        <f>IFERROR(VLOOKUP(BZ64,bhpc_data[],22,FALSE),"")</f>
        <v/>
      </c>
      <c r="EE64" s="445" t="str" cm="1">
        <f t="array" ref="EE64">IFERROR(IF($EC$9="",IF($EC$11="",IF($EC$13="",INDEX(bhpc_data[sku],SMALL(MATCH(ROW(bhpc_data[sku]),ROW(bhpc_data[sku])),ROWS($A$15:A69)+$B$3)),INDEX(bhpc_data[sku],SMALL(IF(ISNUMBER(MATCH(bhpc_data[size],$EC$13,0)),MATCH(ROW(bhpc_data[sku]),ROW(bhpc_data[sku])),""),ROWS($A$15:A69)+$B$3))),IF($EC$13="",INDEX(bhpc_data[sku],SMALL(IF(ISNUMBER(MATCH(bhpc_data[sex],$EC$11,0)),MATCH(ROW(bhpc_data[sku]),ROW(bhpc_data[sku])),""),ROWS($A$15:A69)+$B$3)),INDEX(bhpc_data[sku],SMALL(IF(ISNUMBER(MATCH(bhpc_data[sex],$EC$11,0)*MATCH(bhpc_data[size],$EC$13,0)),MATCH(ROW(bhpc_data[sku]),ROW(bhpc_data[sku])),""),ROWS($A$15:A69)+$B$3)))),IF($EC$11="",IF($EC$13="",INDEX(bhpc_data[sku],SMALL(IF(ISNUMBER(MATCH(bhpc_data[category],$EC$9,0)),MATCH(ROW(bhpc_data[sku]),ROW(bhpc_data[sku])),""),ROWS($A$15:A69)+$B$3)),INDEX(bhpc_data[sku],SMALL(IF(ISNUMBER(MATCH(bhpc_data[category],$EC$9,0)*MATCH(bhpc_data[size],$EC$13,0)),MATCH(ROW(bhpc_data[sku]),ROW(bhpc_data[sku])),""),ROWS($A$15:A69)+$B$3))),IF($EC$13="",INDEX(bhpc_data[sku],SMALL(IF(ISNUMBER(MATCH(bhpc_data[category],$EC$9,0)*MATCH(bhpc_data[sex],$EC$11,0)),MATCH(ROW(bhpc_data[sku]),ROW(bhpc_data[sku])),""),ROWS($A$15:A69)+$B$3)),INDEX(bhpc_data[sku],SMALL(IF(ISNUMBER(MATCH(bhpc_data[category],$EC$9,0)*MATCH(bhpc_data[sex],$EC$11,0)*MATCH(bhpc_data[size],$EC$13,0)),MATCH(ROW(bhpc_data[sku]),ROW(bhpc_data[sku])),""),ROWS($A$15:A69)+$B$3))))),"")</f>
        <v>X05010</v>
      </c>
      <c r="EF64" s="446" t="str" cm="1">
        <f t="array" ref="EF64">IFERROR(IF($EC$9="",IF($EC$11="",IF($EC$13="",INDEX(bhpc_data[description],SMALL(MATCH(ROW(bhpc_data[sku]),ROW(bhpc_data[sku])),ROWS($A$15:A69)+$B$3)),INDEX(bhpc_data[description],SMALL(IF(ISNUMBER(MATCH(bhpc_data[size],$EC$13,0)),MATCH(ROW(bhpc_data[sku]),ROW(bhpc_data[sku])),""),ROWS($A$15:A69)+$B$3))),IF($EC$13="",INDEX(bhpc_data[description],SMALL(IF(ISNUMBER(MATCH(bhpc_data[sex],$EC$11,0)),MATCH(ROW(bhpc_data[sku]),ROW(bhpc_data[sku])),""),ROWS($A$15:A69)+$B$3)),INDEX(bhpc_data[description],SMALL(IF(ISNUMBER(MATCH(bhpc_data[sex],$EC$11,0)*MATCH(bhpc_data[size],$EC$13,0)),MATCH(ROW(bhpc_data[sku]),ROW(bhpc_data[sku])),""),ROWS($A$15:A69)+$B$3)))),IF($EC$11="",IF($EC$13="",INDEX(bhpc_data[description],SMALL(IF(ISNUMBER(MATCH(bhpc_data[category],$EC$9,0)),MATCH(ROW(bhpc_data[sku]),ROW(bhpc_data[sku])),""),ROWS($A$15:A69)+$B$3)),INDEX(bhpc_data[description],SMALL(IF(ISNUMBER(MATCH(bhpc_data[category],$EC$9,0)*MATCH(bhpc_data[size],$EC$13,0)),MATCH(ROW(bhpc_data[sku]),ROW(bhpc_data[sku])),""),ROWS($A$15:A69)+$B$3))),IF($EC$13="",INDEX(bhpc_data[description],SMALL(IF(ISNUMBER(MATCH(bhpc_data[category],$EC$9,0)*MATCH(bhpc_data[sex],$EC$11,0)),MATCH(ROW(bhpc_data[sku]),ROW(bhpc_data[sku])),""),ROWS($A$15:A69)+$B$3)),INDEX(bhpc_data[description],SMALL(IF(ISNUMBER(MATCH(bhpc_data[category],$EC$9,0)*MATCH(bhpc_data[sex],$EC$11,0)*MATCH(bhpc_data[size],$EC$13,0)),MATCH(ROW(bhpc_data[sku]),ROW(bhpc_data[sku])),""),ROWS($A$15:A69)+$B$3))))),"")</f>
        <v>BHPC GIFT BOX MEN NO.8 50ML</v>
      </c>
      <c r="EG64" s="447">
        <f>IFERROR(IF('BHPC MANAGER'!$EE64="","",INDEX(inventory[ESISTENZA],MATCH('BHPC MANAGER'!$EE64,inventory[SKU],0))),0)</f>
        <v>1000</v>
      </c>
      <c r="EH64" s="448">
        <v>-79</v>
      </c>
      <c r="EI64" s="448">
        <f t="shared" si="1"/>
        <v>921</v>
      </c>
      <c r="EJ64" s="449">
        <v>0</v>
      </c>
      <c r="EK64" s="450">
        <f t="shared" si="2"/>
        <v>921</v>
      </c>
    </row>
    <row r="65" spans="59:141" ht="15" customHeight="1" x14ac:dyDescent="0.35">
      <c r="BG65" s="215"/>
      <c r="BK65" s="296"/>
      <c r="BL65" s="297"/>
      <c r="BM65" s="298"/>
      <c r="BN65" s="297"/>
      <c r="BO65" s="298"/>
      <c r="BZ65" s="400"/>
      <c r="CA65" s="401" t="str">
        <f>IFERROR(IF(BZ65="","",INDEX(bhpc_data[description],MATCH(BZ65,bhpc_data[sku],0))),"")</f>
        <v/>
      </c>
      <c r="CB65" s="403"/>
      <c r="CC65" s="886"/>
      <c r="CD65" s="415"/>
      <c r="CE65" s="891"/>
      <c r="CF65" s="404"/>
      <c r="CG65" s="405" t="str">
        <f>IFERROR(ROUNDUP(CB65/INDEX(bhpc_data[units_per_carton],MATCH(BZ65,bhpc_data[sku],0)),0),"")</f>
        <v/>
      </c>
      <c r="CH65" s="406" t="str">
        <f>IFERROR(ROUNDUP(CD65/INDEX(bhpc_data[units_per_carton],MATCH(BZ65,bhpc_data[sku],0)),0),"")</f>
        <v/>
      </c>
      <c r="CI65" s="406" t="str">
        <f>IFERROR(ROUNDUP(CF65/INDEX(bhpc_data[units_per_carton],MATCH(BZ65,bhpc_data[sku])),0),"")</f>
        <v/>
      </c>
      <c r="CJ65" s="406" t="str">
        <f>IFERROR(((CB65+CD65+CF65)/INDEX(bhpc_data[units_per_carton],MATCH(BZ65,bhpc_data[sku],0)))*INDEX(bhpc_data[net_weight],MATCH(BZ65,bhpc_data[sku],0)),"")</f>
        <v/>
      </c>
      <c r="CK65" s="406" t="str">
        <f>IFERROR(((CB65+CD65+CF65)/INDEX(bhpc_data[units_per_carton],MATCH(BZ65,bhpc_data[sku],0)))*INDEX(bhpc_data[gross_weight],MATCH(BZ65,bhpc_data[sku],0)),"")</f>
        <v/>
      </c>
      <c r="CL65" s="602" t="str">
        <f>IFERROR((CB65+CD65+CF65)/INDEX(bhpc_data[units_per_carton],MATCH(BZ65,bhpc_data[sku],0))*INDEX(bhpc_data[length],MATCH(BZ65,bhpc_data[sku],0))*INDEX(bhpc_data[width],MATCH(BZ65,bhpc_data[sku],0))*INDEX(bhpc_data[height],MATCH(BZ65,bhpc_data[sku],0))/1000000000,"")</f>
        <v/>
      </c>
      <c r="CM65" s="407" t="str">
        <f>IFERROR(INDEX(bhpc_data[category],MATCH(BZ65,bhpc_data[sku],0)),"")</f>
        <v/>
      </c>
      <c r="CN65" s="407" t="str">
        <f>IFERROR(INDEX(bhpc_data[size],MATCH(BZ65,bhpc_data[sku],0)),"")</f>
        <v/>
      </c>
      <c r="CO65" s="408" t="str">
        <f>IFERROR(INDEX(bhpc_data[hs_code],MATCH(BZ65,bhpc_data[sku],0)),"")</f>
        <v/>
      </c>
      <c r="CP65" s="489" t="str">
        <f>IFERROR(INDEX(bhpc_data[sku_geko],MATCH(BZ65,bhpc_data[sku],0)),"")</f>
        <v/>
      </c>
      <c r="CQ65" s="404"/>
      <c r="CR65" s="517" t="str">
        <f>IFERROR(IF(BZ65="","",IF($BX$15="SALE",INDEX(inventory[COSTO UNITARIO],MATCH(BZ65,inventory[SKU],0)),IF($BX$15="SAMPLING",INDEX(inventory[COSTO UNITARIO],MATCH(BZ65,inventory[SKU],0)),""))),"")</f>
        <v/>
      </c>
      <c r="CS65" s="517" t="str">
        <f t="shared" si="9"/>
        <v/>
      </c>
      <c r="CT65" s="896" t="str">
        <f t="shared" si="10"/>
        <v/>
      </c>
      <c r="CU65" s="469" t="str">
        <f t="shared" si="0"/>
        <v/>
      </c>
      <c r="DB65" s="280" t="str">
        <f>IFERROR(VLOOKUP(BZ65,bhpc_data[],22,FALSE),"")</f>
        <v/>
      </c>
      <c r="EE65" s="439" t="str" cm="1">
        <f t="array" ref="EE65">IFERROR(IF($EC$9="",IF($EC$11="",IF($EC$13="",INDEX(bhpc_data[sku],SMALL(MATCH(ROW(bhpc_data[sku]),ROW(bhpc_data[sku])),ROWS($A$15:A70)+$B$3)),INDEX(bhpc_data[sku],SMALL(IF(ISNUMBER(MATCH(bhpc_data[size],$EC$13,0)),MATCH(ROW(bhpc_data[sku]),ROW(bhpc_data[sku])),""),ROWS($A$15:A70)+$B$3))),IF($EC$13="",INDEX(bhpc_data[sku],SMALL(IF(ISNUMBER(MATCH(bhpc_data[sex],$EC$11,0)),MATCH(ROW(bhpc_data[sku]),ROW(bhpc_data[sku])),""),ROWS($A$15:A70)+$B$3)),INDEX(bhpc_data[sku],SMALL(IF(ISNUMBER(MATCH(bhpc_data[sex],$EC$11,0)*MATCH(bhpc_data[size],$EC$13,0)),MATCH(ROW(bhpc_data[sku]),ROW(bhpc_data[sku])),""),ROWS($A$15:A70)+$B$3)))),IF($EC$11="",IF($EC$13="",INDEX(bhpc_data[sku],SMALL(IF(ISNUMBER(MATCH(bhpc_data[category],$EC$9,0)),MATCH(ROW(bhpc_data[sku]),ROW(bhpc_data[sku])),""),ROWS($A$15:A70)+$B$3)),INDEX(bhpc_data[sku],SMALL(IF(ISNUMBER(MATCH(bhpc_data[category],$EC$9,0)*MATCH(bhpc_data[size],$EC$13,0)),MATCH(ROW(bhpc_data[sku]),ROW(bhpc_data[sku])),""),ROWS($A$15:A70)+$B$3))),IF($EC$13="",INDEX(bhpc_data[sku],SMALL(IF(ISNUMBER(MATCH(bhpc_data[category],$EC$9,0)*MATCH(bhpc_data[sex],$EC$11,0)),MATCH(ROW(bhpc_data[sku]),ROW(bhpc_data[sku])),""),ROWS($A$15:A70)+$B$3)),INDEX(bhpc_data[sku],SMALL(IF(ISNUMBER(MATCH(bhpc_data[category],$EC$9,0)*MATCH(bhpc_data[sex],$EC$11,0)*MATCH(bhpc_data[size],$EC$13,0)),MATCH(ROW(bhpc_data[sku]),ROW(bhpc_data[sku])),""),ROWS($A$15:A70)+$B$3))))),"")</f>
        <v>X05011</v>
      </c>
      <c r="EF65" s="440" t="str" cm="1">
        <f t="array" ref="EF65">IFERROR(IF($EC$9="",IF($EC$11="",IF($EC$13="",INDEX(bhpc_data[description],SMALL(MATCH(ROW(bhpc_data[sku]),ROW(bhpc_data[sku])),ROWS($A$15:A70)+$B$3)),INDEX(bhpc_data[description],SMALL(IF(ISNUMBER(MATCH(bhpc_data[size],$EC$13,0)),MATCH(ROW(bhpc_data[sku]),ROW(bhpc_data[sku])),""),ROWS($A$15:A70)+$B$3))),IF($EC$13="",INDEX(bhpc_data[description],SMALL(IF(ISNUMBER(MATCH(bhpc_data[sex],$EC$11,0)),MATCH(ROW(bhpc_data[sku]),ROW(bhpc_data[sku])),""),ROWS($A$15:A70)+$B$3)),INDEX(bhpc_data[description],SMALL(IF(ISNUMBER(MATCH(bhpc_data[sex],$EC$11,0)*MATCH(bhpc_data[size],$EC$13,0)),MATCH(ROW(bhpc_data[sku]),ROW(bhpc_data[sku])),""),ROWS($A$15:A70)+$B$3)))),IF($EC$11="",IF($EC$13="",INDEX(bhpc_data[description],SMALL(IF(ISNUMBER(MATCH(bhpc_data[category],$EC$9,0)),MATCH(ROW(bhpc_data[sku]),ROW(bhpc_data[sku])),""),ROWS($A$15:A70)+$B$3)),INDEX(bhpc_data[description],SMALL(IF(ISNUMBER(MATCH(bhpc_data[category],$EC$9,0)*MATCH(bhpc_data[size],$EC$13,0)),MATCH(ROW(bhpc_data[sku]),ROW(bhpc_data[sku])),""),ROWS($A$15:A70)+$B$3))),IF($EC$13="",INDEX(bhpc_data[description],SMALL(IF(ISNUMBER(MATCH(bhpc_data[category],$EC$9,0)*MATCH(bhpc_data[sex],$EC$11,0)),MATCH(ROW(bhpc_data[sku]),ROW(bhpc_data[sku])),""),ROWS($A$15:A70)+$B$3)),INDEX(bhpc_data[description],SMALL(IF(ISNUMBER(MATCH(bhpc_data[category],$EC$9,0)*MATCH(bhpc_data[sex],$EC$11,0)*MATCH(bhpc_data[size],$EC$13,0)),MATCH(ROW(bhpc_data[sku]),ROW(bhpc_data[sku])),""),ROWS($A$15:A70)+$B$3))))),"")</f>
        <v>BHPC GIFT BOX MEN NO.2 50ML</v>
      </c>
      <c r="EG65" s="441">
        <f>IFERROR(IF('BHPC MANAGER'!$EE65="","",INDEX(inventory[ESISTENZA],MATCH('BHPC MANAGER'!$EE65,inventory[SKU],0))),0)</f>
        <v>2400</v>
      </c>
      <c r="EH65" s="442">
        <v>-78</v>
      </c>
      <c r="EI65" s="442">
        <f t="shared" si="1"/>
        <v>2322</v>
      </c>
      <c r="EJ65" s="443">
        <v>0</v>
      </c>
      <c r="EK65" s="444">
        <f t="shared" si="2"/>
        <v>2322</v>
      </c>
    </row>
    <row r="66" spans="59:141" ht="15" customHeight="1" x14ac:dyDescent="0.35">
      <c r="BG66" s="215"/>
      <c r="BK66" s="296"/>
      <c r="BL66" s="297"/>
      <c r="BM66" s="298"/>
      <c r="BN66" s="297"/>
      <c r="BO66" s="298"/>
      <c r="BZ66" s="400"/>
      <c r="CA66" s="401" t="str">
        <f>IFERROR(IF(BZ66="","",INDEX(bhpc_data[description],MATCH(BZ66,bhpc_data[sku],0))),"")</f>
        <v/>
      </c>
      <c r="CB66" s="403"/>
      <c r="CC66" s="886"/>
      <c r="CD66" s="415"/>
      <c r="CE66" s="891"/>
      <c r="CF66" s="404"/>
      <c r="CG66" s="405" t="str">
        <f>IFERROR(ROUNDUP(CB66/INDEX(bhpc_data[units_per_carton],MATCH(BZ66,bhpc_data[sku],0)),0),"")</f>
        <v/>
      </c>
      <c r="CH66" s="406" t="str">
        <f>IFERROR(ROUNDUP(CD66/INDEX(bhpc_data[units_per_carton],MATCH(BZ66,bhpc_data[sku],0)),0),"")</f>
        <v/>
      </c>
      <c r="CI66" s="406" t="str">
        <f>IFERROR(ROUNDUP(CF66/INDEX(bhpc_data[units_per_carton],MATCH(BZ66,bhpc_data[sku])),0),"")</f>
        <v/>
      </c>
      <c r="CJ66" s="406" t="str">
        <f>IFERROR(((CB66+CD66+CF66)/INDEX(bhpc_data[units_per_carton],MATCH(BZ66,bhpc_data[sku],0)))*INDEX(bhpc_data[net_weight],MATCH(BZ66,bhpc_data[sku],0)),"")</f>
        <v/>
      </c>
      <c r="CK66" s="406" t="str">
        <f>IFERROR(((CB66+CD66+CF66)/INDEX(bhpc_data[units_per_carton],MATCH(BZ66,bhpc_data[sku],0)))*INDEX(bhpc_data[gross_weight],MATCH(BZ66,bhpc_data[sku],0)),"")</f>
        <v/>
      </c>
      <c r="CL66" s="602" t="str">
        <f>IFERROR((CB66+CD66+CF66)/INDEX(bhpc_data[units_per_carton],MATCH(BZ66,bhpc_data[sku],0))*INDEX(bhpc_data[length],MATCH(BZ66,bhpc_data[sku],0))*INDEX(bhpc_data[width],MATCH(BZ66,bhpc_data[sku],0))*INDEX(bhpc_data[height],MATCH(BZ66,bhpc_data[sku],0))/1000000000,"")</f>
        <v/>
      </c>
      <c r="CM66" s="407" t="str">
        <f>IFERROR(INDEX(bhpc_data[category],MATCH(BZ66,bhpc_data[sku],0)),"")</f>
        <v/>
      </c>
      <c r="CN66" s="407" t="str">
        <f>IFERROR(INDEX(bhpc_data[size],MATCH(BZ66,bhpc_data[sku],0)),"")</f>
        <v/>
      </c>
      <c r="CO66" s="408" t="str">
        <f>IFERROR(INDEX(bhpc_data[hs_code],MATCH(BZ66,bhpc_data[sku],0)),"")</f>
        <v/>
      </c>
      <c r="CP66" s="489" t="str">
        <f>IFERROR(INDEX(bhpc_data[sku_geko],MATCH(BZ66,bhpc_data[sku],0)),"")</f>
        <v/>
      </c>
      <c r="CQ66" s="404"/>
      <c r="CR66" s="517" t="str">
        <f>IFERROR(IF(BZ66="","",IF($BX$15="SALE",INDEX(inventory[COSTO UNITARIO],MATCH(BZ66,inventory[SKU],0)),IF($BX$15="SAMPLING",INDEX(inventory[COSTO UNITARIO],MATCH(BZ66,inventory[SKU],0)),""))),"")</f>
        <v/>
      </c>
      <c r="CS66" s="517" t="str">
        <f t="shared" si="9"/>
        <v/>
      </c>
      <c r="CT66" s="896" t="str">
        <f t="shared" si="10"/>
        <v/>
      </c>
      <c r="CU66" s="469" t="str">
        <f t="shared" si="0"/>
        <v/>
      </c>
      <c r="DB66" s="280" t="str">
        <f>IFERROR(VLOOKUP(BZ66,bhpc_data[],22,FALSE),"")</f>
        <v/>
      </c>
      <c r="EE66" s="445" t="str" cm="1">
        <f t="array" ref="EE66">IFERROR(IF($EC$9="",IF($EC$11="",IF($EC$13="",INDEX(bhpc_data[sku],SMALL(MATCH(ROW(bhpc_data[sku]),ROW(bhpc_data[sku])),ROWS($A$15:A71)+$B$3)),INDEX(bhpc_data[sku],SMALL(IF(ISNUMBER(MATCH(bhpc_data[size],$EC$13,0)),MATCH(ROW(bhpc_data[sku]),ROW(bhpc_data[sku])),""),ROWS($A$15:A71)+$B$3))),IF($EC$13="",INDEX(bhpc_data[sku],SMALL(IF(ISNUMBER(MATCH(bhpc_data[sex],$EC$11,0)),MATCH(ROW(bhpc_data[sku]),ROW(bhpc_data[sku])),""),ROWS($A$15:A71)+$B$3)),INDEX(bhpc_data[sku],SMALL(IF(ISNUMBER(MATCH(bhpc_data[sex],$EC$11,0)*MATCH(bhpc_data[size],$EC$13,0)),MATCH(ROW(bhpc_data[sku]),ROW(bhpc_data[sku])),""),ROWS($A$15:A71)+$B$3)))),IF($EC$11="",IF($EC$13="",INDEX(bhpc_data[sku],SMALL(IF(ISNUMBER(MATCH(bhpc_data[category],$EC$9,0)),MATCH(ROW(bhpc_data[sku]),ROW(bhpc_data[sku])),""),ROWS($A$15:A71)+$B$3)),INDEX(bhpc_data[sku],SMALL(IF(ISNUMBER(MATCH(bhpc_data[category],$EC$9,0)*MATCH(bhpc_data[size],$EC$13,0)),MATCH(ROW(bhpc_data[sku]),ROW(bhpc_data[sku])),""),ROWS($A$15:A71)+$B$3))),IF($EC$13="",INDEX(bhpc_data[sku],SMALL(IF(ISNUMBER(MATCH(bhpc_data[category],$EC$9,0)*MATCH(bhpc_data[sex],$EC$11,0)),MATCH(ROW(bhpc_data[sku]),ROW(bhpc_data[sku])),""),ROWS($A$15:A71)+$B$3)),INDEX(bhpc_data[sku],SMALL(IF(ISNUMBER(MATCH(bhpc_data[category],$EC$9,0)*MATCH(bhpc_data[sex],$EC$11,0)*MATCH(bhpc_data[size],$EC$13,0)),MATCH(ROW(bhpc_data[sku]),ROW(bhpc_data[sku])),""),ROWS($A$15:A71)+$B$3))))),"")</f>
        <v>X05028</v>
      </c>
      <c r="EF66" s="446" t="str" cm="1">
        <f t="array" ref="EF66">IFERROR(IF($EC$9="",IF($EC$11="",IF($EC$13="",INDEX(bhpc_data[description],SMALL(MATCH(ROW(bhpc_data[sku]),ROW(bhpc_data[sku])),ROWS($A$15:A71)+$B$3)),INDEX(bhpc_data[description],SMALL(IF(ISNUMBER(MATCH(bhpc_data[size],$EC$13,0)),MATCH(ROW(bhpc_data[sku]),ROW(bhpc_data[sku])),""),ROWS($A$15:A71)+$B$3))),IF($EC$13="",INDEX(bhpc_data[description],SMALL(IF(ISNUMBER(MATCH(bhpc_data[sex],$EC$11,0)),MATCH(ROW(bhpc_data[sku]),ROW(bhpc_data[sku])),""),ROWS($A$15:A71)+$B$3)),INDEX(bhpc_data[description],SMALL(IF(ISNUMBER(MATCH(bhpc_data[sex],$EC$11,0)*MATCH(bhpc_data[size],$EC$13,0)),MATCH(ROW(bhpc_data[sku]),ROW(bhpc_data[sku])),""),ROWS($A$15:A71)+$B$3)))),IF($EC$11="",IF($EC$13="",INDEX(bhpc_data[description],SMALL(IF(ISNUMBER(MATCH(bhpc_data[category],$EC$9,0)),MATCH(ROW(bhpc_data[sku]),ROW(bhpc_data[sku])),""),ROWS($A$15:A71)+$B$3)),INDEX(bhpc_data[description],SMALL(IF(ISNUMBER(MATCH(bhpc_data[category],$EC$9,0)*MATCH(bhpc_data[size],$EC$13,0)),MATCH(ROW(bhpc_data[sku]),ROW(bhpc_data[sku])),""),ROWS($A$15:A71)+$B$3))),IF($EC$13="",INDEX(bhpc_data[description],SMALL(IF(ISNUMBER(MATCH(bhpc_data[category],$EC$9,0)*MATCH(bhpc_data[sex],$EC$11,0)),MATCH(ROW(bhpc_data[sku]),ROW(bhpc_data[sku])),""),ROWS($A$15:A71)+$B$3)),INDEX(bhpc_data[description],SMALL(IF(ISNUMBER(MATCH(bhpc_data[category],$EC$9,0)*MATCH(bhpc_data[sex],$EC$11,0)*MATCH(bhpc_data[size],$EC$13,0)),MATCH(ROW(bhpc_data[sku]),ROW(bhpc_data[sku])),""),ROWS($A$15:A71)+$B$3))))),"")</f>
        <v>BHPC GIFT BOX WOMEN NO.1 50ML</v>
      </c>
      <c r="EG66" s="447">
        <f>IFERROR(IF('BHPC MANAGER'!$EE66="","",INDEX(inventory[ESISTENZA],MATCH('BHPC MANAGER'!$EE66,inventory[SKU],0))),0)</f>
        <v>2600</v>
      </c>
      <c r="EH66" s="448">
        <v>-45</v>
      </c>
      <c r="EI66" s="448">
        <f t="shared" si="1"/>
        <v>2555</v>
      </c>
      <c r="EJ66" s="449">
        <v>0</v>
      </c>
      <c r="EK66" s="450">
        <f t="shared" si="2"/>
        <v>2555</v>
      </c>
    </row>
    <row r="67" spans="59:141" ht="15" customHeight="1" x14ac:dyDescent="0.35">
      <c r="BG67" s="215"/>
      <c r="BK67" s="296"/>
      <c r="BL67" s="297"/>
      <c r="BM67" s="298"/>
      <c r="BN67" s="297"/>
      <c r="BO67" s="298"/>
      <c r="BZ67" s="400"/>
      <c r="CA67" s="401" t="str">
        <f>IFERROR(IF(BZ67="","",INDEX(bhpc_data[description],MATCH(BZ67,bhpc_data[sku],0))),"")</f>
        <v/>
      </c>
      <c r="CB67" s="403"/>
      <c r="CC67" s="886"/>
      <c r="CD67" s="415"/>
      <c r="CE67" s="891"/>
      <c r="CF67" s="404"/>
      <c r="CG67" s="405" t="str">
        <f>IFERROR(ROUNDUP(CB67/INDEX(bhpc_data[units_per_carton],MATCH(BZ67,bhpc_data[sku],0)),0),"")</f>
        <v/>
      </c>
      <c r="CH67" s="406" t="str">
        <f>IFERROR(ROUNDUP(CD67/INDEX(bhpc_data[units_per_carton],MATCH(BZ67,bhpc_data[sku],0)),0),"")</f>
        <v/>
      </c>
      <c r="CI67" s="406" t="str">
        <f>IFERROR(ROUNDUP(CF67/INDEX(bhpc_data[units_per_carton],MATCH(BZ67,bhpc_data[sku])),0),"")</f>
        <v/>
      </c>
      <c r="CJ67" s="406" t="str">
        <f>IFERROR(((CB67+CD67+CF67)/INDEX(bhpc_data[units_per_carton],MATCH(BZ67,bhpc_data[sku],0)))*INDEX(bhpc_data[net_weight],MATCH(BZ67,bhpc_data[sku],0)),"")</f>
        <v/>
      </c>
      <c r="CK67" s="406" t="str">
        <f>IFERROR(((CB67+CD67+CF67)/INDEX(bhpc_data[units_per_carton],MATCH(BZ67,bhpc_data[sku],0)))*INDEX(bhpc_data[gross_weight],MATCH(BZ67,bhpc_data[sku],0)),"")</f>
        <v/>
      </c>
      <c r="CL67" s="602" t="str">
        <f>IFERROR((CB67+CD67+CF67)/INDEX(bhpc_data[units_per_carton],MATCH(BZ67,bhpc_data[sku],0))*INDEX(bhpc_data[length],MATCH(BZ67,bhpc_data[sku],0))*INDEX(bhpc_data[width],MATCH(BZ67,bhpc_data[sku],0))*INDEX(bhpc_data[height],MATCH(BZ67,bhpc_data[sku],0))/1000000000,"")</f>
        <v/>
      </c>
      <c r="CM67" s="407" t="str">
        <f>IFERROR(INDEX(bhpc_data[category],MATCH(BZ67,bhpc_data[sku],0)),"")</f>
        <v/>
      </c>
      <c r="CN67" s="407" t="str">
        <f>IFERROR(INDEX(bhpc_data[size],MATCH(BZ67,bhpc_data[sku],0)),"")</f>
        <v/>
      </c>
      <c r="CO67" s="408" t="str">
        <f>IFERROR(INDEX(bhpc_data[hs_code],MATCH(BZ67,bhpc_data[sku],0)),"")</f>
        <v/>
      </c>
      <c r="CP67" s="489" t="str">
        <f>IFERROR(INDEX(bhpc_data[sku_geko],MATCH(BZ67,bhpc_data[sku],0)),"")</f>
        <v/>
      </c>
      <c r="CQ67" s="404"/>
      <c r="CR67" s="517" t="str">
        <f>IFERROR(IF(BZ67="","",IF($BX$15="SALE",INDEX(inventory[COSTO UNITARIO],MATCH(BZ67,inventory[SKU],0)),IF($BX$15="SAMPLING",INDEX(inventory[COSTO UNITARIO],MATCH(BZ67,inventory[SKU],0)),""))),"")</f>
        <v/>
      </c>
      <c r="CS67" s="517" t="str">
        <f t="shared" si="9"/>
        <v/>
      </c>
      <c r="CT67" s="896" t="str">
        <f t="shared" si="10"/>
        <v/>
      </c>
      <c r="CU67" s="469" t="str">
        <f t="shared" si="0"/>
        <v/>
      </c>
      <c r="DB67" s="280" t="str">
        <f>IFERROR(VLOOKUP(BZ67,bhpc_data[],22,FALSE),"")</f>
        <v/>
      </c>
      <c r="EE67" s="439" t="str" cm="1">
        <f t="array" ref="EE67">IFERROR(IF($EC$9="",IF($EC$11="",IF($EC$13="",INDEX(bhpc_data[sku],SMALL(MATCH(ROW(bhpc_data[sku]),ROW(bhpc_data[sku])),ROWS($A$15:A72)+$B$3)),INDEX(bhpc_data[sku],SMALL(IF(ISNUMBER(MATCH(bhpc_data[size],$EC$13,0)),MATCH(ROW(bhpc_data[sku]),ROW(bhpc_data[sku])),""),ROWS($A$15:A72)+$B$3))),IF($EC$13="",INDEX(bhpc_data[sku],SMALL(IF(ISNUMBER(MATCH(bhpc_data[sex],$EC$11,0)),MATCH(ROW(bhpc_data[sku]),ROW(bhpc_data[sku])),""),ROWS($A$15:A72)+$B$3)),INDEX(bhpc_data[sku],SMALL(IF(ISNUMBER(MATCH(bhpc_data[sex],$EC$11,0)*MATCH(bhpc_data[size],$EC$13,0)),MATCH(ROW(bhpc_data[sku]),ROW(bhpc_data[sku])),""),ROWS($A$15:A72)+$B$3)))),IF($EC$11="",IF($EC$13="",INDEX(bhpc_data[sku],SMALL(IF(ISNUMBER(MATCH(bhpc_data[category],$EC$9,0)),MATCH(ROW(bhpc_data[sku]),ROW(bhpc_data[sku])),""),ROWS($A$15:A72)+$B$3)),INDEX(bhpc_data[sku],SMALL(IF(ISNUMBER(MATCH(bhpc_data[category],$EC$9,0)*MATCH(bhpc_data[size],$EC$13,0)),MATCH(ROW(bhpc_data[sku]),ROW(bhpc_data[sku])),""),ROWS($A$15:A72)+$B$3))),IF($EC$13="",INDEX(bhpc_data[sku],SMALL(IF(ISNUMBER(MATCH(bhpc_data[category],$EC$9,0)*MATCH(bhpc_data[sex],$EC$11,0)),MATCH(ROW(bhpc_data[sku]),ROW(bhpc_data[sku])),""),ROWS($A$15:A72)+$B$3)),INDEX(bhpc_data[sku],SMALL(IF(ISNUMBER(MATCH(bhpc_data[category],$EC$9,0)*MATCH(bhpc_data[sex],$EC$11,0)*MATCH(bhpc_data[size],$EC$13,0)),MATCH(ROW(bhpc_data[sku]),ROW(bhpc_data[sku])),""),ROWS($A$15:A72)+$B$3))))),"")</f>
        <v>X05029</v>
      </c>
      <c r="EF67" s="440" t="str" cm="1">
        <f t="array" ref="EF67">IFERROR(IF($EC$9="",IF($EC$11="",IF($EC$13="",INDEX(bhpc_data[description],SMALL(MATCH(ROW(bhpc_data[sku]),ROW(bhpc_data[sku])),ROWS($A$15:A72)+$B$3)),INDEX(bhpc_data[description],SMALL(IF(ISNUMBER(MATCH(bhpc_data[size],$EC$13,0)),MATCH(ROW(bhpc_data[sku]),ROW(bhpc_data[sku])),""),ROWS($A$15:A72)+$B$3))),IF($EC$13="",INDEX(bhpc_data[description],SMALL(IF(ISNUMBER(MATCH(bhpc_data[sex],$EC$11,0)),MATCH(ROW(bhpc_data[sku]),ROW(bhpc_data[sku])),""),ROWS($A$15:A72)+$B$3)),INDEX(bhpc_data[description],SMALL(IF(ISNUMBER(MATCH(bhpc_data[sex],$EC$11,0)*MATCH(bhpc_data[size],$EC$13,0)),MATCH(ROW(bhpc_data[sku]),ROW(bhpc_data[sku])),""),ROWS($A$15:A72)+$B$3)))),IF($EC$11="",IF($EC$13="",INDEX(bhpc_data[description],SMALL(IF(ISNUMBER(MATCH(bhpc_data[category],$EC$9,0)),MATCH(ROW(bhpc_data[sku]),ROW(bhpc_data[sku])),""),ROWS($A$15:A72)+$B$3)),INDEX(bhpc_data[description],SMALL(IF(ISNUMBER(MATCH(bhpc_data[category],$EC$9,0)*MATCH(bhpc_data[size],$EC$13,0)),MATCH(ROW(bhpc_data[sku]),ROW(bhpc_data[sku])),""),ROWS($A$15:A72)+$B$3))),IF($EC$13="",INDEX(bhpc_data[description],SMALL(IF(ISNUMBER(MATCH(bhpc_data[category],$EC$9,0)*MATCH(bhpc_data[sex],$EC$11,0)),MATCH(ROW(bhpc_data[sku]),ROW(bhpc_data[sku])),""),ROWS($A$15:A72)+$B$3)),INDEX(bhpc_data[description],SMALL(IF(ISNUMBER(MATCH(bhpc_data[category],$EC$9,0)*MATCH(bhpc_data[sex],$EC$11,0)*MATCH(bhpc_data[size],$EC$13,0)),MATCH(ROW(bhpc_data[sku]),ROW(bhpc_data[sku])),""),ROWS($A$15:A72)+$B$3))))),"")</f>
        <v>BHPC GIFT BOX WOMEN NO.9 50ML</v>
      </c>
      <c r="EG67" s="441">
        <f>IFERROR(IF('BHPC MANAGER'!$EE67="","",INDEX(inventory[ESISTENZA],MATCH('BHPC MANAGER'!$EE67,inventory[SKU],0))),0)</f>
        <v>2700</v>
      </c>
      <c r="EH67" s="442">
        <v>-55</v>
      </c>
      <c r="EI67" s="442">
        <f t="shared" si="1"/>
        <v>2645</v>
      </c>
      <c r="EJ67" s="443">
        <v>0</v>
      </c>
      <c r="EK67" s="444">
        <f t="shared" si="2"/>
        <v>2645</v>
      </c>
    </row>
    <row r="68" spans="59:141" ht="15" customHeight="1" x14ac:dyDescent="0.35">
      <c r="BG68" s="215"/>
      <c r="BK68" s="296"/>
      <c r="BL68" s="297"/>
      <c r="BM68" s="298"/>
      <c r="BN68" s="297"/>
      <c r="BO68" s="298"/>
      <c r="BZ68" s="400"/>
      <c r="CA68" s="401" t="str">
        <f>IFERROR(IF(BZ68="","",INDEX(bhpc_data[description],MATCH(BZ68,bhpc_data[sku],0))),"")</f>
        <v/>
      </c>
      <c r="CB68" s="403"/>
      <c r="CC68" s="886"/>
      <c r="CD68" s="415"/>
      <c r="CE68" s="891"/>
      <c r="CF68" s="404"/>
      <c r="CG68" s="405" t="str">
        <f>IFERROR(ROUNDUP(CB68/INDEX(bhpc_data[units_per_carton],MATCH(BZ68,bhpc_data[sku],0)),0),"")</f>
        <v/>
      </c>
      <c r="CH68" s="406" t="str">
        <f>IFERROR(ROUNDUP(CD68/INDEX(bhpc_data[units_per_carton],MATCH(BZ68,bhpc_data[sku],0)),0),"")</f>
        <v/>
      </c>
      <c r="CI68" s="406" t="str">
        <f>IFERROR(ROUNDUP(CF68/INDEX(bhpc_data[units_per_carton],MATCH(BZ68,bhpc_data[sku])),0),"")</f>
        <v/>
      </c>
      <c r="CJ68" s="406" t="str">
        <f>IFERROR(((CB68+CD68+CF68)/INDEX(bhpc_data[units_per_carton],MATCH(BZ68,bhpc_data[sku],0)))*INDEX(bhpc_data[net_weight],MATCH(BZ68,bhpc_data[sku],0)),"")</f>
        <v/>
      </c>
      <c r="CK68" s="406" t="str">
        <f>IFERROR(((CB68+CD68+CF68)/INDEX(bhpc_data[units_per_carton],MATCH(BZ68,bhpc_data[sku],0)))*INDEX(bhpc_data[gross_weight],MATCH(BZ68,bhpc_data[sku],0)),"")</f>
        <v/>
      </c>
      <c r="CL68" s="602" t="str">
        <f>IFERROR((CB68+CD68+CF68)/INDEX(bhpc_data[units_per_carton],MATCH(BZ68,bhpc_data[sku],0))*INDEX(bhpc_data[length],MATCH(BZ68,bhpc_data[sku],0))*INDEX(bhpc_data[width],MATCH(BZ68,bhpc_data[sku],0))*INDEX(bhpc_data[height],MATCH(BZ68,bhpc_data[sku],0))/1000000000,"")</f>
        <v/>
      </c>
      <c r="CM68" s="407" t="str">
        <f>IFERROR(INDEX(bhpc_data[category],MATCH(BZ68,bhpc_data[sku],0)),"")</f>
        <v/>
      </c>
      <c r="CN68" s="407" t="str">
        <f>IFERROR(INDEX(bhpc_data[size],MATCH(BZ68,bhpc_data[sku],0)),"")</f>
        <v/>
      </c>
      <c r="CO68" s="408" t="str">
        <f>IFERROR(INDEX(bhpc_data[hs_code],MATCH(BZ68,bhpc_data[sku],0)),"")</f>
        <v/>
      </c>
      <c r="CP68" s="489" t="str">
        <f>IFERROR(INDEX(bhpc_data[sku_geko],MATCH(BZ68,bhpc_data[sku],0)),"")</f>
        <v/>
      </c>
      <c r="CQ68" s="404"/>
      <c r="CR68" s="517" t="str">
        <f>IFERROR(IF(BZ68="","",IF($BX$15="SALE",INDEX(inventory[COSTO UNITARIO],MATCH(BZ68,inventory[SKU],0)),IF($BX$15="SAMPLING",INDEX(inventory[COSTO UNITARIO],MATCH(BZ68,inventory[SKU],0)),""))),"")</f>
        <v/>
      </c>
      <c r="CS68" s="517" t="str">
        <f t="shared" si="9"/>
        <v/>
      </c>
      <c r="CT68" s="896" t="str">
        <f t="shared" si="10"/>
        <v/>
      </c>
      <c r="CU68" s="469" t="str">
        <f t="shared" si="0"/>
        <v/>
      </c>
      <c r="DB68" s="280" t="str">
        <f>IFERROR(VLOOKUP(BZ68,bhpc_data[],22,FALSE),"")</f>
        <v/>
      </c>
      <c r="EE68" s="445" t="str" cm="1">
        <f t="array" ref="EE68">IFERROR(IF($EC$9="",IF($EC$11="",IF($EC$13="",INDEX(bhpc_data[sku],SMALL(MATCH(ROW(bhpc_data[sku]),ROW(bhpc_data[sku])),ROWS($A$15:A73)+$B$3)),INDEX(bhpc_data[sku],SMALL(IF(ISNUMBER(MATCH(bhpc_data[size],$EC$13,0)),MATCH(ROW(bhpc_data[sku]),ROW(bhpc_data[sku])),""),ROWS($A$15:A73)+$B$3))),IF($EC$13="",INDEX(bhpc_data[sku],SMALL(IF(ISNUMBER(MATCH(bhpc_data[sex],$EC$11,0)),MATCH(ROW(bhpc_data[sku]),ROW(bhpc_data[sku])),""),ROWS($A$15:A73)+$B$3)),INDEX(bhpc_data[sku],SMALL(IF(ISNUMBER(MATCH(bhpc_data[sex],$EC$11,0)*MATCH(bhpc_data[size],$EC$13,0)),MATCH(ROW(bhpc_data[sku]),ROW(bhpc_data[sku])),""),ROWS($A$15:A73)+$B$3)))),IF($EC$11="",IF($EC$13="",INDEX(bhpc_data[sku],SMALL(IF(ISNUMBER(MATCH(bhpc_data[category],$EC$9,0)),MATCH(ROW(bhpc_data[sku]),ROW(bhpc_data[sku])),""),ROWS($A$15:A73)+$B$3)),INDEX(bhpc_data[sku],SMALL(IF(ISNUMBER(MATCH(bhpc_data[category],$EC$9,0)*MATCH(bhpc_data[size],$EC$13,0)),MATCH(ROW(bhpc_data[sku]),ROW(bhpc_data[sku])),""),ROWS($A$15:A73)+$B$3))),IF($EC$13="",INDEX(bhpc_data[sku],SMALL(IF(ISNUMBER(MATCH(bhpc_data[category],$EC$9,0)*MATCH(bhpc_data[sex],$EC$11,0)),MATCH(ROW(bhpc_data[sku]),ROW(bhpc_data[sku])),""),ROWS($A$15:A73)+$B$3)),INDEX(bhpc_data[sku],SMALL(IF(ISNUMBER(MATCH(bhpc_data[category],$EC$9,0)*MATCH(bhpc_data[sex],$EC$11,0)*MATCH(bhpc_data[size],$EC$13,0)),MATCH(ROW(bhpc_data[sku]),ROW(bhpc_data[sku])),""),ROWS($A$15:A73)+$B$3))))),"")</f>
        <v>X05030</v>
      </c>
      <c r="EF68" s="446" t="str" cm="1">
        <f t="array" ref="EF68">IFERROR(IF($EC$9="",IF($EC$11="",IF($EC$13="",INDEX(bhpc_data[description],SMALL(MATCH(ROW(bhpc_data[sku]),ROW(bhpc_data[sku])),ROWS($A$15:A73)+$B$3)),INDEX(bhpc_data[description],SMALL(IF(ISNUMBER(MATCH(bhpc_data[size],$EC$13,0)),MATCH(ROW(bhpc_data[sku]),ROW(bhpc_data[sku])),""),ROWS($A$15:A73)+$B$3))),IF($EC$13="",INDEX(bhpc_data[description],SMALL(IF(ISNUMBER(MATCH(bhpc_data[sex],$EC$11,0)),MATCH(ROW(bhpc_data[sku]),ROW(bhpc_data[sku])),""),ROWS($A$15:A73)+$B$3)),INDEX(bhpc_data[description],SMALL(IF(ISNUMBER(MATCH(bhpc_data[sex],$EC$11,0)*MATCH(bhpc_data[size],$EC$13,0)),MATCH(ROW(bhpc_data[sku]),ROW(bhpc_data[sku])),""),ROWS($A$15:A73)+$B$3)))),IF($EC$11="",IF($EC$13="",INDEX(bhpc_data[description],SMALL(IF(ISNUMBER(MATCH(bhpc_data[category],$EC$9,0)),MATCH(ROW(bhpc_data[sku]),ROW(bhpc_data[sku])),""),ROWS($A$15:A73)+$B$3)),INDEX(bhpc_data[description],SMALL(IF(ISNUMBER(MATCH(bhpc_data[category],$EC$9,0)*MATCH(bhpc_data[size],$EC$13,0)),MATCH(ROW(bhpc_data[sku]),ROW(bhpc_data[sku])),""),ROWS($A$15:A73)+$B$3))),IF($EC$13="",INDEX(bhpc_data[description],SMALL(IF(ISNUMBER(MATCH(bhpc_data[category],$EC$9,0)*MATCH(bhpc_data[sex],$EC$11,0)),MATCH(ROW(bhpc_data[sku]),ROW(bhpc_data[sku])),""),ROWS($A$15:A73)+$B$3)),INDEX(bhpc_data[description],SMALL(IF(ISNUMBER(MATCH(bhpc_data[category],$EC$9,0)*MATCH(bhpc_data[sex],$EC$11,0)*MATCH(bhpc_data[size],$EC$13,0)),MATCH(ROW(bhpc_data[sku]),ROW(bhpc_data[sku])),""),ROWS($A$15:A73)+$B$3))))),"")</f>
        <v>BHPC GIFT BOX WOMEN NO.8 50ML</v>
      </c>
      <c r="EG68" s="447">
        <f>IFERROR(IF('BHPC MANAGER'!$EE68="","",INDEX(inventory[ESISTENZA],MATCH('BHPC MANAGER'!$EE68,inventory[SKU],0))),0)</f>
        <v>2400</v>
      </c>
      <c r="EH68" s="448">
        <v>-41</v>
      </c>
      <c r="EI68" s="448">
        <f t="shared" si="1"/>
        <v>2359</v>
      </c>
      <c r="EJ68" s="449">
        <v>0</v>
      </c>
      <c r="EK68" s="450">
        <f t="shared" si="2"/>
        <v>2359</v>
      </c>
    </row>
    <row r="69" spans="59:141" ht="15" customHeight="1" x14ac:dyDescent="0.35">
      <c r="BG69" s="215"/>
      <c r="BK69" s="296"/>
      <c r="BL69" s="297"/>
      <c r="BM69" s="298"/>
      <c r="BN69" s="297"/>
      <c r="BO69" s="298"/>
      <c r="BZ69" s="400"/>
      <c r="CA69" s="401" t="str">
        <f>IFERROR(IF(BZ69="","",INDEX(bhpc_data[description],MATCH(BZ69,bhpc_data[sku],0))),"")</f>
        <v/>
      </c>
      <c r="CB69" s="403"/>
      <c r="CC69" s="886"/>
      <c r="CD69" s="415"/>
      <c r="CE69" s="891"/>
      <c r="CF69" s="404"/>
      <c r="CG69" s="405" t="str">
        <f>IFERROR(ROUNDUP(CB69/INDEX(bhpc_data[units_per_carton],MATCH(BZ69,bhpc_data[sku],0)),0),"")</f>
        <v/>
      </c>
      <c r="CH69" s="406" t="str">
        <f>IFERROR(ROUNDUP(CD69/INDEX(bhpc_data[units_per_carton],MATCH(BZ69,bhpc_data[sku],0)),0),"")</f>
        <v/>
      </c>
      <c r="CI69" s="406" t="str">
        <f>IFERROR(ROUNDUP(CF69/INDEX(bhpc_data[units_per_carton],MATCH(BZ69,bhpc_data[sku])),0),"")</f>
        <v/>
      </c>
      <c r="CJ69" s="406" t="str">
        <f>IFERROR(((CB69+CD69+CF69)/INDEX(bhpc_data[units_per_carton],MATCH(BZ69,bhpc_data[sku],0)))*INDEX(bhpc_data[net_weight],MATCH(BZ69,bhpc_data[sku],0)),"")</f>
        <v/>
      </c>
      <c r="CK69" s="406" t="str">
        <f>IFERROR(((CB69+CD69+CF69)/INDEX(bhpc_data[units_per_carton],MATCH(BZ69,bhpc_data[sku],0)))*INDEX(bhpc_data[gross_weight],MATCH(BZ69,bhpc_data[sku],0)),"")</f>
        <v/>
      </c>
      <c r="CL69" s="602" t="str">
        <f>IFERROR((CB69+CD69+CF69)/INDEX(bhpc_data[units_per_carton],MATCH(BZ69,bhpc_data[sku],0))*INDEX(bhpc_data[length],MATCH(BZ69,bhpc_data[sku],0))*INDEX(bhpc_data[width],MATCH(BZ69,bhpc_data[sku],0))*INDEX(bhpc_data[height],MATCH(BZ69,bhpc_data[sku],0))/1000000000,"")</f>
        <v/>
      </c>
      <c r="CM69" s="407" t="str">
        <f>IFERROR(INDEX(bhpc_data[category],MATCH(BZ69,bhpc_data[sku],0)),"")</f>
        <v/>
      </c>
      <c r="CN69" s="407" t="str">
        <f>IFERROR(INDEX(bhpc_data[size],MATCH(BZ69,bhpc_data[sku],0)),"")</f>
        <v/>
      </c>
      <c r="CO69" s="408" t="str">
        <f>IFERROR(INDEX(bhpc_data[hs_code],MATCH(BZ69,bhpc_data[sku],0)),"")</f>
        <v/>
      </c>
      <c r="CP69" s="489" t="str">
        <f>IFERROR(INDEX(bhpc_data[sku_geko],MATCH(BZ69,bhpc_data[sku],0)),"")</f>
        <v/>
      </c>
      <c r="CQ69" s="404"/>
      <c r="CR69" s="517" t="str">
        <f>IFERROR(IF(BZ69="","",IF($BX$15="SALE",INDEX(inventory[COSTO UNITARIO],MATCH(BZ69,inventory[SKU],0)),IF($BX$15="SAMPLING",INDEX(inventory[COSTO UNITARIO],MATCH(BZ69,inventory[SKU],0)),""))),"")</f>
        <v/>
      </c>
      <c r="CS69" s="517" t="str">
        <f t="shared" si="9"/>
        <v/>
      </c>
      <c r="CT69" s="896" t="str">
        <f t="shared" si="10"/>
        <v/>
      </c>
      <c r="CU69" s="469" t="str">
        <f t="shared" si="0"/>
        <v/>
      </c>
      <c r="DB69" s="280" t="str">
        <f>IFERROR(VLOOKUP(BZ69,bhpc_data[],22,FALSE),"")</f>
        <v/>
      </c>
      <c r="EE69" s="439" t="str" cm="1">
        <f t="array" ref="EE69">IFERROR(IF($EC$9="",IF($EC$11="",IF($EC$13="",INDEX(bhpc_data[sku],SMALL(MATCH(ROW(bhpc_data[sku]),ROW(bhpc_data[sku])),ROWS($A$15:A74)+$B$3)),INDEX(bhpc_data[sku],SMALL(IF(ISNUMBER(MATCH(bhpc_data[size],$EC$13,0)),MATCH(ROW(bhpc_data[sku]),ROW(bhpc_data[sku])),""),ROWS($A$15:A74)+$B$3))),IF($EC$13="",INDEX(bhpc_data[sku],SMALL(IF(ISNUMBER(MATCH(bhpc_data[sex],$EC$11,0)),MATCH(ROW(bhpc_data[sku]),ROW(bhpc_data[sku])),""),ROWS($A$15:A74)+$B$3)),INDEX(bhpc_data[sku],SMALL(IF(ISNUMBER(MATCH(bhpc_data[sex],$EC$11,0)*MATCH(bhpc_data[size],$EC$13,0)),MATCH(ROW(bhpc_data[sku]),ROW(bhpc_data[sku])),""),ROWS($A$15:A74)+$B$3)))),IF($EC$11="",IF($EC$13="",INDEX(bhpc_data[sku],SMALL(IF(ISNUMBER(MATCH(bhpc_data[category],$EC$9,0)),MATCH(ROW(bhpc_data[sku]),ROW(bhpc_data[sku])),""),ROWS($A$15:A74)+$B$3)),INDEX(bhpc_data[sku],SMALL(IF(ISNUMBER(MATCH(bhpc_data[category],$EC$9,0)*MATCH(bhpc_data[size],$EC$13,0)),MATCH(ROW(bhpc_data[sku]),ROW(bhpc_data[sku])),""),ROWS($A$15:A74)+$B$3))),IF($EC$13="",INDEX(bhpc_data[sku],SMALL(IF(ISNUMBER(MATCH(bhpc_data[category],$EC$9,0)*MATCH(bhpc_data[sex],$EC$11,0)),MATCH(ROW(bhpc_data[sku]),ROW(bhpc_data[sku])),""),ROWS($A$15:A74)+$B$3)),INDEX(bhpc_data[sku],SMALL(IF(ISNUMBER(MATCH(bhpc_data[category],$EC$9,0)*MATCH(bhpc_data[sex],$EC$11,0)*MATCH(bhpc_data[size],$EC$13,0)),MATCH(ROW(bhpc_data[sku]),ROW(bhpc_data[sku])),""),ROWS($A$15:A74)+$B$3))))),"")</f>
        <v>X05031</v>
      </c>
      <c r="EF69" s="440" t="str" cm="1">
        <f t="array" ref="EF69">IFERROR(IF($EC$9="",IF($EC$11="",IF($EC$13="",INDEX(bhpc_data[description],SMALL(MATCH(ROW(bhpc_data[sku]),ROW(bhpc_data[sku])),ROWS($A$15:A74)+$B$3)),INDEX(bhpc_data[description],SMALL(IF(ISNUMBER(MATCH(bhpc_data[size],$EC$13,0)),MATCH(ROW(bhpc_data[sku]),ROW(bhpc_data[sku])),""),ROWS($A$15:A74)+$B$3))),IF($EC$13="",INDEX(bhpc_data[description],SMALL(IF(ISNUMBER(MATCH(bhpc_data[sex],$EC$11,0)),MATCH(ROW(bhpc_data[sku]),ROW(bhpc_data[sku])),""),ROWS($A$15:A74)+$B$3)),INDEX(bhpc_data[description],SMALL(IF(ISNUMBER(MATCH(bhpc_data[sex],$EC$11,0)*MATCH(bhpc_data[size],$EC$13,0)),MATCH(ROW(bhpc_data[sku]),ROW(bhpc_data[sku])),""),ROWS($A$15:A74)+$B$3)))),IF($EC$11="",IF($EC$13="",INDEX(bhpc_data[description],SMALL(IF(ISNUMBER(MATCH(bhpc_data[category],$EC$9,0)),MATCH(ROW(bhpc_data[sku]),ROW(bhpc_data[sku])),""),ROWS($A$15:A74)+$B$3)),INDEX(bhpc_data[description],SMALL(IF(ISNUMBER(MATCH(bhpc_data[category],$EC$9,0)*MATCH(bhpc_data[size],$EC$13,0)),MATCH(ROW(bhpc_data[sku]),ROW(bhpc_data[sku])),""),ROWS($A$15:A74)+$B$3))),IF($EC$13="",INDEX(bhpc_data[description],SMALL(IF(ISNUMBER(MATCH(bhpc_data[category],$EC$9,0)*MATCH(bhpc_data[sex],$EC$11,0)),MATCH(ROW(bhpc_data[sku]),ROW(bhpc_data[sku])),""),ROWS($A$15:A74)+$B$3)),INDEX(bhpc_data[description],SMALL(IF(ISNUMBER(MATCH(bhpc_data[category],$EC$9,0)*MATCH(bhpc_data[sex],$EC$11,0)*MATCH(bhpc_data[size],$EC$13,0)),MATCH(ROW(bhpc_data[sku]),ROW(bhpc_data[sku])),""),ROWS($A$15:A74)+$B$3))))),"")</f>
        <v>BHPC GIFT BOX WOMEN NO.2 50ML</v>
      </c>
      <c r="EG69" s="441">
        <f>IFERROR(IF('BHPC MANAGER'!$EE69="","",INDEX(inventory[ESISTENZA],MATCH('BHPC MANAGER'!$EE69,inventory[SKU],0))),0)</f>
        <v>2500</v>
      </c>
      <c r="EH69" s="442">
        <v>-30</v>
      </c>
      <c r="EI69" s="442">
        <f t="shared" si="1"/>
        <v>2470</v>
      </c>
      <c r="EJ69" s="443">
        <v>0</v>
      </c>
      <c r="EK69" s="444">
        <f t="shared" si="2"/>
        <v>2470</v>
      </c>
    </row>
    <row r="70" spans="59:141" ht="15" customHeight="1" x14ac:dyDescent="0.35">
      <c r="BG70" s="215"/>
      <c r="BK70" s="296"/>
      <c r="BL70" s="297"/>
      <c r="BM70" s="298"/>
      <c r="BN70" s="297"/>
      <c r="BO70" s="298"/>
      <c r="BZ70" s="400"/>
      <c r="CA70" s="401" t="str">
        <f>IFERROR(IF(BZ70="","",INDEX(bhpc_data[description],MATCH(BZ70,bhpc_data[sku],0))),"")</f>
        <v/>
      </c>
      <c r="CB70" s="403"/>
      <c r="CC70" s="886"/>
      <c r="CD70" s="415"/>
      <c r="CE70" s="891"/>
      <c r="CF70" s="404"/>
      <c r="CG70" s="405" t="str">
        <f>IFERROR(ROUNDUP(CB70/INDEX(bhpc_data[units_per_carton],MATCH(BZ70,bhpc_data[sku],0)),0),"")</f>
        <v/>
      </c>
      <c r="CH70" s="406" t="str">
        <f>IFERROR(ROUNDUP(CD70/INDEX(bhpc_data[units_per_carton],MATCH(BZ70,bhpc_data[sku],0)),0),"")</f>
        <v/>
      </c>
      <c r="CI70" s="406" t="str">
        <f>IFERROR(ROUNDUP(CF70/INDEX(bhpc_data[units_per_carton],MATCH(BZ70,bhpc_data[sku])),0),"")</f>
        <v/>
      </c>
      <c r="CJ70" s="406" t="str">
        <f>IFERROR(((CB70+CD70+CF70)/INDEX(bhpc_data[units_per_carton],MATCH(BZ70,bhpc_data[sku],0)))*INDEX(bhpc_data[net_weight],MATCH(BZ70,bhpc_data[sku],0)),"")</f>
        <v/>
      </c>
      <c r="CK70" s="406" t="str">
        <f>IFERROR(((CB70+CD70+CF70)/INDEX(bhpc_data[units_per_carton],MATCH(BZ70,bhpc_data[sku],0)))*INDEX(bhpc_data[gross_weight],MATCH(BZ70,bhpc_data[sku],0)),"")</f>
        <v/>
      </c>
      <c r="CL70" s="602" t="str">
        <f>IFERROR((CB70+CD70+CF70)/INDEX(bhpc_data[units_per_carton],MATCH(BZ70,bhpc_data[sku],0))*INDEX(bhpc_data[length],MATCH(BZ70,bhpc_data[sku],0))*INDEX(bhpc_data[width],MATCH(BZ70,bhpc_data[sku],0))*INDEX(bhpc_data[height],MATCH(BZ70,bhpc_data[sku],0))/1000000000,"")</f>
        <v/>
      </c>
      <c r="CM70" s="407" t="str">
        <f>IFERROR(INDEX(bhpc_data[category],MATCH(BZ70,bhpc_data[sku],0)),"")</f>
        <v/>
      </c>
      <c r="CN70" s="407" t="str">
        <f>IFERROR(INDEX(bhpc_data[size],MATCH(BZ70,bhpc_data[sku],0)),"")</f>
        <v/>
      </c>
      <c r="CO70" s="408" t="str">
        <f>IFERROR(INDEX(bhpc_data[hs_code],MATCH(BZ70,bhpc_data[sku],0)),"")</f>
        <v/>
      </c>
      <c r="CP70" s="489" t="str">
        <f>IFERROR(INDEX(bhpc_data[sku_geko],MATCH(BZ70,bhpc_data[sku],0)),"")</f>
        <v/>
      </c>
      <c r="CQ70" s="404"/>
      <c r="CR70" s="517" t="str">
        <f>IFERROR(IF(BZ70="","",IF($BX$15="SALE",INDEX(inventory[COSTO UNITARIO],MATCH(BZ70,inventory[SKU],0)),IF($BX$15="SAMPLING",INDEX(inventory[COSTO UNITARIO],MATCH(BZ70,inventory[SKU],0)),""))),"")</f>
        <v/>
      </c>
      <c r="CS70" s="517" t="str">
        <f t="shared" si="9"/>
        <v/>
      </c>
      <c r="CT70" s="896" t="str">
        <f t="shared" si="10"/>
        <v/>
      </c>
      <c r="CU70" s="469" t="str">
        <f t="shared" si="0"/>
        <v/>
      </c>
      <c r="DB70" s="280" t="str">
        <f>IFERROR(VLOOKUP(BZ70,bhpc_data[],22,FALSE),"")</f>
        <v/>
      </c>
      <c r="EE70" s="445" t="str" cm="1">
        <f t="array" ref="EE70">IFERROR(IF($EC$9="",IF($EC$11="",IF($EC$13="",INDEX(bhpc_data[sku],SMALL(MATCH(ROW(bhpc_data[sku]),ROW(bhpc_data[sku])),ROWS($A$15:A75)+$B$3)),INDEX(bhpc_data[sku],SMALL(IF(ISNUMBER(MATCH(bhpc_data[size],$EC$13,0)),MATCH(ROW(bhpc_data[sku]),ROW(bhpc_data[sku])),""),ROWS($A$15:A75)+$B$3))),IF($EC$13="",INDEX(bhpc_data[sku],SMALL(IF(ISNUMBER(MATCH(bhpc_data[sex],$EC$11,0)),MATCH(ROW(bhpc_data[sku]),ROW(bhpc_data[sku])),""),ROWS($A$15:A75)+$B$3)),INDEX(bhpc_data[sku],SMALL(IF(ISNUMBER(MATCH(bhpc_data[sex],$EC$11,0)*MATCH(bhpc_data[size],$EC$13,0)),MATCH(ROW(bhpc_data[sku]),ROW(bhpc_data[sku])),""),ROWS($A$15:A75)+$B$3)))),IF($EC$11="",IF($EC$13="",INDEX(bhpc_data[sku],SMALL(IF(ISNUMBER(MATCH(bhpc_data[category],$EC$9,0)),MATCH(ROW(bhpc_data[sku]),ROW(bhpc_data[sku])),""),ROWS($A$15:A75)+$B$3)),INDEX(bhpc_data[sku],SMALL(IF(ISNUMBER(MATCH(bhpc_data[category],$EC$9,0)*MATCH(bhpc_data[size],$EC$13,0)),MATCH(ROW(bhpc_data[sku]),ROW(bhpc_data[sku])),""),ROWS($A$15:A75)+$B$3))),IF($EC$13="",INDEX(bhpc_data[sku],SMALL(IF(ISNUMBER(MATCH(bhpc_data[category],$EC$9,0)*MATCH(bhpc_data[sex],$EC$11,0)),MATCH(ROW(bhpc_data[sku]),ROW(bhpc_data[sku])),""),ROWS($A$15:A75)+$B$3)),INDEX(bhpc_data[sku],SMALL(IF(ISNUMBER(MATCH(bhpc_data[category],$EC$9,0)*MATCH(bhpc_data[sex],$EC$11,0)*MATCH(bhpc_data[size],$EC$13,0)),MATCH(ROW(bhpc_data[sku]),ROW(bhpc_data[sku])),""),ROWS($A$15:A75)+$B$3))))),"")</f>
        <v>X07008</v>
      </c>
      <c r="EF70" s="446" t="str" cm="1">
        <f t="array" ref="EF70">IFERROR(IF($EC$9="",IF($EC$11="",IF($EC$13="",INDEX(bhpc_data[description],SMALL(MATCH(ROW(bhpc_data[sku]),ROW(bhpc_data[sku])),ROWS($A$15:A75)+$B$3)),INDEX(bhpc_data[description],SMALL(IF(ISNUMBER(MATCH(bhpc_data[size],$EC$13,0)),MATCH(ROW(bhpc_data[sku]),ROW(bhpc_data[sku])),""),ROWS($A$15:A75)+$B$3))),IF($EC$13="",INDEX(bhpc_data[description],SMALL(IF(ISNUMBER(MATCH(bhpc_data[sex],$EC$11,0)),MATCH(ROW(bhpc_data[sku]),ROW(bhpc_data[sku])),""),ROWS($A$15:A75)+$B$3)),INDEX(bhpc_data[description],SMALL(IF(ISNUMBER(MATCH(bhpc_data[sex],$EC$11,0)*MATCH(bhpc_data[size],$EC$13,0)),MATCH(ROW(bhpc_data[sku]),ROW(bhpc_data[sku])),""),ROWS($A$15:A75)+$B$3)))),IF($EC$11="",IF($EC$13="",INDEX(bhpc_data[description],SMALL(IF(ISNUMBER(MATCH(bhpc_data[category],$EC$9,0)),MATCH(ROW(bhpc_data[sku]),ROW(bhpc_data[sku])),""),ROWS($A$15:A75)+$B$3)),INDEX(bhpc_data[description],SMALL(IF(ISNUMBER(MATCH(bhpc_data[category],$EC$9,0)*MATCH(bhpc_data[size],$EC$13,0)),MATCH(ROW(bhpc_data[sku]),ROW(bhpc_data[sku])),""),ROWS($A$15:A75)+$B$3))),IF($EC$13="",INDEX(bhpc_data[description],SMALL(IF(ISNUMBER(MATCH(bhpc_data[category],$EC$9,0)*MATCH(bhpc_data[sex],$EC$11,0)),MATCH(ROW(bhpc_data[sku]),ROW(bhpc_data[sku])),""),ROWS($A$15:A75)+$B$3)),INDEX(bhpc_data[description],SMALL(IF(ISNUMBER(MATCH(bhpc_data[category],$EC$9,0)*MATCH(bhpc_data[sex],$EC$11,0)*MATCH(bhpc_data[size],$EC$13,0)),MATCH(ROW(bhpc_data[sku]),ROW(bhpc_data[sku])),""),ROWS($A$15:A75)+$B$3))))),"")</f>
        <v>BHPC 3PCS GIFT BOX MEN NO.1 50ML</v>
      </c>
      <c r="EG70" s="447">
        <f>IFERROR(IF('BHPC MANAGER'!$EE70="","",INDEX(inventory[ESISTENZA],MATCH('BHPC MANAGER'!$EE70,inventory[SKU],0))),0)</f>
        <v>0</v>
      </c>
      <c r="EH70" s="448" t="s">
        <v>861</v>
      </c>
      <c r="EI70" s="448">
        <f t="shared" si="1"/>
        <v>0</v>
      </c>
      <c r="EJ70" s="449" t="s">
        <v>861</v>
      </c>
      <c r="EK70" s="450">
        <f t="shared" si="2"/>
        <v>0</v>
      </c>
    </row>
    <row r="71" spans="59:141" ht="15" customHeight="1" x14ac:dyDescent="0.35">
      <c r="BG71" s="215"/>
      <c r="BK71" s="296"/>
      <c r="BL71" s="297"/>
      <c r="BM71" s="298"/>
      <c r="BN71" s="297"/>
      <c r="BO71" s="298"/>
      <c r="BZ71" s="414"/>
      <c r="CA71" s="401" t="str">
        <f>IFERROR(IF(BZ71="","",INDEX(bhpc_data[description],MATCH(BZ71,bhpc_data[sku],0))),"")</f>
        <v/>
      </c>
      <c r="CB71" s="403"/>
      <c r="CC71" s="886"/>
      <c r="CD71" s="415"/>
      <c r="CE71" s="891"/>
      <c r="CF71" s="404"/>
      <c r="CG71" s="405" t="str">
        <f>IFERROR(ROUNDUP(CB71/INDEX(bhpc_data[units_per_carton],MATCH(BZ71,bhpc_data[sku],0)),0),"")</f>
        <v/>
      </c>
      <c r="CH71" s="406" t="str">
        <f>IFERROR(ROUNDUP(CD71/INDEX(bhpc_data[units_per_carton],MATCH(BZ71,bhpc_data[sku],0)),0),"")</f>
        <v/>
      </c>
      <c r="CI71" s="406" t="str">
        <f>IFERROR(ROUNDUP(CF71/INDEX(bhpc_data[units_per_carton],MATCH(BZ71,bhpc_data[sku])),0),"")</f>
        <v/>
      </c>
      <c r="CJ71" s="406" t="str">
        <f>IFERROR(((CB71+CD71+CF71)/INDEX(bhpc_data[units_per_carton],MATCH(BZ71,bhpc_data[sku],0)))*INDEX(bhpc_data[net_weight],MATCH(BZ71,bhpc_data[sku],0)),"")</f>
        <v/>
      </c>
      <c r="CK71" s="406" t="str">
        <f>IFERROR(((CB71+CD71+CF71)/INDEX(bhpc_data[units_per_carton],MATCH(BZ71,bhpc_data[sku],0)))*INDEX(bhpc_data[gross_weight],MATCH(BZ71,bhpc_data[sku],0)),"")</f>
        <v/>
      </c>
      <c r="CL71" s="602" t="str">
        <f>IFERROR((CB71+CD71+CF71)/INDEX(bhpc_data[units_per_carton],MATCH(BZ71,bhpc_data[sku],0))*INDEX(bhpc_data[length],MATCH(BZ71,bhpc_data[sku],0))*INDEX(bhpc_data[width],MATCH(BZ71,bhpc_data[sku],0))*INDEX(bhpc_data[height],MATCH(BZ71,bhpc_data[sku],0))/1000000000,"")</f>
        <v/>
      </c>
      <c r="CM71" s="407" t="str">
        <f>IFERROR(INDEX(bhpc_data[category],MATCH(BZ71,bhpc_data[sku],0)),"")</f>
        <v/>
      </c>
      <c r="CN71" s="407" t="str">
        <f>IFERROR(INDEX(bhpc_data[size],MATCH(BZ71,bhpc_data[sku],0)),"")</f>
        <v/>
      </c>
      <c r="CO71" s="408" t="str">
        <f>IFERROR(INDEX(bhpc_data[hs_code],MATCH(BZ71,bhpc_data[sku],0)),"")</f>
        <v/>
      </c>
      <c r="CP71" s="489" t="str">
        <f>IFERROR(INDEX(bhpc_data[sku_geko],MATCH(BZ71,bhpc_data[sku],0)),"")</f>
        <v/>
      </c>
      <c r="CQ71" s="404"/>
      <c r="CR71" s="517" t="str">
        <f>IFERROR(IF(BZ71="","",IF($BX$15="SALE",INDEX(inventory[COSTO UNITARIO],MATCH(BZ71,inventory[SKU],0)),IF($BX$15="SAMPLING",INDEX(inventory[COSTO UNITARIO],MATCH(BZ71,inventory[SKU],0)),""))),"")</f>
        <v/>
      </c>
      <c r="CS71" s="517" t="str">
        <f t="shared" si="9"/>
        <v/>
      </c>
      <c r="CT71" s="896" t="str">
        <f t="shared" si="10"/>
        <v/>
      </c>
      <c r="CU71" s="469" t="str">
        <f t="shared" si="0"/>
        <v/>
      </c>
      <c r="DB71" s="280" t="str">
        <f>IFERROR(VLOOKUP(BZ71,bhpc_data[],22,FALSE),"")</f>
        <v/>
      </c>
      <c r="EE71" s="439" t="str" cm="1">
        <f t="array" ref="EE71">IFERROR(IF($EC$9="",IF($EC$11="",IF($EC$13="",INDEX(bhpc_data[sku],SMALL(MATCH(ROW(bhpc_data[sku]),ROW(bhpc_data[sku])),ROWS($A$15:A76)+$B$3)),INDEX(bhpc_data[sku],SMALL(IF(ISNUMBER(MATCH(bhpc_data[size],$EC$13,0)),MATCH(ROW(bhpc_data[sku]),ROW(bhpc_data[sku])),""),ROWS($A$15:A76)+$B$3))),IF($EC$13="",INDEX(bhpc_data[sku],SMALL(IF(ISNUMBER(MATCH(bhpc_data[sex],$EC$11,0)),MATCH(ROW(bhpc_data[sku]),ROW(bhpc_data[sku])),""),ROWS($A$15:A76)+$B$3)),INDEX(bhpc_data[sku],SMALL(IF(ISNUMBER(MATCH(bhpc_data[sex],$EC$11,0)*MATCH(bhpc_data[size],$EC$13,0)),MATCH(ROW(bhpc_data[sku]),ROW(bhpc_data[sku])),""),ROWS($A$15:A76)+$B$3)))),IF($EC$11="",IF($EC$13="",INDEX(bhpc_data[sku],SMALL(IF(ISNUMBER(MATCH(bhpc_data[category],$EC$9,0)),MATCH(ROW(bhpc_data[sku]),ROW(bhpc_data[sku])),""),ROWS($A$15:A76)+$B$3)),INDEX(bhpc_data[sku],SMALL(IF(ISNUMBER(MATCH(bhpc_data[category],$EC$9,0)*MATCH(bhpc_data[size],$EC$13,0)),MATCH(ROW(bhpc_data[sku]),ROW(bhpc_data[sku])),""),ROWS($A$15:A76)+$B$3))),IF($EC$13="",INDEX(bhpc_data[sku],SMALL(IF(ISNUMBER(MATCH(bhpc_data[category],$EC$9,0)*MATCH(bhpc_data[sex],$EC$11,0)),MATCH(ROW(bhpc_data[sku]),ROW(bhpc_data[sku])),""),ROWS($A$15:A76)+$B$3)),INDEX(bhpc_data[sku],SMALL(IF(ISNUMBER(MATCH(bhpc_data[category],$EC$9,0)*MATCH(bhpc_data[sex],$EC$11,0)*MATCH(bhpc_data[size],$EC$13,0)),MATCH(ROW(bhpc_data[sku]),ROW(bhpc_data[sku])),""),ROWS($A$15:A76)+$B$3))))),"")</f>
        <v>X07009</v>
      </c>
      <c r="EF71" s="440" t="str" cm="1">
        <f t="array" ref="EF71">IFERROR(IF($EC$9="",IF($EC$11="",IF($EC$13="",INDEX(bhpc_data[description],SMALL(MATCH(ROW(bhpc_data[sku]),ROW(bhpc_data[sku])),ROWS($A$15:A76)+$B$3)),INDEX(bhpc_data[description],SMALL(IF(ISNUMBER(MATCH(bhpc_data[size],$EC$13,0)),MATCH(ROW(bhpc_data[sku]),ROW(bhpc_data[sku])),""),ROWS($A$15:A76)+$B$3))),IF($EC$13="",INDEX(bhpc_data[description],SMALL(IF(ISNUMBER(MATCH(bhpc_data[sex],$EC$11,0)),MATCH(ROW(bhpc_data[sku]),ROW(bhpc_data[sku])),""),ROWS($A$15:A76)+$B$3)),INDEX(bhpc_data[description],SMALL(IF(ISNUMBER(MATCH(bhpc_data[sex],$EC$11,0)*MATCH(bhpc_data[size],$EC$13,0)),MATCH(ROW(bhpc_data[sku]),ROW(bhpc_data[sku])),""),ROWS($A$15:A76)+$B$3)))),IF($EC$11="",IF($EC$13="",INDEX(bhpc_data[description],SMALL(IF(ISNUMBER(MATCH(bhpc_data[category],$EC$9,0)),MATCH(ROW(bhpc_data[sku]),ROW(bhpc_data[sku])),""),ROWS($A$15:A76)+$B$3)),INDEX(bhpc_data[description],SMALL(IF(ISNUMBER(MATCH(bhpc_data[category],$EC$9,0)*MATCH(bhpc_data[size],$EC$13,0)),MATCH(ROW(bhpc_data[sku]),ROW(bhpc_data[sku])),""),ROWS($A$15:A76)+$B$3))),IF($EC$13="",INDEX(bhpc_data[description],SMALL(IF(ISNUMBER(MATCH(bhpc_data[category],$EC$9,0)*MATCH(bhpc_data[sex],$EC$11,0)),MATCH(ROW(bhpc_data[sku]),ROW(bhpc_data[sku])),""),ROWS($A$15:A76)+$B$3)),INDEX(bhpc_data[description],SMALL(IF(ISNUMBER(MATCH(bhpc_data[category],$EC$9,0)*MATCH(bhpc_data[sex],$EC$11,0)*MATCH(bhpc_data[size],$EC$13,0)),MATCH(ROW(bhpc_data[sku]),ROW(bhpc_data[sku])),""),ROWS($A$15:A76)+$B$3))))),"")</f>
        <v>BHPC 3PCS GIFT BOX MEN NO.9 50ML</v>
      </c>
      <c r="EG71" s="441">
        <f>IFERROR(IF('BHPC MANAGER'!$EE71="","",INDEX(inventory[ESISTENZA],MATCH('BHPC MANAGER'!$EE71,inventory[SKU],0))),0)</f>
        <v>0</v>
      </c>
      <c r="EH71" s="442" t="s">
        <v>861</v>
      </c>
      <c r="EI71" s="442">
        <f t="shared" si="1"/>
        <v>0</v>
      </c>
      <c r="EJ71" s="443" t="s">
        <v>861</v>
      </c>
      <c r="EK71" s="444">
        <f t="shared" si="2"/>
        <v>0</v>
      </c>
    </row>
    <row r="72" spans="59:141" ht="15" customHeight="1" x14ac:dyDescent="0.35">
      <c r="BG72" s="215"/>
      <c r="BK72" s="296"/>
      <c r="BL72" s="297"/>
      <c r="BM72" s="298"/>
      <c r="BN72" s="297"/>
      <c r="BO72" s="298"/>
      <c r="BZ72" s="414"/>
      <c r="CA72" s="401" t="str">
        <f>IFERROR(IF(BZ72="","",INDEX(bhpc_data[description],MATCH(BZ72,bhpc_data[sku],0))),"")</f>
        <v/>
      </c>
      <c r="CB72" s="403"/>
      <c r="CC72" s="886"/>
      <c r="CD72" s="415"/>
      <c r="CE72" s="891"/>
      <c r="CF72" s="404"/>
      <c r="CG72" s="405" t="str">
        <f>IFERROR(ROUNDUP(CB72/INDEX(bhpc_data[units_per_carton],MATCH(BZ72,bhpc_data[sku],0)),0),"")</f>
        <v/>
      </c>
      <c r="CH72" s="406" t="str">
        <f>IFERROR(ROUNDUP(CD72/INDEX(bhpc_data[units_per_carton],MATCH(BZ72,bhpc_data[sku],0)),0),"")</f>
        <v/>
      </c>
      <c r="CI72" s="406" t="str">
        <f>IFERROR(ROUNDUP(CF72/INDEX(bhpc_data[units_per_carton],MATCH(BZ72,bhpc_data[sku])),0),"")</f>
        <v/>
      </c>
      <c r="CJ72" s="406" t="str">
        <f>IFERROR(((CB72+CD72+CF72)/INDEX(bhpc_data[units_per_carton],MATCH(BZ72,bhpc_data[sku],0)))*INDEX(bhpc_data[net_weight],MATCH(BZ72,bhpc_data[sku],0)),"")</f>
        <v/>
      </c>
      <c r="CK72" s="406" t="str">
        <f>IFERROR(((CB72+CD72+CF72)/INDEX(bhpc_data[units_per_carton],MATCH(BZ72,bhpc_data[sku],0)))*INDEX(bhpc_data[gross_weight],MATCH(BZ72,bhpc_data[sku],0)),"")</f>
        <v/>
      </c>
      <c r="CL72" s="602" t="str">
        <f>IFERROR((CB72+CD72+CF72)/INDEX(bhpc_data[units_per_carton],MATCH(BZ72,bhpc_data[sku],0))*INDEX(bhpc_data[length],MATCH(BZ72,bhpc_data[sku],0))*INDEX(bhpc_data[width],MATCH(BZ72,bhpc_data[sku],0))*INDEX(bhpc_data[height],MATCH(BZ72,bhpc_data[sku],0))/1000000000,"")</f>
        <v/>
      </c>
      <c r="CM72" s="407" t="str">
        <f>IFERROR(INDEX(bhpc_data[category],MATCH(BZ72,bhpc_data[sku],0)),"")</f>
        <v/>
      </c>
      <c r="CN72" s="407" t="str">
        <f>IFERROR(INDEX(bhpc_data[size],MATCH(BZ72,bhpc_data[sku],0)),"")</f>
        <v/>
      </c>
      <c r="CO72" s="408" t="str">
        <f>IFERROR(INDEX(bhpc_data[hs_code],MATCH(BZ72,bhpc_data[sku],0)),"")</f>
        <v/>
      </c>
      <c r="CP72" s="489" t="str">
        <f>IFERROR(INDEX(bhpc_data[sku_geko],MATCH(BZ72,bhpc_data[sku],0)),"")</f>
        <v/>
      </c>
      <c r="CQ72" s="404"/>
      <c r="CR72" s="517" t="str">
        <f>IFERROR(IF(BZ72="","",IF($BX$15="SALE",INDEX(inventory[COSTO UNITARIO],MATCH(BZ72,inventory[SKU],0)),IF($BX$15="SAMPLING",INDEX(inventory[COSTO UNITARIO],MATCH(BZ72,inventory[SKU],0)),""))),"")</f>
        <v/>
      </c>
      <c r="CS72" s="517" t="str">
        <f t="shared" si="9"/>
        <v/>
      </c>
      <c r="CT72" s="896" t="str">
        <f t="shared" si="10"/>
        <v/>
      </c>
      <c r="CU72" s="469" t="str">
        <f t="shared" si="0"/>
        <v/>
      </c>
      <c r="DB72" s="280" t="str">
        <f>IFERROR(VLOOKUP(BZ72,bhpc_data[],22,FALSE),"")</f>
        <v/>
      </c>
      <c r="EE72" s="445" t="str" cm="1">
        <f t="array" ref="EE72">IFERROR(IF($EC$9="",IF($EC$11="",IF($EC$13="",INDEX(bhpc_data[sku],SMALL(MATCH(ROW(bhpc_data[sku]),ROW(bhpc_data[sku])),ROWS($A$15:A77)+$B$3)),INDEX(bhpc_data[sku],SMALL(IF(ISNUMBER(MATCH(bhpc_data[size],$EC$13,0)),MATCH(ROW(bhpc_data[sku]),ROW(bhpc_data[sku])),""),ROWS($A$15:A77)+$B$3))),IF($EC$13="",INDEX(bhpc_data[sku],SMALL(IF(ISNUMBER(MATCH(bhpc_data[sex],$EC$11,0)),MATCH(ROW(bhpc_data[sku]),ROW(bhpc_data[sku])),""),ROWS($A$15:A77)+$B$3)),INDEX(bhpc_data[sku],SMALL(IF(ISNUMBER(MATCH(bhpc_data[sex],$EC$11,0)*MATCH(bhpc_data[size],$EC$13,0)),MATCH(ROW(bhpc_data[sku]),ROW(bhpc_data[sku])),""),ROWS($A$15:A77)+$B$3)))),IF($EC$11="",IF($EC$13="",INDEX(bhpc_data[sku],SMALL(IF(ISNUMBER(MATCH(bhpc_data[category],$EC$9,0)),MATCH(ROW(bhpc_data[sku]),ROW(bhpc_data[sku])),""),ROWS($A$15:A77)+$B$3)),INDEX(bhpc_data[sku],SMALL(IF(ISNUMBER(MATCH(bhpc_data[category],$EC$9,0)*MATCH(bhpc_data[size],$EC$13,0)),MATCH(ROW(bhpc_data[sku]),ROW(bhpc_data[sku])),""),ROWS($A$15:A77)+$B$3))),IF($EC$13="",INDEX(bhpc_data[sku],SMALL(IF(ISNUMBER(MATCH(bhpc_data[category],$EC$9,0)*MATCH(bhpc_data[sex],$EC$11,0)),MATCH(ROW(bhpc_data[sku]),ROW(bhpc_data[sku])),""),ROWS($A$15:A77)+$B$3)),INDEX(bhpc_data[sku],SMALL(IF(ISNUMBER(MATCH(bhpc_data[category],$EC$9,0)*MATCH(bhpc_data[sex],$EC$11,0)*MATCH(bhpc_data[size],$EC$13,0)),MATCH(ROW(bhpc_data[sku]),ROW(bhpc_data[sku])),""),ROWS($A$15:A77)+$B$3))))),"")</f>
        <v>X07010</v>
      </c>
      <c r="EF72" s="446" t="str" cm="1">
        <f t="array" ref="EF72">IFERROR(IF($EC$9="",IF($EC$11="",IF($EC$13="",INDEX(bhpc_data[description],SMALL(MATCH(ROW(bhpc_data[sku]),ROW(bhpc_data[sku])),ROWS($A$15:A77)+$B$3)),INDEX(bhpc_data[description],SMALL(IF(ISNUMBER(MATCH(bhpc_data[size],$EC$13,0)),MATCH(ROW(bhpc_data[sku]),ROW(bhpc_data[sku])),""),ROWS($A$15:A77)+$B$3))),IF($EC$13="",INDEX(bhpc_data[description],SMALL(IF(ISNUMBER(MATCH(bhpc_data[sex],$EC$11,0)),MATCH(ROW(bhpc_data[sku]),ROW(bhpc_data[sku])),""),ROWS($A$15:A77)+$B$3)),INDEX(bhpc_data[description],SMALL(IF(ISNUMBER(MATCH(bhpc_data[sex],$EC$11,0)*MATCH(bhpc_data[size],$EC$13,0)),MATCH(ROW(bhpc_data[sku]),ROW(bhpc_data[sku])),""),ROWS($A$15:A77)+$B$3)))),IF($EC$11="",IF($EC$13="",INDEX(bhpc_data[description],SMALL(IF(ISNUMBER(MATCH(bhpc_data[category],$EC$9,0)),MATCH(ROW(bhpc_data[sku]),ROW(bhpc_data[sku])),""),ROWS($A$15:A77)+$B$3)),INDEX(bhpc_data[description],SMALL(IF(ISNUMBER(MATCH(bhpc_data[category],$EC$9,0)*MATCH(bhpc_data[size],$EC$13,0)),MATCH(ROW(bhpc_data[sku]),ROW(bhpc_data[sku])),""),ROWS($A$15:A77)+$B$3))),IF($EC$13="",INDEX(bhpc_data[description],SMALL(IF(ISNUMBER(MATCH(bhpc_data[category],$EC$9,0)*MATCH(bhpc_data[sex],$EC$11,0)),MATCH(ROW(bhpc_data[sku]),ROW(bhpc_data[sku])),""),ROWS($A$15:A77)+$B$3)),INDEX(bhpc_data[description],SMALL(IF(ISNUMBER(MATCH(bhpc_data[category],$EC$9,0)*MATCH(bhpc_data[sex],$EC$11,0)*MATCH(bhpc_data[size],$EC$13,0)),MATCH(ROW(bhpc_data[sku]),ROW(bhpc_data[sku])),""),ROWS($A$15:A77)+$B$3))))),"")</f>
        <v>BHPC 3PCS GIFT BOX MEN NO.8 50ML</v>
      </c>
      <c r="EG72" s="447">
        <f>IFERROR(IF('BHPC MANAGER'!$EE72="","",INDEX(inventory[ESISTENZA],MATCH('BHPC MANAGER'!$EE72,inventory[SKU],0))),0)</f>
        <v>0</v>
      </c>
      <c r="EH72" s="448" t="s">
        <v>861</v>
      </c>
      <c r="EI72" s="448">
        <f t="shared" si="1"/>
        <v>0</v>
      </c>
      <c r="EJ72" s="449" t="s">
        <v>861</v>
      </c>
      <c r="EK72" s="450">
        <f t="shared" si="2"/>
        <v>0</v>
      </c>
    </row>
    <row r="73" spans="59:141" ht="15" customHeight="1" x14ac:dyDescent="0.35">
      <c r="BG73" s="215"/>
      <c r="BK73" s="296"/>
      <c r="BL73" s="297"/>
      <c r="BM73" s="298"/>
      <c r="BN73" s="297"/>
      <c r="BO73" s="298"/>
      <c r="BZ73" s="414"/>
      <c r="CA73" s="401" t="str">
        <f>IFERROR(IF(BZ73="","",INDEX(bhpc_data[description],MATCH(BZ73,bhpc_data[sku],0))),"")</f>
        <v/>
      </c>
      <c r="CB73" s="403"/>
      <c r="CC73" s="886"/>
      <c r="CD73" s="415"/>
      <c r="CE73" s="891"/>
      <c r="CF73" s="404"/>
      <c r="CG73" s="405" t="str">
        <f>IFERROR(ROUNDUP(CB73/INDEX(bhpc_data[units_per_carton],MATCH(BZ73,bhpc_data[sku],0)),0),"")</f>
        <v/>
      </c>
      <c r="CH73" s="406" t="str">
        <f>IFERROR(ROUNDUP(CD73/INDEX(bhpc_data[units_per_carton],MATCH(BZ73,bhpc_data[sku],0)),0),"")</f>
        <v/>
      </c>
      <c r="CI73" s="406" t="str">
        <f>IFERROR(ROUNDUP(CF73/INDEX(bhpc_data[units_per_carton],MATCH(BZ73,bhpc_data[sku])),0),"")</f>
        <v/>
      </c>
      <c r="CJ73" s="406" t="str">
        <f>IFERROR(((CB73+CD73+CF73)/INDEX(bhpc_data[units_per_carton],MATCH(BZ73,bhpc_data[sku],0)))*INDEX(bhpc_data[net_weight],MATCH(BZ73,bhpc_data[sku],0)),"")</f>
        <v/>
      </c>
      <c r="CK73" s="406" t="str">
        <f>IFERROR(((CB73+CD73+CF73)/INDEX(bhpc_data[units_per_carton],MATCH(BZ73,bhpc_data[sku],0)))*INDEX(bhpc_data[gross_weight],MATCH(BZ73,bhpc_data[sku],0)),"")</f>
        <v/>
      </c>
      <c r="CL73" s="602" t="str">
        <f>IFERROR((CB73+CD73+CF73)/INDEX(bhpc_data[units_per_carton],MATCH(BZ73,bhpc_data[sku],0))*INDEX(bhpc_data[length],MATCH(BZ73,bhpc_data[sku],0))*INDEX(bhpc_data[width],MATCH(BZ73,bhpc_data[sku],0))*INDEX(bhpc_data[height],MATCH(BZ73,bhpc_data[sku],0))/1000000000,"")</f>
        <v/>
      </c>
      <c r="CM73" s="407" t="str">
        <f>IFERROR(INDEX(bhpc_data[category],MATCH(BZ73,bhpc_data[sku],0)),"")</f>
        <v/>
      </c>
      <c r="CN73" s="407" t="str">
        <f>IFERROR(INDEX(bhpc_data[size],MATCH(BZ73,bhpc_data[sku],0)),"")</f>
        <v/>
      </c>
      <c r="CO73" s="408" t="str">
        <f>IFERROR(INDEX(bhpc_data[hs_code],MATCH(BZ73,bhpc_data[sku],0)),"")</f>
        <v/>
      </c>
      <c r="CP73" s="489" t="str">
        <f>IFERROR(INDEX(bhpc_data[sku_geko],MATCH(BZ73,bhpc_data[sku],0)),"")</f>
        <v/>
      </c>
      <c r="CQ73" s="404"/>
      <c r="CR73" s="517" t="str">
        <f>IFERROR(IF(BZ73="","",IF($BX$15="SALE",INDEX(inventory[COSTO UNITARIO],MATCH(BZ73,inventory[SKU],0)),IF($BX$15="SAMPLING",INDEX(inventory[COSTO UNITARIO],MATCH(BZ73,inventory[SKU],0)),""))),"")</f>
        <v/>
      </c>
      <c r="CS73" s="517" t="str">
        <f t="shared" si="9"/>
        <v/>
      </c>
      <c r="CT73" s="896" t="str">
        <f t="shared" si="10"/>
        <v/>
      </c>
      <c r="CU73" s="469" t="str">
        <f t="shared" si="0"/>
        <v/>
      </c>
      <c r="DB73" s="280" t="str">
        <f>IFERROR(VLOOKUP(BZ73,bhpc_data[],22,FALSE),"")</f>
        <v/>
      </c>
      <c r="EE73" s="439" t="str" cm="1">
        <f t="array" ref="EE73">IFERROR(IF($EC$9="",IF($EC$11="",IF($EC$13="",INDEX(bhpc_data[sku],SMALL(MATCH(ROW(bhpc_data[sku]),ROW(bhpc_data[sku])),ROWS($A$15:A78)+$B$3)),INDEX(bhpc_data[sku],SMALL(IF(ISNUMBER(MATCH(bhpc_data[size],$EC$13,0)),MATCH(ROW(bhpc_data[sku]),ROW(bhpc_data[sku])),""),ROWS($A$15:A78)+$B$3))),IF($EC$13="",INDEX(bhpc_data[sku],SMALL(IF(ISNUMBER(MATCH(bhpc_data[sex],$EC$11,0)),MATCH(ROW(bhpc_data[sku]),ROW(bhpc_data[sku])),""),ROWS($A$15:A78)+$B$3)),INDEX(bhpc_data[sku],SMALL(IF(ISNUMBER(MATCH(bhpc_data[sex],$EC$11,0)*MATCH(bhpc_data[size],$EC$13,0)),MATCH(ROW(bhpc_data[sku]),ROW(bhpc_data[sku])),""),ROWS($A$15:A78)+$B$3)))),IF($EC$11="",IF($EC$13="",INDEX(bhpc_data[sku],SMALL(IF(ISNUMBER(MATCH(bhpc_data[category],$EC$9,0)),MATCH(ROW(bhpc_data[sku]),ROW(bhpc_data[sku])),""),ROWS($A$15:A78)+$B$3)),INDEX(bhpc_data[sku],SMALL(IF(ISNUMBER(MATCH(bhpc_data[category],$EC$9,0)*MATCH(bhpc_data[size],$EC$13,0)),MATCH(ROW(bhpc_data[sku]),ROW(bhpc_data[sku])),""),ROWS($A$15:A78)+$B$3))),IF($EC$13="",INDEX(bhpc_data[sku],SMALL(IF(ISNUMBER(MATCH(bhpc_data[category],$EC$9,0)*MATCH(bhpc_data[sex],$EC$11,0)),MATCH(ROW(bhpc_data[sku]),ROW(bhpc_data[sku])),""),ROWS($A$15:A78)+$B$3)),INDEX(bhpc_data[sku],SMALL(IF(ISNUMBER(MATCH(bhpc_data[category],$EC$9,0)*MATCH(bhpc_data[sex],$EC$11,0)*MATCH(bhpc_data[size],$EC$13,0)),MATCH(ROW(bhpc_data[sku]),ROW(bhpc_data[sku])),""),ROWS($A$15:A78)+$B$3))))),"")</f>
        <v>X07011</v>
      </c>
      <c r="EF73" s="440" t="str" cm="1">
        <f t="array" ref="EF73">IFERROR(IF($EC$9="",IF($EC$11="",IF($EC$13="",INDEX(bhpc_data[description],SMALL(MATCH(ROW(bhpc_data[sku]),ROW(bhpc_data[sku])),ROWS($A$15:A78)+$B$3)),INDEX(bhpc_data[description],SMALL(IF(ISNUMBER(MATCH(bhpc_data[size],$EC$13,0)),MATCH(ROW(bhpc_data[sku]),ROW(bhpc_data[sku])),""),ROWS($A$15:A78)+$B$3))),IF($EC$13="",INDEX(bhpc_data[description],SMALL(IF(ISNUMBER(MATCH(bhpc_data[sex],$EC$11,0)),MATCH(ROW(bhpc_data[sku]),ROW(bhpc_data[sku])),""),ROWS($A$15:A78)+$B$3)),INDEX(bhpc_data[description],SMALL(IF(ISNUMBER(MATCH(bhpc_data[sex],$EC$11,0)*MATCH(bhpc_data[size],$EC$13,0)),MATCH(ROW(bhpc_data[sku]),ROW(bhpc_data[sku])),""),ROWS($A$15:A78)+$B$3)))),IF($EC$11="",IF($EC$13="",INDEX(bhpc_data[description],SMALL(IF(ISNUMBER(MATCH(bhpc_data[category],$EC$9,0)),MATCH(ROW(bhpc_data[sku]),ROW(bhpc_data[sku])),""),ROWS($A$15:A78)+$B$3)),INDEX(bhpc_data[description],SMALL(IF(ISNUMBER(MATCH(bhpc_data[category],$EC$9,0)*MATCH(bhpc_data[size],$EC$13,0)),MATCH(ROW(bhpc_data[sku]),ROW(bhpc_data[sku])),""),ROWS($A$15:A78)+$B$3))),IF($EC$13="",INDEX(bhpc_data[description],SMALL(IF(ISNUMBER(MATCH(bhpc_data[category],$EC$9,0)*MATCH(bhpc_data[sex],$EC$11,0)),MATCH(ROW(bhpc_data[sku]),ROW(bhpc_data[sku])),""),ROWS($A$15:A78)+$B$3)),INDEX(bhpc_data[description],SMALL(IF(ISNUMBER(MATCH(bhpc_data[category],$EC$9,0)*MATCH(bhpc_data[sex],$EC$11,0)*MATCH(bhpc_data[size],$EC$13,0)),MATCH(ROW(bhpc_data[sku]),ROW(bhpc_data[sku])),""),ROWS($A$15:A78)+$B$3))))),"")</f>
        <v>BHPC 3PCS GIFT BOX MEN NO.2 50ML</v>
      </c>
      <c r="EG73" s="441">
        <f>IFERROR(IF('BHPC MANAGER'!$EE73="","",INDEX(inventory[ESISTENZA],MATCH('BHPC MANAGER'!$EE73,inventory[SKU],0))),0)</f>
        <v>0</v>
      </c>
      <c r="EH73" s="442">
        <v>0</v>
      </c>
      <c r="EI73" s="442">
        <f t="shared" si="1"/>
        <v>0</v>
      </c>
      <c r="EJ73" s="443">
        <v>0</v>
      </c>
      <c r="EK73" s="444">
        <f t="shared" si="2"/>
        <v>0</v>
      </c>
    </row>
    <row r="74" spans="59:141" ht="15" customHeight="1" x14ac:dyDescent="0.35">
      <c r="BG74" s="215"/>
      <c r="BK74" s="296"/>
      <c r="BL74" s="297"/>
      <c r="BM74" s="298"/>
      <c r="BN74" s="297"/>
      <c r="BO74" s="298"/>
      <c r="BZ74" s="414"/>
      <c r="CA74" s="401" t="str">
        <f>IFERROR(IF(BZ74="","",INDEX(bhpc_data[description],MATCH(BZ74,bhpc_data[sku],0))),"")</f>
        <v/>
      </c>
      <c r="CB74" s="403"/>
      <c r="CC74" s="886"/>
      <c r="CD74" s="415"/>
      <c r="CE74" s="891"/>
      <c r="CF74" s="404"/>
      <c r="CG74" s="405" t="str">
        <f>IFERROR(ROUNDUP(CB74/INDEX(bhpc_data[units_per_carton],MATCH(BZ74,bhpc_data[sku],0)),0),"")</f>
        <v/>
      </c>
      <c r="CH74" s="406" t="str">
        <f>IFERROR(ROUNDUP(CD74/INDEX(bhpc_data[units_per_carton],MATCH(BZ74,bhpc_data[sku],0)),0),"")</f>
        <v/>
      </c>
      <c r="CI74" s="406" t="str">
        <f>IFERROR(ROUNDUP(CF74/INDEX(bhpc_data[units_per_carton],MATCH(BZ74,bhpc_data[sku])),0),"")</f>
        <v/>
      </c>
      <c r="CJ74" s="406" t="str">
        <f>IFERROR(((CB74+CD74+CF74)/INDEX(bhpc_data[units_per_carton],MATCH(BZ74,bhpc_data[sku],0)))*INDEX(bhpc_data[net_weight],MATCH(BZ74,bhpc_data[sku],0)),"")</f>
        <v/>
      </c>
      <c r="CK74" s="406" t="str">
        <f>IFERROR(((CB74+CD74+CF74)/INDEX(bhpc_data[units_per_carton],MATCH(BZ74,bhpc_data[sku],0)))*INDEX(bhpc_data[gross_weight],MATCH(BZ74,bhpc_data[sku],0)),"")</f>
        <v/>
      </c>
      <c r="CL74" s="602" t="str">
        <f>IFERROR((CB74+CD74+CF74)/INDEX(bhpc_data[units_per_carton],MATCH(BZ74,bhpc_data[sku],0))*INDEX(bhpc_data[length],MATCH(BZ74,bhpc_data[sku],0))*INDEX(bhpc_data[width],MATCH(BZ74,bhpc_data[sku],0))*INDEX(bhpc_data[height],MATCH(BZ74,bhpc_data[sku],0))/1000000000,"")</f>
        <v/>
      </c>
      <c r="CM74" s="407" t="str">
        <f>IFERROR(INDEX(bhpc_data[category],MATCH(BZ74,bhpc_data[sku],0)),"")</f>
        <v/>
      </c>
      <c r="CN74" s="407" t="str">
        <f>IFERROR(INDEX(bhpc_data[size],MATCH(BZ74,bhpc_data[sku],0)),"")</f>
        <v/>
      </c>
      <c r="CO74" s="408" t="str">
        <f>IFERROR(INDEX(bhpc_data[hs_code],MATCH(BZ74,bhpc_data[sku],0)),"")</f>
        <v/>
      </c>
      <c r="CP74" s="489" t="str">
        <f>IFERROR(INDEX(bhpc_data[sku_geko],MATCH(BZ74,bhpc_data[sku],0)),"")</f>
        <v/>
      </c>
      <c r="CQ74" s="404"/>
      <c r="CR74" s="517" t="str">
        <f>IFERROR(IF(BZ74="","",IF($BX$15="SALE",INDEX(inventory[COSTO UNITARIO],MATCH(BZ74,inventory[SKU],0)),IF($BX$15="SAMPLING",INDEX(inventory[COSTO UNITARIO],MATCH(BZ74,inventory[SKU],0)),""))),"")</f>
        <v/>
      </c>
      <c r="CS74" s="517" t="str">
        <f t="shared" ref="CS74:CS105" si="11">IFERROR(IF(BZ74="","",(CB74+CD74)*CR74),"")</f>
        <v/>
      </c>
      <c r="CT74" s="896" t="str">
        <f t="shared" ref="CT74:CT110" si="12">IF(BZ74="","",CB74*CC74+CD74*CE74)</f>
        <v/>
      </c>
      <c r="CU74" s="469" t="str">
        <f t="shared" si="0"/>
        <v/>
      </c>
      <c r="DB74" s="280" t="str">
        <f>IFERROR(VLOOKUP(BZ74,bhpc_data[],22,FALSE),"")</f>
        <v/>
      </c>
      <c r="EE74" s="445" t="str" cm="1">
        <f t="array" ref="EE74">IFERROR(IF($EC$9="",IF($EC$11="",IF($EC$13="",INDEX(bhpc_data[sku],SMALL(MATCH(ROW(bhpc_data[sku]),ROW(bhpc_data[sku])),ROWS($A$15:A79)+$B$3)),INDEX(bhpc_data[sku],SMALL(IF(ISNUMBER(MATCH(bhpc_data[size],$EC$13,0)),MATCH(ROW(bhpc_data[sku]),ROW(bhpc_data[sku])),""),ROWS($A$15:A79)+$B$3))),IF($EC$13="",INDEX(bhpc_data[sku],SMALL(IF(ISNUMBER(MATCH(bhpc_data[sex],$EC$11,0)),MATCH(ROW(bhpc_data[sku]),ROW(bhpc_data[sku])),""),ROWS($A$15:A79)+$B$3)),INDEX(bhpc_data[sku],SMALL(IF(ISNUMBER(MATCH(bhpc_data[sex],$EC$11,0)*MATCH(bhpc_data[size],$EC$13,0)),MATCH(ROW(bhpc_data[sku]),ROW(bhpc_data[sku])),""),ROWS($A$15:A79)+$B$3)))),IF($EC$11="",IF($EC$13="",INDEX(bhpc_data[sku],SMALL(IF(ISNUMBER(MATCH(bhpc_data[category],$EC$9,0)),MATCH(ROW(bhpc_data[sku]),ROW(bhpc_data[sku])),""),ROWS($A$15:A79)+$B$3)),INDEX(bhpc_data[sku],SMALL(IF(ISNUMBER(MATCH(bhpc_data[category],$EC$9,0)*MATCH(bhpc_data[size],$EC$13,0)),MATCH(ROW(bhpc_data[sku]),ROW(bhpc_data[sku])),""),ROWS($A$15:A79)+$B$3))),IF($EC$13="",INDEX(bhpc_data[sku],SMALL(IF(ISNUMBER(MATCH(bhpc_data[category],$EC$9,0)*MATCH(bhpc_data[sex],$EC$11,0)),MATCH(ROW(bhpc_data[sku]),ROW(bhpc_data[sku])),""),ROWS($A$15:A79)+$B$3)),INDEX(bhpc_data[sku],SMALL(IF(ISNUMBER(MATCH(bhpc_data[category],$EC$9,0)*MATCH(bhpc_data[sex],$EC$11,0)*MATCH(bhpc_data[size],$EC$13,0)),MATCH(ROW(bhpc_data[sku]),ROW(bhpc_data[sku])),""),ROWS($A$15:A79)+$B$3))))),"")</f>
        <v>X07028</v>
      </c>
      <c r="EF74" s="446" t="str" cm="1">
        <f t="array" ref="EF74">IFERROR(IF($EC$9="",IF($EC$11="",IF($EC$13="",INDEX(bhpc_data[description],SMALL(MATCH(ROW(bhpc_data[sku]),ROW(bhpc_data[sku])),ROWS($A$15:A79)+$B$3)),INDEX(bhpc_data[description],SMALL(IF(ISNUMBER(MATCH(bhpc_data[size],$EC$13,0)),MATCH(ROW(bhpc_data[sku]),ROW(bhpc_data[sku])),""),ROWS($A$15:A79)+$B$3))),IF($EC$13="",INDEX(bhpc_data[description],SMALL(IF(ISNUMBER(MATCH(bhpc_data[sex],$EC$11,0)),MATCH(ROW(bhpc_data[sku]),ROW(bhpc_data[sku])),""),ROWS($A$15:A79)+$B$3)),INDEX(bhpc_data[description],SMALL(IF(ISNUMBER(MATCH(bhpc_data[sex],$EC$11,0)*MATCH(bhpc_data[size],$EC$13,0)),MATCH(ROW(bhpc_data[sku]),ROW(bhpc_data[sku])),""),ROWS($A$15:A79)+$B$3)))),IF($EC$11="",IF($EC$13="",INDEX(bhpc_data[description],SMALL(IF(ISNUMBER(MATCH(bhpc_data[category],$EC$9,0)),MATCH(ROW(bhpc_data[sku]),ROW(bhpc_data[sku])),""),ROWS($A$15:A79)+$B$3)),INDEX(bhpc_data[description],SMALL(IF(ISNUMBER(MATCH(bhpc_data[category],$EC$9,0)*MATCH(bhpc_data[size],$EC$13,0)),MATCH(ROW(bhpc_data[sku]),ROW(bhpc_data[sku])),""),ROWS($A$15:A79)+$B$3))),IF($EC$13="",INDEX(bhpc_data[description],SMALL(IF(ISNUMBER(MATCH(bhpc_data[category],$EC$9,0)*MATCH(bhpc_data[sex],$EC$11,0)),MATCH(ROW(bhpc_data[sku]),ROW(bhpc_data[sku])),""),ROWS($A$15:A79)+$B$3)),INDEX(bhpc_data[description],SMALL(IF(ISNUMBER(MATCH(bhpc_data[category],$EC$9,0)*MATCH(bhpc_data[sex],$EC$11,0)*MATCH(bhpc_data[size],$EC$13,0)),MATCH(ROW(bhpc_data[sku]),ROW(bhpc_data[sku])),""),ROWS($A$15:A79)+$B$3))))),"")</f>
        <v>BHPC 3PCS GIFT BOX WOMEN NO.1 50ML</v>
      </c>
      <c r="EG74" s="447">
        <f>IFERROR(IF('BHPC MANAGER'!$EE74="","",INDEX(inventory[ESISTENZA],MATCH('BHPC MANAGER'!$EE74,inventory[SKU],0))),0)</f>
        <v>0</v>
      </c>
      <c r="EH74" s="448" t="s">
        <v>861</v>
      </c>
      <c r="EI74" s="448">
        <f t="shared" si="1"/>
        <v>0</v>
      </c>
      <c r="EJ74" s="449" t="s">
        <v>861</v>
      </c>
      <c r="EK74" s="450">
        <f t="shared" si="2"/>
        <v>0</v>
      </c>
    </row>
    <row r="75" spans="59:141" ht="15" customHeight="1" x14ac:dyDescent="0.35">
      <c r="BG75" s="215"/>
      <c r="BK75" s="296"/>
      <c r="BL75" s="297"/>
      <c r="BM75" s="298"/>
      <c r="BN75" s="297"/>
      <c r="BO75" s="298"/>
      <c r="BZ75" s="414"/>
      <c r="CA75" s="401" t="str">
        <f>IFERROR(IF(BZ75="","",INDEX(bhpc_data[description],MATCH(BZ75,bhpc_data[sku],0))),"")</f>
        <v/>
      </c>
      <c r="CB75" s="403"/>
      <c r="CC75" s="886"/>
      <c r="CD75" s="415"/>
      <c r="CE75" s="891"/>
      <c r="CF75" s="404"/>
      <c r="CG75" s="405" t="str">
        <f>IFERROR(ROUNDUP(CB75/INDEX(bhpc_data[units_per_carton],MATCH(BZ75,bhpc_data[sku],0)),0),"")</f>
        <v/>
      </c>
      <c r="CH75" s="406" t="str">
        <f>IFERROR(ROUNDUP(CD75/INDEX(bhpc_data[units_per_carton],MATCH(BZ75,bhpc_data[sku],0)),0),"")</f>
        <v/>
      </c>
      <c r="CI75" s="406" t="str">
        <f>IFERROR(ROUNDUP(CF75/INDEX(bhpc_data[units_per_carton],MATCH(BZ75,bhpc_data[sku])),0),"")</f>
        <v/>
      </c>
      <c r="CJ75" s="406" t="str">
        <f>IFERROR(((CB75+CD75+CF75)/INDEX(bhpc_data[units_per_carton],MATCH(BZ75,bhpc_data[sku],0)))*INDEX(bhpc_data[net_weight],MATCH(BZ75,bhpc_data[sku],0)),"")</f>
        <v/>
      </c>
      <c r="CK75" s="406" t="str">
        <f>IFERROR(((CB75+CD75+CF75)/INDEX(bhpc_data[units_per_carton],MATCH(BZ75,bhpc_data[sku],0)))*INDEX(bhpc_data[gross_weight],MATCH(BZ75,bhpc_data[sku],0)),"")</f>
        <v/>
      </c>
      <c r="CL75" s="602" t="str">
        <f>IFERROR((CB75+CD75+CF75)/INDEX(bhpc_data[units_per_carton],MATCH(BZ75,bhpc_data[sku],0))*INDEX(bhpc_data[length],MATCH(BZ75,bhpc_data[sku],0))*INDEX(bhpc_data[width],MATCH(BZ75,bhpc_data[sku],0))*INDEX(bhpc_data[height],MATCH(BZ75,bhpc_data[sku],0))/1000000000,"")</f>
        <v/>
      </c>
      <c r="CM75" s="407" t="str">
        <f>IFERROR(INDEX(bhpc_data[category],MATCH(BZ75,bhpc_data[sku],0)),"")</f>
        <v/>
      </c>
      <c r="CN75" s="407" t="str">
        <f>IFERROR(INDEX(bhpc_data[size],MATCH(BZ75,bhpc_data[sku],0)),"")</f>
        <v/>
      </c>
      <c r="CO75" s="408" t="str">
        <f>IFERROR(INDEX(bhpc_data[hs_code],MATCH(BZ75,bhpc_data[sku],0)),"")</f>
        <v/>
      </c>
      <c r="CP75" s="489" t="str">
        <f>IFERROR(INDEX(bhpc_data[sku_geko],MATCH(BZ75,bhpc_data[sku],0)),"")</f>
        <v/>
      </c>
      <c r="CQ75" s="404"/>
      <c r="CR75" s="517" t="str">
        <f>IFERROR(IF(BZ75="","",IF($BX$15="SALE",INDEX(inventory[COSTO UNITARIO],MATCH(BZ75,inventory[SKU],0)),IF($BX$15="SAMPLING",INDEX(inventory[COSTO UNITARIO],MATCH(BZ75,inventory[SKU],0)),""))),"")</f>
        <v/>
      </c>
      <c r="CS75" s="517" t="str">
        <f t="shared" si="11"/>
        <v/>
      </c>
      <c r="CT75" s="896" t="str">
        <f t="shared" si="12"/>
        <v/>
      </c>
      <c r="CU75" s="469" t="str">
        <f t="shared" ref="CU75:CU110" si="13">IF(BZ75="","",IF(OR($BX$15="PRODUCTION",$BX$15="SUPPLY"),"",IF(OR($CY$32=TRUE,$CY$32="GOODS SENT"),"OK",VLOOKUP(BZ75,$EE$8:$EK$400,7,FALSE)+IF(OR($BX$15="SALE",$BX$15="SAMPLING"),-(CB75+CD75+CF75),(CB75+CD75+CF75)))))</f>
        <v/>
      </c>
      <c r="DB75" s="280" t="str">
        <f>IFERROR(VLOOKUP(BZ75,bhpc_data[],22,FALSE),"")</f>
        <v/>
      </c>
      <c r="EE75" s="439" t="str" cm="1">
        <f t="array" ref="EE75">IFERROR(IF($EC$9="",IF($EC$11="",IF($EC$13="",INDEX(bhpc_data[sku],SMALL(MATCH(ROW(bhpc_data[sku]),ROW(bhpc_data[sku])),ROWS($A$15:A80)+$B$3)),INDEX(bhpc_data[sku],SMALL(IF(ISNUMBER(MATCH(bhpc_data[size],$EC$13,0)),MATCH(ROW(bhpc_data[sku]),ROW(bhpc_data[sku])),""),ROWS($A$15:A80)+$B$3))),IF($EC$13="",INDEX(bhpc_data[sku],SMALL(IF(ISNUMBER(MATCH(bhpc_data[sex],$EC$11,0)),MATCH(ROW(bhpc_data[sku]),ROW(bhpc_data[sku])),""),ROWS($A$15:A80)+$B$3)),INDEX(bhpc_data[sku],SMALL(IF(ISNUMBER(MATCH(bhpc_data[sex],$EC$11,0)*MATCH(bhpc_data[size],$EC$13,0)),MATCH(ROW(bhpc_data[sku]),ROW(bhpc_data[sku])),""),ROWS($A$15:A80)+$B$3)))),IF($EC$11="",IF($EC$13="",INDEX(bhpc_data[sku],SMALL(IF(ISNUMBER(MATCH(bhpc_data[category],$EC$9,0)),MATCH(ROW(bhpc_data[sku]),ROW(bhpc_data[sku])),""),ROWS($A$15:A80)+$B$3)),INDEX(bhpc_data[sku],SMALL(IF(ISNUMBER(MATCH(bhpc_data[category],$EC$9,0)*MATCH(bhpc_data[size],$EC$13,0)),MATCH(ROW(bhpc_data[sku]),ROW(bhpc_data[sku])),""),ROWS($A$15:A80)+$B$3))),IF($EC$13="",INDEX(bhpc_data[sku],SMALL(IF(ISNUMBER(MATCH(bhpc_data[category],$EC$9,0)*MATCH(bhpc_data[sex],$EC$11,0)),MATCH(ROW(bhpc_data[sku]),ROW(bhpc_data[sku])),""),ROWS($A$15:A80)+$B$3)),INDEX(bhpc_data[sku],SMALL(IF(ISNUMBER(MATCH(bhpc_data[category],$EC$9,0)*MATCH(bhpc_data[sex],$EC$11,0)*MATCH(bhpc_data[size],$EC$13,0)),MATCH(ROW(bhpc_data[sku]),ROW(bhpc_data[sku])),""),ROWS($A$15:A80)+$B$3))))),"")</f>
        <v>X07029</v>
      </c>
      <c r="EF75" s="440" t="str" cm="1">
        <f t="array" ref="EF75">IFERROR(IF($EC$9="",IF($EC$11="",IF($EC$13="",INDEX(bhpc_data[description],SMALL(MATCH(ROW(bhpc_data[sku]),ROW(bhpc_data[sku])),ROWS($A$15:A80)+$B$3)),INDEX(bhpc_data[description],SMALL(IF(ISNUMBER(MATCH(bhpc_data[size],$EC$13,0)),MATCH(ROW(bhpc_data[sku]),ROW(bhpc_data[sku])),""),ROWS($A$15:A80)+$B$3))),IF($EC$13="",INDEX(bhpc_data[description],SMALL(IF(ISNUMBER(MATCH(bhpc_data[sex],$EC$11,0)),MATCH(ROW(bhpc_data[sku]),ROW(bhpc_data[sku])),""),ROWS($A$15:A80)+$B$3)),INDEX(bhpc_data[description],SMALL(IF(ISNUMBER(MATCH(bhpc_data[sex],$EC$11,0)*MATCH(bhpc_data[size],$EC$13,0)),MATCH(ROW(bhpc_data[sku]),ROW(bhpc_data[sku])),""),ROWS($A$15:A80)+$B$3)))),IF($EC$11="",IF($EC$13="",INDEX(bhpc_data[description],SMALL(IF(ISNUMBER(MATCH(bhpc_data[category],$EC$9,0)),MATCH(ROW(bhpc_data[sku]),ROW(bhpc_data[sku])),""),ROWS($A$15:A80)+$B$3)),INDEX(bhpc_data[description],SMALL(IF(ISNUMBER(MATCH(bhpc_data[category],$EC$9,0)*MATCH(bhpc_data[size],$EC$13,0)),MATCH(ROW(bhpc_data[sku]),ROW(bhpc_data[sku])),""),ROWS($A$15:A80)+$B$3))),IF($EC$13="",INDEX(bhpc_data[description],SMALL(IF(ISNUMBER(MATCH(bhpc_data[category],$EC$9,0)*MATCH(bhpc_data[sex],$EC$11,0)),MATCH(ROW(bhpc_data[sku]),ROW(bhpc_data[sku])),""),ROWS($A$15:A80)+$B$3)),INDEX(bhpc_data[description],SMALL(IF(ISNUMBER(MATCH(bhpc_data[category],$EC$9,0)*MATCH(bhpc_data[sex],$EC$11,0)*MATCH(bhpc_data[size],$EC$13,0)),MATCH(ROW(bhpc_data[sku]),ROW(bhpc_data[sku])),""),ROWS($A$15:A80)+$B$3))))),"")</f>
        <v>BHPC 3PCS GIFT BOX WOMEN NO.9 50ML</v>
      </c>
      <c r="EG75" s="441">
        <f>IFERROR(IF('BHPC MANAGER'!$EE75="","",INDEX(inventory[ESISTENZA],MATCH('BHPC MANAGER'!$EE75,inventory[SKU],0))),0)</f>
        <v>0</v>
      </c>
      <c r="EH75" s="442">
        <v>0</v>
      </c>
      <c r="EI75" s="442">
        <f t="shared" ref="EI75:EI138" si="14">IF(EE75="","",IFERROR(EG75+EH75,EG75))</f>
        <v>0</v>
      </c>
      <c r="EJ75" s="443">
        <v>0</v>
      </c>
      <c r="EK75" s="444">
        <f t="shared" ref="EK75:EK138" si="15">IF(EE75="","",IFERROR(EI75+EJ75,EI75))</f>
        <v>0</v>
      </c>
    </row>
    <row r="76" spans="59:141" ht="15" customHeight="1" x14ac:dyDescent="0.35">
      <c r="BG76" s="215"/>
      <c r="BK76" s="296"/>
      <c r="BL76" s="297"/>
      <c r="BM76" s="298"/>
      <c r="BN76" s="297"/>
      <c r="BO76" s="298"/>
      <c r="BZ76" s="414"/>
      <c r="CA76" s="401" t="str">
        <f>IFERROR(IF(BZ76="","",INDEX(bhpc_data[description],MATCH(BZ76,bhpc_data[sku],0))),"")</f>
        <v/>
      </c>
      <c r="CB76" s="403"/>
      <c r="CC76" s="886"/>
      <c r="CD76" s="415"/>
      <c r="CE76" s="891"/>
      <c r="CF76" s="404"/>
      <c r="CG76" s="405" t="str">
        <f>IFERROR(ROUNDUP(CB76/INDEX(bhpc_data[units_per_carton],MATCH(BZ76,bhpc_data[sku],0)),0),"")</f>
        <v/>
      </c>
      <c r="CH76" s="406" t="str">
        <f>IFERROR(ROUNDUP(CD76/INDEX(bhpc_data[units_per_carton],MATCH(BZ76,bhpc_data[sku],0)),0),"")</f>
        <v/>
      </c>
      <c r="CI76" s="406" t="str">
        <f>IFERROR(ROUNDUP(CF76/INDEX(bhpc_data[units_per_carton],MATCH(BZ76,bhpc_data[sku])),0),"")</f>
        <v/>
      </c>
      <c r="CJ76" s="406" t="str">
        <f>IFERROR(((CB76+CD76+CF76)/INDEX(bhpc_data[units_per_carton],MATCH(BZ76,bhpc_data[sku],0)))*INDEX(bhpc_data[net_weight],MATCH(BZ76,bhpc_data[sku],0)),"")</f>
        <v/>
      </c>
      <c r="CK76" s="406" t="str">
        <f>IFERROR(((CB76+CD76+CF76)/INDEX(bhpc_data[units_per_carton],MATCH(BZ76,bhpc_data[sku],0)))*INDEX(bhpc_data[gross_weight],MATCH(BZ76,bhpc_data[sku],0)),"")</f>
        <v/>
      </c>
      <c r="CL76" s="602" t="str">
        <f>IFERROR((CB76+CD76+CF76)/INDEX(bhpc_data[units_per_carton],MATCH(BZ76,bhpc_data[sku],0))*INDEX(bhpc_data[length],MATCH(BZ76,bhpc_data[sku],0))*INDEX(bhpc_data[width],MATCH(BZ76,bhpc_data[sku],0))*INDEX(bhpc_data[height],MATCH(BZ76,bhpc_data[sku],0))/1000000000,"")</f>
        <v/>
      </c>
      <c r="CM76" s="407" t="str">
        <f>IFERROR(INDEX(bhpc_data[category],MATCH(BZ76,bhpc_data[sku],0)),"")</f>
        <v/>
      </c>
      <c r="CN76" s="407" t="str">
        <f>IFERROR(INDEX(bhpc_data[size],MATCH(BZ76,bhpc_data[sku],0)),"")</f>
        <v/>
      </c>
      <c r="CO76" s="408" t="str">
        <f>IFERROR(INDEX(bhpc_data[hs_code],MATCH(BZ76,bhpc_data[sku],0)),"")</f>
        <v/>
      </c>
      <c r="CP76" s="489" t="str">
        <f>IFERROR(INDEX(bhpc_data[sku_geko],MATCH(BZ76,bhpc_data[sku],0)),"")</f>
        <v/>
      </c>
      <c r="CQ76" s="404"/>
      <c r="CR76" s="517" t="str">
        <f>IFERROR(IF(BZ76="","",IF($BX$15="SALE",INDEX(inventory[COSTO UNITARIO],MATCH(BZ76,inventory[SKU],0)),IF($BX$15="SAMPLING",INDEX(inventory[COSTO UNITARIO],MATCH(BZ76,inventory[SKU],0)),""))),"")</f>
        <v/>
      </c>
      <c r="CS76" s="517" t="str">
        <f t="shared" si="11"/>
        <v/>
      </c>
      <c r="CT76" s="896" t="str">
        <f t="shared" si="12"/>
        <v/>
      </c>
      <c r="CU76" s="469" t="str">
        <f t="shared" si="13"/>
        <v/>
      </c>
      <c r="DB76" s="280" t="str">
        <f>IFERROR(VLOOKUP(BZ76,bhpc_data[],22,FALSE),"")</f>
        <v/>
      </c>
      <c r="EE76" s="445" t="str" cm="1">
        <f t="array" ref="EE76">IFERROR(IF($EC$9="",IF($EC$11="",IF($EC$13="",INDEX(bhpc_data[sku],SMALL(MATCH(ROW(bhpc_data[sku]),ROW(bhpc_data[sku])),ROWS($A$15:A81)+$B$3)),INDEX(bhpc_data[sku],SMALL(IF(ISNUMBER(MATCH(bhpc_data[size],$EC$13,0)),MATCH(ROW(bhpc_data[sku]),ROW(bhpc_data[sku])),""),ROWS($A$15:A81)+$B$3))),IF($EC$13="",INDEX(bhpc_data[sku],SMALL(IF(ISNUMBER(MATCH(bhpc_data[sex],$EC$11,0)),MATCH(ROW(bhpc_data[sku]),ROW(bhpc_data[sku])),""),ROWS($A$15:A81)+$B$3)),INDEX(bhpc_data[sku],SMALL(IF(ISNUMBER(MATCH(bhpc_data[sex],$EC$11,0)*MATCH(bhpc_data[size],$EC$13,0)),MATCH(ROW(bhpc_data[sku]),ROW(bhpc_data[sku])),""),ROWS($A$15:A81)+$B$3)))),IF($EC$11="",IF($EC$13="",INDEX(bhpc_data[sku],SMALL(IF(ISNUMBER(MATCH(bhpc_data[category],$EC$9,0)),MATCH(ROW(bhpc_data[sku]),ROW(bhpc_data[sku])),""),ROWS($A$15:A81)+$B$3)),INDEX(bhpc_data[sku],SMALL(IF(ISNUMBER(MATCH(bhpc_data[category],$EC$9,0)*MATCH(bhpc_data[size],$EC$13,0)),MATCH(ROW(bhpc_data[sku]),ROW(bhpc_data[sku])),""),ROWS($A$15:A81)+$B$3))),IF($EC$13="",INDEX(bhpc_data[sku],SMALL(IF(ISNUMBER(MATCH(bhpc_data[category],$EC$9,0)*MATCH(bhpc_data[sex],$EC$11,0)),MATCH(ROW(bhpc_data[sku]),ROW(bhpc_data[sku])),""),ROWS($A$15:A81)+$B$3)),INDEX(bhpc_data[sku],SMALL(IF(ISNUMBER(MATCH(bhpc_data[category],$EC$9,0)*MATCH(bhpc_data[sex],$EC$11,0)*MATCH(bhpc_data[size],$EC$13,0)),MATCH(ROW(bhpc_data[sku]),ROW(bhpc_data[sku])),""),ROWS($A$15:A81)+$B$3))))),"")</f>
        <v>X07030</v>
      </c>
      <c r="EF76" s="446" t="str" cm="1">
        <f t="array" ref="EF76">IFERROR(IF($EC$9="",IF($EC$11="",IF($EC$13="",INDEX(bhpc_data[description],SMALL(MATCH(ROW(bhpc_data[sku]),ROW(bhpc_data[sku])),ROWS($A$15:A81)+$B$3)),INDEX(bhpc_data[description],SMALL(IF(ISNUMBER(MATCH(bhpc_data[size],$EC$13,0)),MATCH(ROW(bhpc_data[sku]),ROW(bhpc_data[sku])),""),ROWS($A$15:A81)+$B$3))),IF($EC$13="",INDEX(bhpc_data[description],SMALL(IF(ISNUMBER(MATCH(bhpc_data[sex],$EC$11,0)),MATCH(ROW(bhpc_data[sku]),ROW(bhpc_data[sku])),""),ROWS($A$15:A81)+$B$3)),INDEX(bhpc_data[description],SMALL(IF(ISNUMBER(MATCH(bhpc_data[sex],$EC$11,0)*MATCH(bhpc_data[size],$EC$13,0)),MATCH(ROW(bhpc_data[sku]),ROW(bhpc_data[sku])),""),ROWS($A$15:A81)+$B$3)))),IF($EC$11="",IF($EC$13="",INDEX(bhpc_data[description],SMALL(IF(ISNUMBER(MATCH(bhpc_data[category],$EC$9,0)),MATCH(ROW(bhpc_data[sku]),ROW(bhpc_data[sku])),""),ROWS($A$15:A81)+$B$3)),INDEX(bhpc_data[description],SMALL(IF(ISNUMBER(MATCH(bhpc_data[category],$EC$9,0)*MATCH(bhpc_data[size],$EC$13,0)),MATCH(ROW(bhpc_data[sku]),ROW(bhpc_data[sku])),""),ROWS($A$15:A81)+$B$3))),IF($EC$13="",INDEX(bhpc_data[description],SMALL(IF(ISNUMBER(MATCH(bhpc_data[category],$EC$9,0)*MATCH(bhpc_data[sex],$EC$11,0)),MATCH(ROW(bhpc_data[sku]),ROW(bhpc_data[sku])),""),ROWS($A$15:A81)+$B$3)),INDEX(bhpc_data[description],SMALL(IF(ISNUMBER(MATCH(bhpc_data[category],$EC$9,0)*MATCH(bhpc_data[sex],$EC$11,0)*MATCH(bhpc_data[size],$EC$13,0)),MATCH(ROW(bhpc_data[sku]),ROW(bhpc_data[sku])),""),ROWS($A$15:A81)+$B$3))))),"")</f>
        <v>BHPC 3PCS GIFT BOX WOMEN NO.8 50ML</v>
      </c>
      <c r="EG76" s="447">
        <f>IFERROR(IF('BHPC MANAGER'!$EE76="","",INDEX(inventory[ESISTENZA],MATCH('BHPC MANAGER'!$EE76,inventory[SKU],0))),0)</f>
        <v>0</v>
      </c>
      <c r="EH76" s="448" t="s">
        <v>861</v>
      </c>
      <c r="EI76" s="448">
        <f t="shared" si="14"/>
        <v>0</v>
      </c>
      <c r="EJ76" s="449" t="s">
        <v>861</v>
      </c>
      <c r="EK76" s="450">
        <f t="shared" si="15"/>
        <v>0</v>
      </c>
    </row>
    <row r="77" spans="59:141" ht="15" customHeight="1" x14ac:dyDescent="0.35">
      <c r="BG77" s="215"/>
      <c r="BK77" s="296"/>
      <c r="BL77" s="297"/>
      <c r="BM77" s="298"/>
      <c r="BN77" s="297"/>
      <c r="BO77" s="298"/>
      <c r="BZ77" s="414"/>
      <c r="CA77" s="401" t="str">
        <f>IFERROR(IF(BZ77="","",INDEX(bhpc_data[description],MATCH(BZ77,bhpc_data[sku],0))),"")</f>
        <v/>
      </c>
      <c r="CB77" s="403"/>
      <c r="CC77" s="886"/>
      <c r="CD77" s="415"/>
      <c r="CE77" s="891"/>
      <c r="CF77" s="404"/>
      <c r="CG77" s="405" t="str">
        <f>IFERROR(ROUNDUP(CB77/INDEX(bhpc_data[units_per_carton],MATCH(BZ77,bhpc_data[sku],0)),0),"")</f>
        <v/>
      </c>
      <c r="CH77" s="406" t="str">
        <f>IFERROR(ROUNDUP(CD77/INDEX(bhpc_data[units_per_carton],MATCH(BZ77,bhpc_data[sku],0)),0),"")</f>
        <v/>
      </c>
      <c r="CI77" s="406" t="str">
        <f>IFERROR(ROUNDUP(CF77/INDEX(bhpc_data[units_per_carton],MATCH(BZ77,bhpc_data[sku])),0),"")</f>
        <v/>
      </c>
      <c r="CJ77" s="406" t="str">
        <f>IFERROR(((CB77+CD77+CF77)/INDEX(bhpc_data[units_per_carton],MATCH(BZ77,bhpc_data[sku],0)))*INDEX(bhpc_data[net_weight],MATCH(BZ77,bhpc_data[sku],0)),"")</f>
        <v/>
      </c>
      <c r="CK77" s="406" t="str">
        <f>IFERROR(((CB77+CD77+CF77)/INDEX(bhpc_data[units_per_carton],MATCH(BZ77,bhpc_data[sku],0)))*INDEX(bhpc_data[gross_weight],MATCH(BZ77,bhpc_data[sku],0)),"")</f>
        <v/>
      </c>
      <c r="CL77" s="602" t="str">
        <f>IFERROR((CB77+CD77+CF77)/INDEX(bhpc_data[units_per_carton],MATCH(BZ77,bhpc_data[sku],0))*INDEX(bhpc_data[length],MATCH(BZ77,bhpc_data[sku],0))*INDEX(bhpc_data[width],MATCH(BZ77,bhpc_data[sku],0))*INDEX(bhpc_data[height],MATCH(BZ77,bhpc_data[sku],0))/1000000000,"")</f>
        <v/>
      </c>
      <c r="CM77" s="407" t="str">
        <f>IFERROR(INDEX(bhpc_data[category],MATCH(BZ77,bhpc_data[sku],0)),"")</f>
        <v/>
      </c>
      <c r="CN77" s="407" t="str">
        <f>IFERROR(INDEX(bhpc_data[size],MATCH(BZ77,bhpc_data[sku],0)),"")</f>
        <v/>
      </c>
      <c r="CO77" s="408" t="str">
        <f>IFERROR(INDEX(bhpc_data[hs_code],MATCH(BZ77,bhpc_data[sku],0)),"")</f>
        <v/>
      </c>
      <c r="CP77" s="489" t="str">
        <f>IFERROR(INDEX(bhpc_data[sku_geko],MATCH(BZ77,bhpc_data[sku],0)),"")</f>
        <v/>
      </c>
      <c r="CQ77" s="404"/>
      <c r="CR77" s="517" t="str">
        <f>IFERROR(IF(BZ77="","",IF($BX$15="SALE",INDEX(inventory[COSTO UNITARIO],MATCH(BZ77,inventory[SKU],0)),IF($BX$15="SAMPLING",INDEX(inventory[COSTO UNITARIO],MATCH(BZ77,inventory[SKU],0)),""))),"")</f>
        <v/>
      </c>
      <c r="CS77" s="517" t="str">
        <f t="shared" si="11"/>
        <v/>
      </c>
      <c r="CT77" s="896" t="str">
        <f t="shared" si="12"/>
        <v/>
      </c>
      <c r="CU77" s="469" t="str">
        <f t="shared" si="13"/>
        <v/>
      </c>
      <c r="DB77" s="280" t="str">
        <f>IFERROR(VLOOKUP(BZ77,bhpc_data[],22,FALSE),"")</f>
        <v/>
      </c>
      <c r="EE77" s="439" t="str" cm="1">
        <f t="array" ref="EE77">IFERROR(IF($EC$9="",IF($EC$11="",IF($EC$13="",INDEX(bhpc_data[sku],SMALL(MATCH(ROW(bhpc_data[sku]),ROW(bhpc_data[sku])),ROWS($A$15:A82)+$B$3)),INDEX(bhpc_data[sku],SMALL(IF(ISNUMBER(MATCH(bhpc_data[size],$EC$13,0)),MATCH(ROW(bhpc_data[sku]),ROW(bhpc_data[sku])),""),ROWS($A$15:A82)+$B$3))),IF($EC$13="",INDEX(bhpc_data[sku],SMALL(IF(ISNUMBER(MATCH(bhpc_data[sex],$EC$11,0)),MATCH(ROW(bhpc_data[sku]),ROW(bhpc_data[sku])),""),ROWS($A$15:A82)+$B$3)),INDEX(bhpc_data[sku],SMALL(IF(ISNUMBER(MATCH(bhpc_data[sex],$EC$11,0)*MATCH(bhpc_data[size],$EC$13,0)),MATCH(ROW(bhpc_data[sku]),ROW(bhpc_data[sku])),""),ROWS($A$15:A82)+$B$3)))),IF($EC$11="",IF($EC$13="",INDEX(bhpc_data[sku],SMALL(IF(ISNUMBER(MATCH(bhpc_data[category],$EC$9,0)),MATCH(ROW(bhpc_data[sku]),ROW(bhpc_data[sku])),""),ROWS($A$15:A82)+$B$3)),INDEX(bhpc_data[sku],SMALL(IF(ISNUMBER(MATCH(bhpc_data[category],$EC$9,0)*MATCH(bhpc_data[size],$EC$13,0)),MATCH(ROW(bhpc_data[sku]),ROW(bhpc_data[sku])),""),ROWS($A$15:A82)+$B$3))),IF($EC$13="",INDEX(bhpc_data[sku],SMALL(IF(ISNUMBER(MATCH(bhpc_data[category],$EC$9,0)*MATCH(bhpc_data[sex],$EC$11,0)),MATCH(ROW(bhpc_data[sku]),ROW(bhpc_data[sku])),""),ROWS($A$15:A82)+$B$3)),INDEX(bhpc_data[sku],SMALL(IF(ISNUMBER(MATCH(bhpc_data[category],$EC$9,0)*MATCH(bhpc_data[sex],$EC$11,0)*MATCH(bhpc_data[size],$EC$13,0)),MATCH(ROW(bhpc_data[sku]),ROW(bhpc_data[sku])),""),ROWS($A$15:A82)+$B$3))))),"")</f>
        <v>X07031</v>
      </c>
      <c r="EF77" s="440" t="str" cm="1">
        <f t="array" ref="EF77">IFERROR(IF($EC$9="",IF($EC$11="",IF($EC$13="",INDEX(bhpc_data[description],SMALL(MATCH(ROW(bhpc_data[sku]),ROW(bhpc_data[sku])),ROWS($A$15:A82)+$B$3)),INDEX(bhpc_data[description],SMALL(IF(ISNUMBER(MATCH(bhpc_data[size],$EC$13,0)),MATCH(ROW(bhpc_data[sku]),ROW(bhpc_data[sku])),""),ROWS($A$15:A82)+$B$3))),IF($EC$13="",INDEX(bhpc_data[description],SMALL(IF(ISNUMBER(MATCH(bhpc_data[sex],$EC$11,0)),MATCH(ROW(bhpc_data[sku]),ROW(bhpc_data[sku])),""),ROWS($A$15:A82)+$B$3)),INDEX(bhpc_data[description],SMALL(IF(ISNUMBER(MATCH(bhpc_data[sex],$EC$11,0)*MATCH(bhpc_data[size],$EC$13,0)),MATCH(ROW(bhpc_data[sku]),ROW(bhpc_data[sku])),""),ROWS($A$15:A82)+$B$3)))),IF($EC$11="",IF($EC$13="",INDEX(bhpc_data[description],SMALL(IF(ISNUMBER(MATCH(bhpc_data[category],$EC$9,0)),MATCH(ROW(bhpc_data[sku]),ROW(bhpc_data[sku])),""),ROWS($A$15:A82)+$B$3)),INDEX(bhpc_data[description],SMALL(IF(ISNUMBER(MATCH(bhpc_data[category],$EC$9,0)*MATCH(bhpc_data[size],$EC$13,0)),MATCH(ROW(bhpc_data[sku]),ROW(bhpc_data[sku])),""),ROWS($A$15:A82)+$B$3))),IF($EC$13="",INDEX(bhpc_data[description],SMALL(IF(ISNUMBER(MATCH(bhpc_data[category],$EC$9,0)*MATCH(bhpc_data[sex],$EC$11,0)),MATCH(ROW(bhpc_data[sku]),ROW(bhpc_data[sku])),""),ROWS($A$15:A82)+$B$3)),INDEX(bhpc_data[description],SMALL(IF(ISNUMBER(MATCH(bhpc_data[category],$EC$9,0)*MATCH(bhpc_data[sex],$EC$11,0)*MATCH(bhpc_data[size],$EC$13,0)),MATCH(ROW(bhpc_data[sku]),ROW(bhpc_data[sku])),""),ROWS($A$15:A82)+$B$3))))),"")</f>
        <v>BHPC 3PCS GIFT BOX WOMEN NO.2 50ML</v>
      </c>
      <c r="EG77" s="441">
        <f>IFERROR(IF('BHPC MANAGER'!$EE77="","",INDEX(inventory[ESISTENZA],MATCH('BHPC MANAGER'!$EE77,inventory[SKU],0))),0)</f>
        <v>0</v>
      </c>
      <c r="EH77" s="442" t="s">
        <v>861</v>
      </c>
      <c r="EI77" s="442">
        <f t="shared" si="14"/>
        <v>0</v>
      </c>
      <c r="EJ77" s="443" t="s">
        <v>861</v>
      </c>
      <c r="EK77" s="444">
        <f t="shared" si="15"/>
        <v>0</v>
      </c>
    </row>
    <row r="78" spans="59:141" ht="15" customHeight="1" x14ac:dyDescent="0.35">
      <c r="BG78" s="215"/>
      <c r="BK78" s="296"/>
      <c r="BL78" s="297"/>
      <c r="BM78" s="298"/>
      <c r="BN78" s="297"/>
      <c r="BO78" s="298"/>
      <c r="BZ78" s="414"/>
      <c r="CA78" s="401" t="str">
        <f>IFERROR(IF(BZ78="","",INDEX(bhpc_data[description],MATCH(BZ78,bhpc_data[sku],0))),"")</f>
        <v/>
      </c>
      <c r="CB78" s="403"/>
      <c r="CC78" s="886"/>
      <c r="CD78" s="415"/>
      <c r="CE78" s="891"/>
      <c r="CF78" s="404"/>
      <c r="CG78" s="405" t="str">
        <f>IFERROR(ROUNDUP(CB78/INDEX(bhpc_data[units_per_carton],MATCH(BZ78,bhpc_data[sku],0)),0),"")</f>
        <v/>
      </c>
      <c r="CH78" s="406" t="str">
        <f>IFERROR(ROUNDUP(CD78/INDEX(bhpc_data[units_per_carton],MATCH(BZ78,bhpc_data[sku],0)),0),"")</f>
        <v/>
      </c>
      <c r="CI78" s="406" t="str">
        <f>IFERROR(ROUNDUP(CF78/INDEX(bhpc_data[units_per_carton],MATCH(BZ78,bhpc_data[sku])),0),"")</f>
        <v/>
      </c>
      <c r="CJ78" s="406" t="str">
        <f>IFERROR(((CB78+CD78+CF78)/INDEX(bhpc_data[units_per_carton],MATCH(BZ78,bhpc_data[sku],0)))*INDEX(bhpc_data[net_weight],MATCH(BZ78,bhpc_data[sku],0)),"")</f>
        <v/>
      </c>
      <c r="CK78" s="406" t="str">
        <f>IFERROR(((CB78+CD78+CF78)/INDEX(bhpc_data[units_per_carton],MATCH(BZ78,bhpc_data[sku],0)))*INDEX(bhpc_data[gross_weight],MATCH(BZ78,bhpc_data[sku],0)),"")</f>
        <v/>
      </c>
      <c r="CL78" s="602" t="str">
        <f>IFERROR((CB78+CD78+CF78)/INDEX(bhpc_data[units_per_carton],MATCH(BZ78,bhpc_data[sku],0))*INDEX(bhpc_data[length],MATCH(BZ78,bhpc_data[sku],0))*INDEX(bhpc_data[width],MATCH(BZ78,bhpc_data[sku],0))*INDEX(bhpc_data[height],MATCH(BZ78,bhpc_data[sku],0))/1000000000,"")</f>
        <v/>
      </c>
      <c r="CM78" s="407" t="str">
        <f>IFERROR(INDEX(bhpc_data[category],MATCH(BZ78,bhpc_data[sku],0)),"")</f>
        <v/>
      </c>
      <c r="CN78" s="407" t="str">
        <f>IFERROR(INDEX(bhpc_data[size],MATCH(BZ78,bhpc_data[sku],0)),"")</f>
        <v/>
      </c>
      <c r="CO78" s="408" t="str">
        <f>IFERROR(INDEX(bhpc_data[hs_code],MATCH(BZ78,bhpc_data[sku],0)),"")</f>
        <v/>
      </c>
      <c r="CP78" s="489" t="str">
        <f>IFERROR(INDEX(bhpc_data[sku_geko],MATCH(BZ78,bhpc_data[sku],0)),"")</f>
        <v/>
      </c>
      <c r="CQ78" s="404"/>
      <c r="CR78" s="517" t="str">
        <f>IFERROR(IF(BZ78="","",IF($BX$15="SALE",INDEX(inventory[COSTO UNITARIO],MATCH(BZ78,inventory[SKU],0)),IF($BX$15="SAMPLING",INDEX(inventory[COSTO UNITARIO],MATCH(BZ78,inventory[SKU],0)),""))),"")</f>
        <v/>
      </c>
      <c r="CS78" s="517" t="str">
        <f t="shared" si="11"/>
        <v/>
      </c>
      <c r="CT78" s="896" t="str">
        <f t="shared" si="12"/>
        <v/>
      </c>
      <c r="CU78" s="469" t="str">
        <f t="shared" si="13"/>
        <v/>
      </c>
      <c r="DB78" s="280" t="str">
        <f>IFERROR(VLOOKUP(BZ78,bhpc_data[],22,FALSE),"")</f>
        <v/>
      </c>
      <c r="EE78" s="445" t="str" cm="1">
        <f t="array" ref="EE78">IFERROR(IF($EC$9="",IF($EC$11="",IF($EC$13="",INDEX(bhpc_data[sku],SMALL(MATCH(ROW(bhpc_data[sku]),ROW(bhpc_data[sku])),ROWS($A$15:A83)+$B$3)),INDEX(bhpc_data[sku],SMALL(IF(ISNUMBER(MATCH(bhpc_data[size],$EC$13,0)),MATCH(ROW(bhpc_data[sku]),ROW(bhpc_data[sku])),""),ROWS($A$15:A83)+$B$3))),IF($EC$13="",INDEX(bhpc_data[sku],SMALL(IF(ISNUMBER(MATCH(bhpc_data[sex],$EC$11,0)),MATCH(ROW(bhpc_data[sku]),ROW(bhpc_data[sku])),""),ROWS($A$15:A83)+$B$3)),INDEX(bhpc_data[sku],SMALL(IF(ISNUMBER(MATCH(bhpc_data[sex],$EC$11,0)*MATCH(bhpc_data[size],$EC$13,0)),MATCH(ROW(bhpc_data[sku]),ROW(bhpc_data[sku])),""),ROWS($A$15:A83)+$B$3)))),IF($EC$11="",IF($EC$13="",INDEX(bhpc_data[sku],SMALL(IF(ISNUMBER(MATCH(bhpc_data[category],$EC$9,0)),MATCH(ROW(bhpc_data[sku]),ROW(bhpc_data[sku])),""),ROWS($A$15:A83)+$B$3)),INDEX(bhpc_data[sku],SMALL(IF(ISNUMBER(MATCH(bhpc_data[category],$EC$9,0)*MATCH(bhpc_data[size],$EC$13,0)),MATCH(ROW(bhpc_data[sku]),ROW(bhpc_data[sku])),""),ROWS($A$15:A83)+$B$3))),IF($EC$13="",INDEX(bhpc_data[sku],SMALL(IF(ISNUMBER(MATCH(bhpc_data[category],$EC$9,0)*MATCH(bhpc_data[sex],$EC$11,0)),MATCH(ROW(bhpc_data[sku]),ROW(bhpc_data[sku])),""),ROWS($A$15:A83)+$B$3)),INDEX(bhpc_data[sku],SMALL(IF(ISNUMBER(MATCH(bhpc_data[category],$EC$9,0)*MATCH(bhpc_data[sex],$EC$11,0)*MATCH(bhpc_data[size],$EC$13,0)),MATCH(ROW(bhpc_data[sku]),ROW(bhpc_data[sku])),""),ROWS($A$15:A83)+$B$3))))),"")</f>
        <v>X05004</v>
      </c>
      <c r="EF78" s="446" t="str" cm="1">
        <f t="array" ref="EF78">IFERROR(IF($EC$9="",IF($EC$11="",IF($EC$13="",INDEX(bhpc_data[description],SMALL(MATCH(ROW(bhpc_data[sku]),ROW(bhpc_data[sku])),ROWS($A$15:A83)+$B$3)),INDEX(bhpc_data[description],SMALL(IF(ISNUMBER(MATCH(bhpc_data[size],$EC$13,0)),MATCH(ROW(bhpc_data[sku]),ROW(bhpc_data[sku])),""),ROWS($A$15:A83)+$B$3))),IF($EC$13="",INDEX(bhpc_data[description],SMALL(IF(ISNUMBER(MATCH(bhpc_data[sex],$EC$11,0)),MATCH(ROW(bhpc_data[sku]),ROW(bhpc_data[sku])),""),ROWS($A$15:A83)+$B$3)),INDEX(bhpc_data[description],SMALL(IF(ISNUMBER(MATCH(bhpc_data[sex],$EC$11,0)*MATCH(bhpc_data[size],$EC$13,0)),MATCH(ROW(bhpc_data[sku]),ROW(bhpc_data[sku])),""),ROWS($A$15:A83)+$B$3)))),IF($EC$11="",IF($EC$13="",INDEX(bhpc_data[description],SMALL(IF(ISNUMBER(MATCH(bhpc_data[category],$EC$9,0)),MATCH(ROW(bhpc_data[sku]),ROW(bhpc_data[sku])),""),ROWS($A$15:A83)+$B$3)),INDEX(bhpc_data[description],SMALL(IF(ISNUMBER(MATCH(bhpc_data[category],$EC$9,0)*MATCH(bhpc_data[size],$EC$13,0)),MATCH(ROW(bhpc_data[sku]),ROW(bhpc_data[sku])),""),ROWS($A$15:A83)+$B$3))),IF($EC$13="",INDEX(bhpc_data[description],SMALL(IF(ISNUMBER(MATCH(bhpc_data[category],$EC$9,0)*MATCH(bhpc_data[sex],$EC$11,0)),MATCH(ROW(bhpc_data[sku]),ROW(bhpc_data[sku])),""),ROWS($A$15:A83)+$B$3)),INDEX(bhpc_data[description],SMALL(IF(ISNUMBER(MATCH(bhpc_data[category],$EC$9,0)*MATCH(bhpc_data[sex],$EC$11,0)*MATCH(bhpc_data[size],$EC$13,0)),MATCH(ROW(bhpc_data[sku]),ROW(bhpc_data[sku])),""),ROWS($A$15:A83)+$B$3))))),"")</f>
        <v>BHPC GIFT BOX MEN NO.1 100ML</v>
      </c>
      <c r="EG78" s="447">
        <f>IFERROR(IF('BHPC MANAGER'!$EE78="","",INDEX(inventory[ESISTENZA],MATCH('BHPC MANAGER'!$EE78,inventory[SKU],0))),0)</f>
        <v>50</v>
      </c>
      <c r="EH78" s="448">
        <v>2</v>
      </c>
      <c r="EI78" s="448">
        <f t="shared" si="14"/>
        <v>52</v>
      </c>
      <c r="EJ78" s="449">
        <v>0</v>
      </c>
      <c r="EK78" s="450">
        <f t="shared" si="15"/>
        <v>52</v>
      </c>
    </row>
    <row r="79" spans="59:141" ht="15" customHeight="1" x14ac:dyDescent="0.35">
      <c r="BG79" s="215"/>
      <c r="BK79" s="296"/>
      <c r="BL79" s="297"/>
      <c r="BM79" s="298"/>
      <c r="BN79" s="297"/>
      <c r="BO79" s="298"/>
      <c r="BZ79" s="414"/>
      <c r="CA79" s="401" t="str">
        <f>IFERROR(IF(BZ79="","",INDEX(bhpc_data[description],MATCH(BZ79,bhpc_data[sku],0))),"")</f>
        <v/>
      </c>
      <c r="CB79" s="403"/>
      <c r="CC79" s="886"/>
      <c r="CD79" s="415"/>
      <c r="CE79" s="891"/>
      <c r="CF79" s="404"/>
      <c r="CG79" s="405" t="str">
        <f>IFERROR(ROUNDUP(CB79/INDEX(bhpc_data[units_per_carton],MATCH(BZ79,bhpc_data[sku],0)),0),"")</f>
        <v/>
      </c>
      <c r="CH79" s="406" t="str">
        <f>IFERROR(ROUNDUP(CD79/INDEX(bhpc_data[units_per_carton],MATCH(BZ79,bhpc_data[sku],0)),0),"")</f>
        <v/>
      </c>
      <c r="CI79" s="406" t="str">
        <f>IFERROR(ROUNDUP(CF79/INDEX(bhpc_data[units_per_carton],MATCH(BZ79,bhpc_data[sku])),0),"")</f>
        <v/>
      </c>
      <c r="CJ79" s="406" t="str">
        <f>IFERROR(((CB79+CD79+CF79)/INDEX(bhpc_data[units_per_carton],MATCH(BZ79,bhpc_data[sku],0)))*INDEX(bhpc_data[net_weight],MATCH(BZ79,bhpc_data[sku],0)),"")</f>
        <v/>
      </c>
      <c r="CK79" s="406" t="str">
        <f>IFERROR(((CB79+CD79+CF79)/INDEX(bhpc_data[units_per_carton],MATCH(BZ79,bhpc_data[sku],0)))*INDEX(bhpc_data[gross_weight],MATCH(BZ79,bhpc_data[sku],0)),"")</f>
        <v/>
      </c>
      <c r="CL79" s="602" t="str">
        <f>IFERROR((CB79+CD79+CF79)/INDEX(bhpc_data[units_per_carton],MATCH(BZ79,bhpc_data[sku],0))*INDEX(bhpc_data[length],MATCH(BZ79,bhpc_data[sku],0))*INDEX(bhpc_data[width],MATCH(BZ79,bhpc_data[sku],0))*INDEX(bhpc_data[height],MATCH(BZ79,bhpc_data[sku],0))/1000000000,"")</f>
        <v/>
      </c>
      <c r="CM79" s="407" t="str">
        <f>IFERROR(INDEX(bhpc_data[category],MATCH(BZ79,bhpc_data[sku],0)),"")</f>
        <v/>
      </c>
      <c r="CN79" s="407" t="str">
        <f>IFERROR(INDEX(bhpc_data[size],MATCH(BZ79,bhpc_data[sku],0)),"")</f>
        <v/>
      </c>
      <c r="CO79" s="408" t="str">
        <f>IFERROR(INDEX(bhpc_data[hs_code],MATCH(BZ79,bhpc_data[sku],0)),"")</f>
        <v/>
      </c>
      <c r="CP79" s="489" t="str">
        <f>IFERROR(INDEX(bhpc_data[sku_geko],MATCH(BZ79,bhpc_data[sku],0)),"")</f>
        <v/>
      </c>
      <c r="CQ79" s="404"/>
      <c r="CR79" s="517" t="str">
        <f>IFERROR(IF(BZ79="","",IF($BX$15="SALE",INDEX(inventory[COSTO UNITARIO],MATCH(BZ79,inventory[SKU],0)),IF($BX$15="SAMPLING",INDEX(inventory[COSTO UNITARIO],MATCH(BZ79,inventory[SKU],0)),""))),"")</f>
        <v/>
      </c>
      <c r="CS79" s="517" t="str">
        <f t="shared" si="11"/>
        <v/>
      </c>
      <c r="CT79" s="896" t="str">
        <f t="shared" si="12"/>
        <v/>
      </c>
      <c r="CU79" s="469" t="str">
        <f t="shared" si="13"/>
        <v/>
      </c>
      <c r="DB79" s="280" t="str">
        <f>IFERROR(VLOOKUP(BZ79,bhpc_data[],22,FALSE),"")</f>
        <v/>
      </c>
      <c r="EE79" s="439" t="str" cm="1">
        <f t="array" ref="EE79">IFERROR(IF($EC$9="",IF($EC$11="",IF($EC$13="",INDEX(bhpc_data[sku],SMALL(MATCH(ROW(bhpc_data[sku]),ROW(bhpc_data[sku])),ROWS($A$15:A84)+$B$3)),INDEX(bhpc_data[sku],SMALL(IF(ISNUMBER(MATCH(bhpc_data[size],$EC$13,0)),MATCH(ROW(bhpc_data[sku]),ROW(bhpc_data[sku])),""),ROWS($A$15:A84)+$B$3))),IF($EC$13="",INDEX(bhpc_data[sku],SMALL(IF(ISNUMBER(MATCH(bhpc_data[sex],$EC$11,0)),MATCH(ROW(bhpc_data[sku]),ROW(bhpc_data[sku])),""),ROWS($A$15:A84)+$B$3)),INDEX(bhpc_data[sku],SMALL(IF(ISNUMBER(MATCH(bhpc_data[sex],$EC$11,0)*MATCH(bhpc_data[size],$EC$13,0)),MATCH(ROW(bhpc_data[sku]),ROW(bhpc_data[sku])),""),ROWS($A$15:A84)+$B$3)))),IF($EC$11="",IF($EC$13="",INDEX(bhpc_data[sku],SMALL(IF(ISNUMBER(MATCH(bhpc_data[category],$EC$9,0)),MATCH(ROW(bhpc_data[sku]),ROW(bhpc_data[sku])),""),ROWS($A$15:A84)+$B$3)),INDEX(bhpc_data[sku],SMALL(IF(ISNUMBER(MATCH(bhpc_data[category],$EC$9,0)*MATCH(bhpc_data[size],$EC$13,0)),MATCH(ROW(bhpc_data[sku]),ROW(bhpc_data[sku])),""),ROWS($A$15:A84)+$B$3))),IF($EC$13="",INDEX(bhpc_data[sku],SMALL(IF(ISNUMBER(MATCH(bhpc_data[category],$EC$9,0)*MATCH(bhpc_data[sex],$EC$11,0)),MATCH(ROW(bhpc_data[sku]),ROW(bhpc_data[sku])),""),ROWS($A$15:A84)+$B$3)),INDEX(bhpc_data[sku],SMALL(IF(ISNUMBER(MATCH(bhpc_data[category],$EC$9,0)*MATCH(bhpc_data[sex],$EC$11,0)*MATCH(bhpc_data[size],$EC$13,0)),MATCH(ROW(bhpc_data[sku]),ROW(bhpc_data[sku])),""),ROWS($A$15:A84)+$B$3))))),"")</f>
        <v>X05005</v>
      </c>
      <c r="EF79" s="440" t="str" cm="1">
        <f t="array" ref="EF79">IFERROR(IF($EC$9="",IF($EC$11="",IF($EC$13="",INDEX(bhpc_data[description],SMALL(MATCH(ROW(bhpc_data[sku]),ROW(bhpc_data[sku])),ROWS($A$15:A84)+$B$3)),INDEX(bhpc_data[description],SMALL(IF(ISNUMBER(MATCH(bhpc_data[size],$EC$13,0)),MATCH(ROW(bhpc_data[sku]),ROW(bhpc_data[sku])),""),ROWS($A$15:A84)+$B$3))),IF($EC$13="",INDEX(bhpc_data[description],SMALL(IF(ISNUMBER(MATCH(bhpc_data[sex],$EC$11,0)),MATCH(ROW(bhpc_data[sku]),ROW(bhpc_data[sku])),""),ROWS($A$15:A84)+$B$3)),INDEX(bhpc_data[description],SMALL(IF(ISNUMBER(MATCH(bhpc_data[sex],$EC$11,0)*MATCH(bhpc_data[size],$EC$13,0)),MATCH(ROW(bhpc_data[sku]),ROW(bhpc_data[sku])),""),ROWS($A$15:A84)+$B$3)))),IF($EC$11="",IF($EC$13="",INDEX(bhpc_data[description],SMALL(IF(ISNUMBER(MATCH(bhpc_data[category],$EC$9,0)),MATCH(ROW(bhpc_data[sku]),ROW(bhpc_data[sku])),""),ROWS($A$15:A84)+$B$3)),INDEX(bhpc_data[description],SMALL(IF(ISNUMBER(MATCH(bhpc_data[category],$EC$9,0)*MATCH(bhpc_data[size],$EC$13,0)),MATCH(ROW(bhpc_data[sku]),ROW(bhpc_data[sku])),""),ROWS($A$15:A84)+$B$3))),IF($EC$13="",INDEX(bhpc_data[description],SMALL(IF(ISNUMBER(MATCH(bhpc_data[category],$EC$9,0)*MATCH(bhpc_data[sex],$EC$11,0)),MATCH(ROW(bhpc_data[sku]),ROW(bhpc_data[sku])),""),ROWS($A$15:A84)+$B$3)),INDEX(bhpc_data[description],SMALL(IF(ISNUMBER(MATCH(bhpc_data[category],$EC$9,0)*MATCH(bhpc_data[sex],$EC$11,0)*MATCH(bhpc_data[size],$EC$13,0)),MATCH(ROW(bhpc_data[sku]),ROW(bhpc_data[sku])),""),ROWS($A$15:A84)+$B$3))))),"")</f>
        <v>BHPC GIFT BOX MEN NO.9 100ML</v>
      </c>
      <c r="EG79" s="441">
        <f>IFERROR(IF('BHPC MANAGER'!$EE79="","",INDEX(inventory[ESISTENZA],MATCH('BHPC MANAGER'!$EE79,inventory[SKU],0))),0)</f>
        <v>50</v>
      </c>
      <c r="EH79" s="442">
        <v>2</v>
      </c>
      <c r="EI79" s="442">
        <f t="shared" si="14"/>
        <v>52</v>
      </c>
      <c r="EJ79" s="443">
        <v>0</v>
      </c>
      <c r="EK79" s="444">
        <f t="shared" si="15"/>
        <v>52</v>
      </c>
    </row>
    <row r="80" spans="59:141" ht="15" customHeight="1" x14ac:dyDescent="0.35">
      <c r="BG80" s="215"/>
      <c r="BK80" s="296"/>
      <c r="BL80" s="297"/>
      <c r="BM80" s="298"/>
      <c r="BN80" s="297"/>
      <c r="BO80" s="298"/>
      <c r="BZ80" s="414"/>
      <c r="CA80" s="401" t="str">
        <f>IFERROR(IF(BZ80="","",INDEX(bhpc_data[description],MATCH(BZ80,bhpc_data[sku],0))),"")</f>
        <v/>
      </c>
      <c r="CB80" s="403"/>
      <c r="CC80" s="886"/>
      <c r="CD80" s="415"/>
      <c r="CE80" s="891"/>
      <c r="CF80" s="404"/>
      <c r="CG80" s="405" t="str">
        <f>IFERROR(ROUNDUP(CB80/INDEX(bhpc_data[units_per_carton],MATCH(BZ80,bhpc_data[sku],0)),0),"")</f>
        <v/>
      </c>
      <c r="CH80" s="406" t="str">
        <f>IFERROR(ROUNDUP(CD80/INDEX(bhpc_data[units_per_carton],MATCH(BZ80,bhpc_data[sku],0)),0),"")</f>
        <v/>
      </c>
      <c r="CI80" s="406" t="str">
        <f>IFERROR(ROUNDUP(CF80/INDEX(bhpc_data[units_per_carton],MATCH(BZ80,bhpc_data[sku])),0),"")</f>
        <v/>
      </c>
      <c r="CJ80" s="406" t="str">
        <f>IFERROR(((CB80+CD80+CF80)/INDEX(bhpc_data[units_per_carton],MATCH(BZ80,bhpc_data[sku],0)))*INDEX(bhpc_data[net_weight],MATCH(BZ80,bhpc_data[sku],0)),"")</f>
        <v/>
      </c>
      <c r="CK80" s="406" t="str">
        <f>IFERROR(((CB80+CD80+CF80)/INDEX(bhpc_data[units_per_carton],MATCH(BZ80,bhpc_data[sku],0)))*INDEX(bhpc_data[gross_weight],MATCH(BZ80,bhpc_data[sku],0)),"")</f>
        <v/>
      </c>
      <c r="CL80" s="602" t="str">
        <f>IFERROR((CB80+CD80+CF80)/INDEX(bhpc_data[units_per_carton],MATCH(BZ80,bhpc_data[sku],0))*INDEX(bhpc_data[length],MATCH(BZ80,bhpc_data[sku],0))*INDEX(bhpc_data[width],MATCH(BZ80,bhpc_data[sku],0))*INDEX(bhpc_data[height],MATCH(BZ80,bhpc_data[sku],0))/1000000000,"")</f>
        <v/>
      </c>
      <c r="CM80" s="407" t="str">
        <f>IFERROR(INDEX(bhpc_data[category],MATCH(BZ80,bhpc_data[sku],0)),"")</f>
        <v/>
      </c>
      <c r="CN80" s="407" t="str">
        <f>IFERROR(INDEX(bhpc_data[size],MATCH(BZ80,bhpc_data[sku],0)),"")</f>
        <v/>
      </c>
      <c r="CO80" s="408" t="str">
        <f>IFERROR(INDEX(bhpc_data[hs_code],MATCH(BZ80,bhpc_data[sku],0)),"")</f>
        <v/>
      </c>
      <c r="CP80" s="489" t="str">
        <f>IFERROR(INDEX(bhpc_data[sku_geko],MATCH(BZ80,bhpc_data[sku],0)),"")</f>
        <v/>
      </c>
      <c r="CQ80" s="404"/>
      <c r="CR80" s="517" t="str">
        <f>IFERROR(IF(BZ80="","",IF($BX$15="SALE",INDEX(inventory[COSTO UNITARIO],MATCH(BZ80,inventory[SKU],0)),IF($BX$15="SAMPLING",INDEX(inventory[COSTO UNITARIO],MATCH(BZ80,inventory[SKU],0)),""))),"")</f>
        <v/>
      </c>
      <c r="CS80" s="517" t="str">
        <f t="shared" si="11"/>
        <v/>
      </c>
      <c r="CT80" s="896" t="str">
        <f t="shared" si="12"/>
        <v/>
      </c>
      <c r="CU80" s="469" t="str">
        <f t="shared" si="13"/>
        <v/>
      </c>
      <c r="DB80" s="280" t="str">
        <f>IFERROR(VLOOKUP(BZ80,bhpc_data[],22,FALSE),"")</f>
        <v/>
      </c>
      <c r="EE80" s="445" t="str" cm="1">
        <f t="array" ref="EE80">IFERROR(IF($EC$9="",IF($EC$11="",IF($EC$13="",INDEX(bhpc_data[sku],SMALL(MATCH(ROW(bhpc_data[sku]),ROW(bhpc_data[sku])),ROWS($A$15:A85)+$B$3)),INDEX(bhpc_data[sku],SMALL(IF(ISNUMBER(MATCH(bhpc_data[size],$EC$13,0)),MATCH(ROW(bhpc_data[sku]),ROW(bhpc_data[sku])),""),ROWS($A$15:A85)+$B$3))),IF($EC$13="",INDEX(bhpc_data[sku],SMALL(IF(ISNUMBER(MATCH(bhpc_data[sex],$EC$11,0)),MATCH(ROW(bhpc_data[sku]),ROW(bhpc_data[sku])),""),ROWS($A$15:A85)+$B$3)),INDEX(bhpc_data[sku],SMALL(IF(ISNUMBER(MATCH(bhpc_data[sex],$EC$11,0)*MATCH(bhpc_data[size],$EC$13,0)),MATCH(ROW(bhpc_data[sku]),ROW(bhpc_data[sku])),""),ROWS($A$15:A85)+$B$3)))),IF($EC$11="",IF($EC$13="",INDEX(bhpc_data[sku],SMALL(IF(ISNUMBER(MATCH(bhpc_data[category],$EC$9,0)),MATCH(ROW(bhpc_data[sku]),ROW(bhpc_data[sku])),""),ROWS($A$15:A85)+$B$3)),INDEX(bhpc_data[sku],SMALL(IF(ISNUMBER(MATCH(bhpc_data[category],$EC$9,0)*MATCH(bhpc_data[size],$EC$13,0)),MATCH(ROW(bhpc_data[sku]),ROW(bhpc_data[sku])),""),ROWS($A$15:A85)+$B$3))),IF($EC$13="",INDEX(bhpc_data[sku],SMALL(IF(ISNUMBER(MATCH(bhpc_data[category],$EC$9,0)*MATCH(bhpc_data[sex],$EC$11,0)),MATCH(ROW(bhpc_data[sku]),ROW(bhpc_data[sku])),""),ROWS($A$15:A85)+$B$3)),INDEX(bhpc_data[sku],SMALL(IF(ISNUMBER(MATCH(bhpc_data[category],$EC$9,0)*MATCH(bhpc_data[sex],$EC$11,0)*MATCH(bhpc_data[size],$EC$13,0)),MATCH(ROW(bhpc_data[sku]),ROW(bhpc_data[sku])),""),ROWS($A$15:A85)+$B$3))))),"")</f>
        <v>X05006</v>
      </c>
      <c r="EF80" s="446" t="str" cm="1">
        <f t="array" ref="EF80">IFERROR(IF($EC$9="",IF($EC$11="",IF($EC$13="",INDEX(bhpc_data[description],SMALL(MATCH(ROW(bhpc_data[sku]),ROW(bhpc_data[sku])),ROWS($A$15:A85)+$B$3)),INDEX(bhpc_data[description],SMALL(IF(ISNUMBER(MATCH(bhpc_data[size],$EC$13,0)),MATCH(ROW(bhpc_data[sku]),ROW(bhpc_data[sku])),""),ROWS($A$15:A85)+$B$3))),IF($EC$13="",INDEX(bhpc_data[description],SMALL(IF(ISNUMBER(MATCH(bhpc_data[sex],$EC$11,0)),MATCH(ROW(bhpc_data[sku]),ROW(bhpc_data[sku])),""),ROWS($A$15:A85)+$B$3)),INDEX(bhpc_data[description],SMALL(IF(ISNUMBER(MATCH(bhpc_data[sex],$EC$11,0)*MATCH(bhpc_data[size],$EC$13,0)),MATCH(ROW(bhpc_data[sku]),ROW(bhpc_data[sku])),""),ROWS($A$15:A85)+$B$3)))),IF($EC$11="",IF($EC$13="",INDEX(bhpc_data[description],SMALL(IF(ISNUMBER(MATCH(bhpc_data[category],$EC$9,0)),MATCH(ROW(bhpc_data[sku]),ROW(bhpc_data[sku])),""),ROWS($A$15:A85)+$B$3)),INDEX(bhpc_data[description],SMALL(IF(ISNUMBER(MATCH(bhpc_data[category],$EC$9,0)*MATCH(bhpc_data[size],$EC$13,0)),MATCH(ROW(bhpc_data[sku]),ROW(bhpc_data[sku])),""),ROWS($A$15:A85)+$B$3))),IF($EC$13="",INDEX(bhpc_data[description],SMALL(IF(ISNUMBER(MATCH(bhpc_data[category],$EC$9,0)*MATCH(bhpc_data[sex],$EC$11,0)),MATCH(ROW(bhpc_data[sku]),ROW(bhpc_data[sku])),""),ROWS($A$15:A85)+$B$3)),INDEX(bhpc_data[description],SMALL(IF(ISNUMBER(MATCH(bhpc_data[category],$EC$9,0)*MATCH(bhpc_data[sex],$EC$11,0)*MATCH(bhpc_data[size],$EC$13,0)),MATCH(ROW(bhpc_data[sku]),ROW(bhpc_data[sku])),""),ROWS($A$15:A85)+$B$3))))),"")</f>
        <v>BHPC GIFT BOX MEN NO.8 100ML</v>
      </c>
      <c r="EG80" s="447">
        <f>IFERROR(IF('BHPC MANAGER'!$EE80="","",INDEX(inventory[ESISTENZA],MATCH('BHPC MANAGER'!$EE80,inventory[SKU],0))),0)</f>
        <v>50</v>
      </c>
      <c r="EH80" s="448">
        <v>-4</v>
      </c>
      <c r="EI80" s="448">
        <f t="shared" si="14"/>
        <v>46</v>
      </c>
      <c r="EJ80" s="449">
        <v>0</v>
      </c>
      <c r="EK80" s="450">
        <f t="shared" si="15"/>
        <v>46</v>
      </c>
    </row>
    <row r="81" spans="59:141" ht="15" customHeight="1" x14ac:dyDescent="0.35">
      <c r="BG81" s="215"/>
      <c r="BK81" s="296"/>
      <c r="BL81" s="297"/>
      <c r="BM81" s="298"/>
      <c r="BN81" s="297"/>
      <c r="BO81" s="298"/>
      <c r="BZ81" s="414"/>
      <c r="CA81" s="401" t="str">
        <f>IFERROR(IF(BZ81="","",INDEX(bhpc_data[description],MATCH(BZ81,bhpc_data[sku],0))),"")</f>
        <v/>
      </c>
      <c r="CB81" s="403"/>
      <c r="CC81" s="886"/>
      <c r="CD81" s="415"/>
      <c r="CE81" s="891"/>
      <c r="CF81" s="404"/>
      <c r="CG81" s="405" t="str">
        <f>IFERROR(ROUNDUP(CB81/INDEX(bhpc_data[units_per_carton],MATCH(BZ81,bhpc_data[sku],0)),0),"")</f>
        <v/>
      </c>
      <c r="CH81" s="406" t="str">
        <f>IFERROR(ROUNDUP(CD81/INDEX(bhpc_data[units_per_carton],MATCH(BZ81,bhpc_data[sku],0)),0),"")</f>
        <v/>
      </c>
      <c r="CI81" s="406" t="str">
        <f>IFERROR(ROUNDUP(CF81/INDEX(bhpc_data[units_per_carton],MATCH(BZ81,bhpc_data[sku])),0),"")</f>
        <v/>
      </c>
      <c r="CJ81" s="406" t="str">
        <f>IFERROR(((CB81+CD81+CF81)/INDEX(bhpc_data[units_per_carton],MATCH(BZ81,bhpc_data[sku],0)))*INDEX(bhpc_data[net_weight],MATCH(BZ81,bhpc_data[sku],0)),"")</f>
        <v/>
      </c>
      <c r="CK81" s="406" t="str">
        <f>IFERROR(((CB81+CD81+CF81)/INDEX(bhpc_data[units_per_carton],MATCH(BZ81,bhpc_data[sku],0)))*INDEX(bhpc_data[gross_weight],MATCH(BZ81,bhpc_data[sku],0)),"")</f>
        <v/>
      </c>
      <c r="CL81" s="602" t="str">
        <f>IFERROR((CB81+CD81+CF81)/INDEX(bhpc_data[units_per_carton],MATCH(BZ81,bhpc_data[sku],0))*INDEX(bhpc_data[length],MATCH(BZ81,bhpc_data[sku],0))*INDEX(bhpc_data[width],MATCH(BZ81,bhpc_data[sku],0))*INDEX(bhpc_data[height],MATCH(BZ81,bhpc_data[sku],0))/1000000000,"")</f>
        <v/>
      </c>
      <c r="CM81" s="407" t="str">
        <f>IFERROR(INDEX(bhpc_data[category],MATCH(BZ81,bhpc_data[sku],0)),"")</f>
        <v/>
      </c>
      <c r="CN81" s="407" t="str">
        <f>IFERROR(INDEX(bhpc_data[size],MATCH(BZ81,bhpc_data[sku],0)),"")</f>
        <v/>
      </c>
      <c r="CO81" s="408" t="str">
        <f>IFERROR(INDEX(bhpc_data[hs_code],MATCH(BZ81,bhpc_data[sku],0)),"")</f>
        <v/>
      </c>
      <c r="CP81" s="489" t="str">
        <f>IFERROR(INDEX(bhpc_data[sku_geko],MATCH(BZ81,bhpc_data[sku],0)),"")</f>
        <v/>
      </c>
      <c r="CQ81" s="404"/>
      <c r="CR81" s="517" t="str">
        <f>IFERROR(IF(BZ81="","",IF($BX$15="SALE",INDEX(inventory[COSTO UNITARIO],MATCH(BZ81,inventory[SKU],0)),IF($BX$15="SAMPLING",INDEX(inventory[COSTO UNITARIO],MATCH(BZ81,inventory[SKU],0)),""))),"")</f>
        <v/>
      </c>
      <c r="CS81" s="517" t="str">
        <f t="shared" si="11"/>
        <v/>
      </c>
      <c r="CT81" s="896" t="str">
        <f t="shared" si="12"/>
        <v/>
      </c>
      <c r="CU81" s="469" t="str">
        <f t="shared" si="13"/>
        <v/>
      </c>
      <c r="DB81" s="280" t="str">
        <f>IFERROR(VLOOKUP(BZ81,bhpc_data[],22,FALSE),"")</f>
        <v/>
      </c>
      <c r="EE81" s="439" t="str" cm="1">
        <f t="array" ref="EE81">IFERROR(IF($EC$9="",IF($EC$11="",IF($EC$13="",INDEX(bhpc_data[sku],SMALL(MATCH(ROW(bhpc_data[sku]),ROW(bhpc_data[sku])),ROWS($A$15:A86)+$B$3)),INDEX(bhpc_data[sku],SMALL(IF(ISNUMBER(MATCH(bhpc_data[size],$EC$13,0)),MATCH(ROW(bhpc_data[sku]),ROW(bhpc_data[sku])),""),ROWS($A$15:A86)+$B$3))),IF($EC$13="",INDEX(bhpc_data[sku],SMALL(IF(ISNUMBER(MATCH(bhpc_data[sex],$EC$11,0)),MATCH(ROW(bhpc_data[sku]),ROW(bhpc_data[sku])),""),ROWS($A$15:A86)+$B$3)),INDEX(bhpc_data[sku],SMALL(IF(ISNUMBER(MATCH(bhpc_data[sex],$EC$11,0)*MATCH(bhpc_data[size],$EC$13,0)),MATCH(ROW(bhpc_data[sku]),ROW(bhpc_data[sku])),""),ROWS($A$15:A86)+$B$3)))),IF($EC$11="",IF($EC$13="",INDEX(bhpc_data[sku],SMALL(IF(ISNUMBER(MATCH(bhpc_data[category],$EC$9,0)),MATCH(ROW(bhpc_data[sku]),ROW(bhpc_data[sku])),""),ROWS($A$15:A86)+$B$3)),INDEX(bhpc_data[sku],SMALL(IF(ISNUMBER(MATCH(bhpc_data[category],$EC$9,0)*MATCH(bhpc_data[size],$EC$13,0)),MATCH(ROW(bhpc_data[sku]),ROW(bhpc_data[sku])),""),ROWS($A$15:A86)+$B$3))),IF($EC$13="",INDEX(bhpc_data[sku],SMALL(IF(ISNUMBER(MATCH(bhpc_data[category],$EC$9,0)*MATCH(bhpc_data[sex],$EC$11,0)),MATCH(ROW(bhpc_data[sku]),ROW(bhpc_data[sku])),""),ROWS($A$15:A86)+$B$3)),INDEX(bhpc_data[sku],SMALL(IF(ISNUMBER(MATCH(bhpc_data[category],$EC$9,0)*MATCH(bhpc_data[sex],$EC$11,0)*MATCH(bhpc_data[size],$EC$13,0)),MATCH(ROW(bhpc_data[sku]),ROW(bhpc_data[sku])),""),ROWS($A$15:A86)+$B$3))))),"")</f>
        <v>X05007</v>
      </c>
      <c r="EF81" s="440" t="str" cm="1">
        <f t="array" ref="EF81">IFERROR(IF($EC$9="",IF($EC$11="",IF($EC$13="",INDEX(bhpc_data[description],SMALL(MATCH(ROW(bhpc_data[sku]),ROW(bhpc_data[sku])),ROWS($A$15:A86)+$B$3)),INDEX(bhpc_data[description],SMALL(IF(ISNUMBER(MATCH(bhpc_data[size],$EC$13,0)),MATCH(ROW(bhpc_data[sku]),ROW(bhpc_data[sku])),""),ROWS($A$15:A86)+$B$3))),IF($EC$13="",INDEX(bhpc_data[description],SMALL(IF(ISNUMBER(MATCH(bhpc_data[sex],$EC$11,0)),MATCH(ROW(bhpc_data[sku]),ROW(bhpc_data[sku])),""),ROWS($A$15:A86)+$B$3)),INDEX(bhpc_data[description],SMALL(IF(ISNUMBER(MATCH(bhpc_data[sex],$EC$11,0)*MATCH(bhpc_data[size],$EC$13,0)),MATCH(ROW(bhpc_data[sku]),ROW(bhpc_data[sku])),""),ROWS($A$15:A86)+$B$3)))),IF($EC$11="",IF($EC$13="",INDEX(bhpc_data[description],SMALL(IF(ISNUMBER(MATCH(bhpc_data[category],$EC$9,0)),MATCH(ROW(bhpc_data[sku]),ROW(bhpc_data[sku])),""),ROWS($A$15:A86)+$B$3)),INDEX(bhpc_data[description],SMALL(IF(ISNUMBER(MATCH(bhpc_data[category],$EC$9,0)*MATCH(bhpc_data[size],$EC$13,0)),MATCH(ROW(bhpc_data[sku]),ROW(bhpc_data[sku])),""),ROWS($A$15:A86)+$B$3))),IF($EC$13="",INDEX(bhpc_data[description],SMALL(IF(ISNUMBER(MATCH(bhpc_data[category],$EC$9,0)*MATCH(bhpc_data[sex],$EC$11,0)),MATCH(ROW(bhpc_data[sku]),ROW(bhpc_data[sku])),""),ROWS($A$15:A86)+$B$3)),INDEX(bhpc_data[description],SMALL(IF(ISNUMBER(MATCH(bhpc_data[category],$EC$9,0)*MATCH(bhpc_data[sex],$EC$11,0)*MATCH(bhpc_data[size],$EC$13,0)),MATCH(ROW(bhpc_data[sku]),ROW(bhpc_data[sku])),""),ROWS($A$15:A86)+$B$3))))),"")</f>
        <v>BHPC GIFT BOX MEN NO.2 100ML</v>
      </c>
      <c r="EG81" s="441">
        <f>IFERROR(IF('BHPC MANAGER'!$EE81="","",INDEX(inventory[ESISTENZA],MATCH('BHPC MANAGER'!$EE81,inventory[SKU],0))),0)</f>
        <v>50</v>
      </c>
      <c r="EH81" s="442">
        <v>2</v>
      </c>
      <c r="EI81" s="442">
        <f t="shared" si="14"/>
        <v>52</v>
      </c>
      <c r="EJ81" s="443">
        <v>0</v>
      </c>
      <c r="EK81" s="444">
        <f t="shared" si="15"/>
        <v>52</v>
      </c>
    </row>
    <row r="82" spans="59:141" ht="15" customHeight="1" x14ac:dyDescent="0.35">
      <c r="BG82" s="215"/>
      <c r="BK82" s="296"/>
      <c r="BL82" s="297"/>
      <c r="BM82" s="298"/>
      <c r="BN82" s="297"/>
      <c r="BO82" s="298"/>
      <c r="BZ82" s="414"/>
      <c r="CA82" s="401" t="str">
        <f>IFERROR(IF(BZ82="","",INDEX(bhpc_data[description],MATCH(BZ82,bhpc_data[sku],0))),"")</f>
        <v/>
      </c>
      <c r="CB82" s="403"/>
      <c r="CC82" s="886"/>
      <c r="CD82" s="415"/>
      <c r="CE82" s="891"/>
      <c r="CF82" s="404"/>
      <c r="CG82" s="405" t="str">
        <f>IFERROR(ROUNDUP(CB82/INDEX(bhpc_data[units_per_carton],MATCH(BZ82,bhpc_data[sku],0)),0),"")</f>
        <v/>
      </c>
      <c r="CH82" s="406" t="str">
        <f>IFERROR(ROUNDUP(CD82/INDEX(bhpc_data[units_per_carton],MATCH(BZ82,bhpc_data[sku],0)),0),"")</f>
        <v/>
      </c>
      <c r="CI82" s="406" t="str">
        <f>IFERROR(ROUNDUP(CF82/INDEX(bhpc_data[units_per_carton],MATCH(BZ82,bhpc_data[sku])),0),"")</f>
        <v/>
      </c>
      <c r="CJ82" s="406" t="str">
        <f>IFERROR(((CB82+CD82+CF82)/INDEX(bhpc_data[units_per_carton],MATCH(BZ82,bhpc_data[sku],0)))*INDEX(bhpc_data[net_weight],MATCH(BZ82,bhpc_data[sku],0)),"")</f>
        <v/>
      </c>
      <c r="CK82" s="406" t="str">
        <f>IFERROR(((CB82+CD82+CF82)/INDEX(bhpc_data[units_per_carton],MATCH(BZ82,bhpc_data[sku],0)))*INDEX(bhpc_data[gross_weight],MATCH(BZ82,bhpc_data[sku],0)),"")</f>
        <v/>
      </c>
      <c r="CL82" s="602" t="str">
        <f>IFERROR((CB82+CD82+CF82)/INDEX(bhpc_data[units_per_carton],MATCH(BZ82,bhpc_data[sku],0))*INDEX(bhpc_data[length],MATCH(BZ82,bhpc_data[sku],0))*INDEX(bhpc_data[width],MATCH(BZ82,bhpc_data[sku],0))*INDEX(bhpc_data[height],MATCH(BZ82,bhpc_data[sku],0))/1000000000,"")</f>
        <v/>
      </c>
      <c r="CM82" s="407" t="str">
        <f>IFERROR(INDEX(bhpc_data[category],MATCH(BZ82,bhpc_data[sku],0)),"")</f>
        <v/>
      </c>
      <c r="CN82" s="407" t="str">
        <f>IFERROR(INDEX(bhpc_data[size],MATCH(BZ82,bhpc_data[sku],0)),"")</f>
        <v/>
      </c>
      <c r="CO82" s="408" t="str">
        <f>IFERROR(INDEX(bhpc_data[hs_code],MATCH(BZ82,bhpc_data[sku],0)),"")</f>
        <v/>
      </c>
      <c r="CP82" s="489" t="str">
        <f>IFERROR(INDEX(bhpc_data[sku_geko],MATCH(BZ82,bhpc_data[sku],0)),"")</f>
        <v/>
      </c>
      <c r="CQ82" s="404"/>
      <c r="CR82" s="517" t="str">
        <f>IFERROR(IF(BZ82="","",IF($BX$15="SALE",INDEX(inventory[COSTO UNITARIO],MATCH(BZ82,inventory[SKU],0)),IF($BX$15="SAMPLING",INDEX(inventory[COSTO UNITARIO],MATCH(BZ82,inventory[SKU],0)),""))),"")</f>
        <v/>
      </c>
      <c r="CS82" s="517" t="str">
        <f t="shared" si="11"/>
        <v/>
      </c>
      <c r="CT82" s="896" t="str">
        <f t="shared" si="12"/>
        <v/>
      </c>
      <c r="CU82" s="469" t="str">
        <f t="shared" si="13"/>
        <v/>
      </c>
      <c r="DB82" s="280" t="str">
        <f>IFERROR(VLOOKUP(BZ82,bhpc_data[],22,FALSE),"")</f>
        <v/>
      </c>
      <c r="EE82" s="445" t="str" cm="1">
        <f t="array" ref="EE82">IFERROR(IF($EC$9="",IF($EC$11="",IF($EC$13="",INDEX(bhpc_data[sku],SMALL(MATCH(ROW(bhpc_data[sku]),ROW(bhpc_data[sku])),ROWS($A$15:A87)+$B$3)),INDEX(bhpc_data[sku],SMALL(IF(ISNUMBER(MATCH(bhpc_data[size],$EC$13,0)),MATCH(ROW(bhpc_data[sku]),ROW(bhpc_data[sku])),""),ROWS($A$15:A87)+$B$3))),IF($EC$13="",INDEX(bhpc_data[sku],SMALL(IF(ISNUMBER(MATCH(bhpc_data[sex],$EC$11,0)),MATCH(ROW(bhpc_data[sku]),ROW(bhpc_data[sku])),""),ROWS($A$15:A87)+$B$3)),INDEX(bhpc_data[sku],SMALL(IF(ISNUMBER(MATCH(bhpc_data[sex],$EC$11,0)*MATCH(bhpc_data[size],$EC$13,0)),MATCH(ROW(bhpc_data[sku]),ROW(bhpc_data[sku])),""),ROWS($A$15:A87)+$B$3)))),IF($EC$11="",IF($EC$13="",INDEX(bhpc_data[sku],SMALL(IF(ISNUMBER(MATCH(bhpc_data[category],$EC$9,0)),MATCH(ROW(bhpc_data[sku]),ROW(bhpc_data[sku])),""),ROWS($A$15:A87)+$B$3)),INDEX(bhpc_data[sku],SMALL(IF(ISNUMBER(MATCH(bhpc_data[category],$EC$9,0)*MATCH(bhpc_data[size],$EC$13,0)),MATCH(ROW(bhpc_data[sku]),ROW(bhpc_data[sku])),""),ROWS($A$15:A87)+$B$3))),IF($EC$13="",INDEX(bhpc_data[sku],SMALL(IF(ISNUMBER(MATCH(bhpc_data[category],$EC$9,0)*MATCH(bhpc_data[sex],$EC$11,0)),MATCH(ROW(bhpc_data[sku]),ROW(bhpc_data[sku])),""),ROWS($A$15:A87)+$B$3)),INDEX(bhpc_data[sku],SMALL(IF(ISNUMBER(MATCH(bhpc_data[category],$EC$9,0)*MATCH(bhpc_data[sex],$EC$11,0)*MATCH(bhpc_data[size],$EC$13,0)),MATCH(ROW(bhpc_data[sku]),ROW(bhpc_data[sku])),""),ROWS($A$15:A87)+$B$3))))),"")</f>
        <v>X05050</v>
      </c>
      <c r="EF82" s="446" t="str" cm="1">
        <f t="array" ref="EF82">IFERROR(IF($EC$9="",IF($EC$11="",IF($EC$13="",INDEX(bhpc_data[description],SMALL(MATCH(ROW(bhpc_data[sku]),ROW(bhpc_data[sku])),ROWS($A$15:A87)+$B$3)),INDEX(bhpc_data[description],SMALL(IF(ISNUMBER(MATCH(bhpc_data[size],$EC$13,0)),MATCH(ROW(bhpc_data[sku]),ROW(bhpc_data[sku])),""),ROWS($A$15:A87)+$B$3))),IF($EC$13="",INDEX(bhpc_data[description],SMALL(IF(ISNUMBER(MATCH(bhpc_data[sex],$EC$11,0)),MATCH(ROW(bhpc_data[sku]),ROW(bhpc_data[sku])),""),ROWS($A$15:A87)+$B$3)),INDEX(bhpc_data[description],SMALL(IF(ISNUMBER(MATCH(bhpc_data[sex],$EC$11,0)*MATCH(bhpc_data[size],$EC$13,0)),MATCH(ROW(bhpc_data[sku]),ROW(bhpc_data[sku])),""),ROWS($A$15:A87)+$B$3)))),IF($EC$11="",IF($EC$13="",INDEX(bhpc_data[description],SMALL(IF(ISNUMBER(MATCH(bhpc_data[category],$EC$9,0)),MATCH(ROW(bhpc_data[sku]),ROW(bhpc_data[sku])),""),ROWS($A$15:A87)+$B$3)),INDEX(bhpc_data[description],SMALL(IF(ISNUMBER(MATCH(bhpc_data[category],$EC$9,0)*MATCH(bhpc_data[size],$EC$13,0)),MATCH(ROW(bhpc_data[sku]),ROW(bhpc_data[sku])),""),ROWS($A$15:A87)+$B$3))),IF($EC$13="",INDEX(bhpc_data[description],SMALL(IF(ISNUMBER(MATCH(bhpc_data[category],$EC$9,0)*MATCH(bhpc_data[sex],$EC$11,0)),MATCH(ROW(bhpc_data[sku]),ROW(bhpc_data[sku])),""),ROWS($A$15:A87)+$B$3)),INDEX(bhpc_data[description],SMALL(IF(ISNUMBER(MATCH(bhpc_data[category],$EC$9,0)*MATCH(bhpc_data[sex],$EC$11,0)*MATCH(bhpc_data[size],$EC$13,0)),MATCH(ROW(bhpc_data[sku]),ROW(bhpc_data[sku])),""),ROWS($A$15:A87)+$B$3))))),"")</f>
        <v>BHPC GIFT BOX WOMEN NO.1 100ML</v>
      </c>
      <c r="EG82" s="447">
        <f>IFERROR(IF('BHPC MANAGER'!$EE82="","",INDEX(inventory[ESISTENZA],MATCH('BHPC MANAGER'!$EE82,inventory[SKU],0))),0)</f>
        <v>0</v>
      </c>
      <c r="EH82" s="448">
        <v>20</v>
      </c>
      <c r="EI82" s="448">
        <f t="shared" si="14"/>
        <v>20</v>
      </c>
      <c r="EJ82" s="449">
        <v>0</v>
      </c>
      <c r="EK82" s="450">
        <f t="shared" si="15"/>
        <v>20</v>
      </c>
    </row>
    <row r="83" spans="59:141" ht="15" customHeight="1" x14ac:dyDescent="0.35">
      <c r="BG83" s="215"/>
      <c r="BK83" s="296"/>
      <c r="BL83" s="297"/>
      <c r="BM83" s="298"/>
      <c r="BN83" s="297"/>
      <c r="BO83" s="298"/>
      <c r="BZ83" s="414"/>
      <c r="CA83" s="401" t="str">
        <f>IFERROR(IF(BZ83="","",INDEX(bhpc_data[description],MATCH(BZ83,bhpc_data[sku],0))),"")</f>
        <v/>
      </c>
      <c r="CB83" s="403"/>
      <c r="CC83" s="886"/>
      <c r="CD83" s="415"/>
      <c r="CE83" s="891"/>
      <c r="CF83" s="404"/>
      <c r="CG83" s="405" t="str">
        <f>IFERROR(ROUNDUP(CB83/INDEX(bhpc_data[units_per_carton],MATCH(BZ83,bhpc_data[sku],0)),0),"")</f>
        <v/>
      </c>
      <c r="CH83" s="406" t="str">
        <f>IFERROR(ROUNDUP(CD83/INDEX(bhpc_data[units_per_carton],MATCH(BZ83,bhpc_data[sku],0)),0),"")</f>
        <v/>
      </c>
      <c r="CI83" s="406" t="str">
        <f>IFERROR(ROUNDUP(CF83/INDEX(bhpc_data[units_per_carton],MATCH(BZ83,bhpc_data[sku])),0),"")</f>
        <v/>
      </c>
      <c r="CJ83" s="406" t="str">
        <f>IFERROR(((CB83+CD83+CF83)/INDEX(bhpc_data[units_per_carton],MATCH(BZ83,bhpc_data[sku],0)))*INDEX(bhpc_data[net_weight],MATCH(BZ83,bhpc_data[sku],0)),"")</f>
        <v/>
      </c>
      <c r="CK83" s="406" t="str">
        <f>IFERROR(((CB83+CD83+CF83)/INDEX(bhpc_data[units_per_carton],MATCH(BZ83,bhpc_data[sku],0)))*INDEX(bhpc_data[gross_weight],MATCH(BZ83,bhpc_data[sku],0)),"")</f>
        <v/>
      </c>
      <c r="CL83" s="602" t="str">
        <f>IFERROR((CB83+CD83+CF83)/INDEX(bhpc_data[units_per_carton],MATCH(BZ83,bhpc_data[sku],0))*INDEX(bhpc_data[length],MATCH(BZ83,bhpc_data[sku],0))*INDEX(bhpc_data[width],MATCH(BZ83,bhpc_data[sku],0))*INDEX(bhpc_data[height],MATCH(BZ83,bhpc_data[sku],0))/1000000000,"")</f>
        <v/>
      </c>
      <c r="CM83" s="407" t="str">
        <f>IFERROR(INDEX(bhpc_data[category],MATCH(BZ83,bhpc_data[sku],0)),"")</f>
        <v/>
      </c>
      <c r="CN83" s="407" t="str">
        <f>IFERROR(INDEX(bhpc_data[size],MATCH(BZ83,bhpc_data[sku],0)),"")</f>
        <v/>
      </c>
      <c r="CO83" s="408" t="str">
        <f>IFERROR(INDEX(bhpc_data[hs_code],MATCH(BZ83,bhpc_data[sku],0)),"")</f>
        <v/>
      </c>
      <c r="CP83" s="489" t="str">
        <f>IFERROR(INDEX(bhpc_data[sku_geko],MATCH(BZ83,bhpc_data[sku],0)),"")</f>
        <v/>
      </c>
      <c r="CQ83" s="404"/>
      <c r="CR83" s="517" t="str">
        <f>IFERROR(IF(BZ83="","",IF($BX$15="SALE",INDEX(inventory[COSTO UNITARIO],MATCH(BZ83,inventory[SKU],0)),IF($BX$15="SAMPLING",INDEX(inventory[COSTO UNITARIO],MATCH(BZ83,inventory[SKU],0)),""))),"")</f>
        <v/>
      </c>
      <c r="CS83" s="517" t="str">
        <f t="shared" si="11"/>
        <v/>
      </c>
      <c r="CT83" s="896" t="str">
        <f t="shared" si="12"/>
        <v/>
      </c>
      <c r="CU83" s="469" t="str">
        <f t="shared" si="13"/>
        <v/>
      </c>
      <c r="DB83" s="280" t="str">
        <f>IFERROR(VLOOKUP(BZ83,bhpc_data[],22,FALSE),"")</f>
        <v/>
      </c>
      <c r="EE83" s="439" t="str" cm="1">
        <f t="array" ref="EE83">IFERROR(IF($EC$9="",IF($EC$11="",IF($EC$13="",INDEX(bhpc_data[sku],SMALL(MATCH(ROW(bhpc_data[sku]),ROW(bhpc_data[sku])),ROWS($A$15:A88)+$B$3)),INDEX(bhpc_data[sku],SMALL(IF(ISNUMBER(MATCH(bhpc_data[size],$EC$13,0)),MATCH(ROW(bhpc_data[sku]),ROW(bhpc_data[sku])),""),ROWS($A$15:A88)+$B$3))),IF($EC$13="",INDEX(bhpc_data[sku],SMALL(IF(ISNUMBER(MATCH(bhpc_data[sex],$EC$11,0)),MATCH(ROW(bhpc_data[sku]),ROW(bhpc_data[sku])),""),ROWS($A$15:A88)+$B$3)),INDEX(bhpc_data[sku],SMALL(IF(ISNUMBER(MATCH(bhpc_data[sex],$EC$11,0)*MATCH(bhpc_data[size],$EC$13,0)),MATCH(ROW(bhpc_data[sku]),ROW(bhpc_data[sku])),""),ROWS($A$15:A88)+$B$3)))),IF($EC$11="",IF($EC$13="",INDEX(bhpc_data[sku],SMALL(IF(ISNUMBER(MATCH(bhpc_data[category],$EC$9,0)),MATCH(ROW(bhpc_data[sku]),ROW(bhpc_data[sku])),""),ROWS($A$15:A88)+$B$3)),INDEX(bhpc_data[sku],SMALL(IF(ISNUMBER(MATCH(bhpc_data[category],$EC$9,0)*MATCH(bhpc_data[size],$EC$13,0)),MATCH(ROW(bhpc_data[sku]),ROW(bhpc_data[sku])),""),ROWS($A$15:A88)+$B$3))),IF($EC$13="",INDEX(bhpc_data[sku],SMALL(IF(ISNUMBER(MATCH(bhpc_data[category],$EC$9,0)*MATCH(bhpc_data[sex],$EC$11,0)),MATCH(ROW(bhpc_data[sku]),ROW(bhpc_data[sku])),""),ROWS($A$15:A88)+$B$3)),INDEX(bhpc_data[sku],SMALL(IF(ISNUMBER(MATCH(bhpc_data[category],$EC$9,0)*MATCH(bhpc_data[sex],$EC$11,0)*MATCH(bhpc_data[size],$EC$13,0)),MATCH(ROW(bhpc_data[sku]),ROW(bhpc_data[sku])),""),ROWS($A$15:A88)+$B$3))))),"")</f>
        <v>X05051</v>
      </c>
      <c r="EF83" s="440" t="str" cm="1">
        <f t="array" ref="EF83">IFERROR(IF($EC$9="",IF($EC$11="",IF($EC$13="",INDEX(bhpc_data[description],SMALL(MATCH(ROW(bhpc_data[sku]),ROW(bhpc_data[sku])),ROWS($A$15:A88)+$B$3)),INDEX(bhpc_data[description],SMALL(IF(ISNUMBER(MATCH(bhpc_data[size],$EC$13,0)),MATCH(ROW(bhpc_data[sku]),ROW(bhpc_data[sku])),""),ROWS($A$15:A88)+$B$3))),IF($EC$13="",INDEX(bhpc_data[description],SMALL(IF(ISNUMBER(MATCH(bhpc_data[sex],$EC$11,0)),MATCH(ROW(bhpc_data[sku]),ROW(bhpc_data[sku])),""),ROWS($A$15:A88)+$B$3)),INDEX(bhpc_data[description],SMALL(IF(ISNUMBER(MATCH(bhpc_data[sex],$EC$11,0)*MATCH(bhpc_data[size],$EC$13,0)),MATCH(ROW(bhpc_data[sku]),ROW(bhpc_data[sku])),""),ROWS($A$15:A88)+$B$3)))),IF($EC$11="",IF($EC$13="",INDEX(bhpc_data[description],SMALL(IF(ISNUMBER(MATCH(bhpc_data[category],$EC$9,0)),MATCH(ROW(bhpc_data[sku]),ROW(bhpc_data[sku])),""),ROWS($A$15:A88)+$B$3)),INDEX(bhpc_data[description],SMALL(IF(ISNUMBER(MATCH(bhpc_data[category],$EC$9,0)*MATCH(bhpc_data[size],$EC$13,0)),MATCH(ROW(bhpc_data[sku]),ROW(bhpc_data[sku])),""),ROWS($A$15:A88)+$B$3))),IF($EC$13="",INDEX(bhpc_data[description],SMALL(IF(ISNUMBER(MATCH(bhpc_data[category],$EC$9,0)*MATCH(bhpc_data[sex],$EC$11,0)),MATCH(ROW(bhpc_data[sku]),ROW(bhpc_data[sku])),""),ROWS($A$15:A88)+$B$3)),INDEX(bhpc_data[description],SMALL(IF(ISNUMBER(MATCH(bhpc_data[category],$EC$9,0)*MATCH(bhpc_data[sex],$EC$11,0)*MATCH(bhpc_data[size],$EC$13,0)),MATCH(ROW(bhpc_data[sku]),ROW(bhpc_data[sku])),""),ROWS($A$15:A88)+$B$3))))),"")</f>
        <v>BHPC GIFT BOX WOMEN NO.9 100ML</v>
      </c>
      <c r="EG83" s="441">
        <f>IFERROR(IF('BHPC MANAGER'!$EE83="","",INDEX(inventory[ESISTENZA],MATCH('BHPC MANAGER'!$EE83,inventory[SKU],0))),0)</f>
        <v>0</v>
      </c>
      <c r="EH83" s="442">
        <v>20</v>
      </c>
      <c r="EI83" s="442">
        <f t="shared" si="14"/>
        <v>20</v>
      </c>
      <c r="EJ83" s="443">
        <v>0</v>
      </c>
      <c r="EK83" s="444">
        <f t="shared" si="15"/>
        <v>20</v>
      </c>
    </row>
    <row r="84" spans="59:141" ht="15" customHeight="1" x14ac:dyDescent="0.35">
      <c r="BK84" s="296"/>
      <c r="BL84" s="297"/>
      <c r="BM84" s="298"/>
      <c r="BN84" s="297"/>
      <c r="BO84" s="298"/>
      <c r="BZ84" s="414"/>
      <c r="CA84" s="401" t="str">
        <f>IFERROR(IF(BZ84="","",INDEX(bhpc_data[description],MATCH(BZ84,bhpc_data[sku],0))),"")</f>
        <v/>
      </c>
      <c r="CB84" s="403"/>
      <c r="CC84" s="886"/>
      <c r="CD84" s="415"/>
      <c r="CE84" s="891"/>
      <c r="CF84" s="404"/>
      <c r="CG84" s="405" t="str">
        <f>IFERROR(ROUNDUP(CB84/INDEX(bhpc_data[units_per_carton],MATCH(BZ84,bhpc_data[sku],0)),0),"")</f>
        <v/>
      </c>
      <c r="CH84" s="406" t="str">
        <f>IFERROR(ROUNDUP(CD84/INDEX(bhpc_data[units_per_carton],MATCH(BZ84,bhpc_data[sku],0)),0),"")</f>
        <v/>
      </c>
      <c r="CI84" s="406" t="str">
        <f>IFERROR(ROUNDUP(CF84/INDEX(bhpc_data[units_per_carton],MATCH(BZ84,bhpc_data[sku])),0),"")</f>
        <v/>
      </c>
      <c r="CJ84" s="406" t="str">
        <f>IFERROR(((CB84+CD84+CF84)/INDEX(bhpc_data[units_per_carton],MATCH(BZ84,bhpc_data[sku],0)))*INDEX(bhpc_data[net_weight],MATCH(BZ84,bhpc_data[sku],0)),"")</f>
        <v/>
      </c>
      <c r="CK84" s="406" t="str">
        <f>IFERROR(((CB84+CD84+CF84)/INDEX(bhpc_data[units_per_carton],MATCH(BZ84,bhpc_data[sku],0)))*INDEX(bhpc_data[gross_weight],MATCH(BZ84,bhpc_data[sku],0)),"")</f>
        <v/>
      </c>
      <c r="CL84" s="602" t="str">
        <f>IFERROR((CB84+CD84+CF84)/INDEX(bhpc_data[units_per_carton],MATCH(BZ84,bhpc_data[sku],0))*INDEX(bhpc_data[length],MATCH(BZ84,bhpc_data[sku],0))*INDEX(bhpc_data[width],MATCH(BZ84,bhpc_data[sku],0))*INDEX(bhpc_data[height],MATCH(BZ84,bhpc_data[sku],0))/1000000000,"")</f>
        <v/>
      </c>
      <c r="CM84" s="407" t="str">
        <f>IFERROR(INDEX(bhpc_data[category],MATCH(BZ84,bhpc_data[sku],0)),"")</f>
        <v/>
      </c>
      <c r="CN84" s="407" t="str">
        <f>IFERROR(INDEX(bhpc_data[size],MATCH(BZ84,bhpc_data[sku],0)),"")</f>
        <v/>
      </c>
      <c r="CO84" s="408" t="str">
        <f>IFERROR(INDEX(bhpc_data[hs_code],MATCH(BZ84,bhpc_data[sku],0)),"")</f>
        <v/>
      </c>
      <c r="CP84" s="489" t="str">
        <f>IFERROR(INDEX(bhpc_data[sku_geko],MATCH(BZ84,bhpc_data[sku],0)),"")</f>
        <v/>
      </c>
      <c r="CQ84" s="404"/>
      <c r="CR84" s="517" t="str">
        <f>IFERROR(IF(BZ84="","",IF($BX$15="SALE",INDEX(inventory[COSTO UNITARIO],MATCH(BZ84,inventory[SKU],0)),IF($BX$15="SAMPLING",INDEX(inventory[COSTO UNITARIO],MATCH(BZ84,inventory[SKU],0)),""))),"")</f>
        <v/>
      </c>
      <c r="CS84" s="517" t="str">
        <f t="shared" si="11"/>
        <v/>
      </c>
      <c r="CT84" s="896" t="str">
        <f t="shared" si="12"/>
        <v/>
      </c>
      <c r="CU84" s="469" t="str">
        <f t="shared" si="13"/>
        <v/>
      </c>
      <c r="DB84" s="280" t="str">
        <f>IFERROR(VLOOKUP(BZ84,bhpc_data[],22,FALSE),"")</f>
        <v/>
      </c>
      <c r="EE84" s="445" t="str" cm="1">
        <f t="array" ref="EE84">IFERROR(IF($EC$9="",IF($EC$11="",IF($EC$13="",INDEX(bhpc_data[sku],SMALL(MATCH(ROW(bhpc_data[sku]),ROW(bhpc_data[sku])),ROWS($A$15:A89)+$B$3)),INDEX(bhpc_data[sku],SMALL(IF(ISNUMBER(MATCH(bhpc_data[size],$EC$13,0)),MATCH(ROW(bhpc_data[sku]),ROW(bhpc_data[sku])),""),ROWS($A$15:A89)+$B$3))),IF($EC$13="",INDEX(bhpc_data[sku],SMALL(IF(ISNUMBER(MATCH(bhpc_data[sex],$EC$11,0)),MATCH(ROW(bhpc_data[sku]),ROW(bhpc_data[sku])),""),ROWS($A$15:A89)+$B$3)),INDEX(bhpc_data[sku],SMALL(IF(ISNUMBER(MATCH(bhpc_data[sex],$EC$11,0)*MATCH(bhpc_data[size],$EC$13,0)),MATCH(ROW(bhpc_data[sku]),ROW(bhpc_data[sku])),""),ROWS($A$15:A89)+$B$3)))),IF($EC$11="",IF($EC$13="",INDEX(bhpc_data[sku],SMALL(IF(ISNUMBER(MATCH(bhpc_data[category],$EC$9,0)),MATCH(ROW(bhpc_data[sku]),ROW(bhpc_data[sku])),""),ROWS($A$15:A89)+$B$3)),INDEX(bhpc_data[sku],SMALL(IF(ISNUMBER(MATCH(bhpc_data[category],$EC$9,0)*MATCH(bhpc_data[size],$EC$13,0)),MATCH(ROW(bhpc_data[sku]),ROW(bhpc_data[sku])),""),ROWS($A$15:A89)+$B$3))),IF($EC$13="",INDEX(bhpc_data[sku],SMALL(IF(ISNUMBER(MATCH(bhpc_data[category],$EC$9,0)*MATCH(bhpc_data[sex],$EC$11,0)),MATCH(ROW(bhpc_data[sku]),ROW(bhpc_data[sku])),""),ROWS($A$15:A89)+$B$3)),INDEX(bhpc_data[sku],SMALL(IF(ISNUMBER(MATCH(bhpc_data[category],$EC$9,0)*MATCH(bhpc_data[sex],$EC$11,0)*MATCH(bhpc_data[size],$EC$13,0)),MATCH(ROW(bhpc_data[sku]),ROW(bhpc_data[sku])),""),ROWS($A$15:A89)+$B$3))))),"")</f>
        <v>X05052</v>
      </c>
      <c r="EF84" s="446" t="str" cm="1">
        <f t="array" ref="EF84">IFERROR(IF($EC$9="",IF($EC$11="",IF($EC$13="",INDEX(bhpc_data[description],SMALL(MATCH(ROW(bhpc_data[sku]),ROW(bhpc_data[sku])),ROWS($A$15:A89)+$B$3)),INDEX(bhpc_data[description],SMALL(IF(ISNUMBER(MATCH(bhpc_data[size],$EC$13,0)),MATCH(ROW(bhpc_data[sku]),ROW(bhpc_data[sku])),""),ROWS($A$15:A89)+$B$3))),IF($EC$13="",INDEX(bhpc_data[description],SMALL(IF(ISNUMBER(MATCH(bhpc_data[sex],$EC$11,0)),MATCH(ROW(bhpc_data[sku]),ROW(bhpc_data[sku])),""),ROWS($A$15:A89)+$B$3)),INDEX(bhpc_data[description],SMALL(IF(ISNUMBER(MATCH(bhpc_data[sex],$EC$11,0)*MATCH(bhpc_data[size],$EC$13,0)),MATCH(ROW(bhpc_data[sku]),ROW(bhpc_data[sku])),""),ROWS($A$15:A89)+$B$3)))),IF($EC$11="",IF($EC$13="",INDEX(bhpc_data[description],SMALL(IF(ISNUMBER(MATCH(bhpc_data[category],$EC$9,0)),MATCH(ROW(bhpc_data[sku]),ROW(bhpc_data[sku])),""),ROWS($A$15:A89)+$B$3)),INDEX(bhpc_data[description],SMALL(IF(ISNUMBER(MATCH(bhpc_data[category],$EC$9,0)*MATCH(bhpc_data[size],$EC$13,0)),MATCH(ROW(bhpc_data[sku]),ROW(bhpc_data[sku])),""),ROWS($A$15:A89)+$B$3))),IF($EC$13="",INDEX(bhpc_data[description],SMALL(IF(ISNUMBER(MATCH(bhpc_data[category],$EC$9,0)*MATCH(bhpc_data[sex],$EC$11,0)),MATCH(ROW(bhpc_data[sku]),ROW(bhpc_data[sku])),""),ROWS($A$15:A89)+$B$3)),INDEX(bhpc_data[description],SMALL(IF(ISNUMBER(MATCH(bhpc_data[category],$EC$9,0)*MATCH(bhpc_data[sex],$EC$11,0)*MATCH(bhpc_data[size],$EC$13,0)),MATCH(ROW(bhpc_data[sku]),ROW(bhpc_data[sku])),""),ROWS($A$15:A89)+$B$3))))),"")</f>
        <v>BHPC GIFT BOX WOMEN NO.8 100ML</v>
      </c>
      <c r="EG84" s="447">
        <f>IFERROR(IF('BHPC MANAGER'!$EE84="","",INDEX(inventory[ESISTENZA],MATCH('BHPC MANAGER'!$EE84,inventory[SKU],0))),0)</f>
        <v>0</v>
      </c>
      <c r="EH84" s="448">
        <v>23</v>
      </c>
      <c r="EI84" s="448">
        <f t="shared" si="14"/>
        <v>23</v>
      </c>
      <c r="EJ84" s="449">
        <v>0</v>
      </c>
      <c r="EK84" s="450">
        <f t="shared" si="15"/>
        <v>23</v>
      </c>
    </row>
    <row r="85" spans="59:141" ht="15" customHeight="1" x14ac:dyDescent="0.35">
      <c r="BK85" s="296"/>
      <c r="BL85" s="297"/>
      <c r="BM85" s="298"/>
      <c r="BN85" s="297"/>
      <c r="BO85" s="298"/>
      <c r="BZ85" s="414"/>
      <c r="CA85" s="401" t="str">
        <f>IFERROR(IF(BZ85="","",INDEX(bhpc_data[description],MATCH(BZ85,bhpc_data[sku],0))),"")</f>
        <v/>
      </c>
      <c r="CB85" s="403"/>
      <c r="CC85" s="886"/>
      <c r="CD85" s="415"/>
      <c r="CE85" s="891"/>
      <c r="CF85" s="404"/>
      <c r="CG85" s="405" t="str">
        <f>IFERROR(ROUNDUP(CB85/INDEX(bhpc_data[units_per_carton],MATCH(BZ85,bhpc_data[sku],0)),0),"")</f>
        <v/>
      </c>
      <c r="CH85" s="406" t="str">
        <f>IFERROR(ROUNDUP(CD85/INDEX(bhpc_data[units_per_carton],MATCH(BZ85,bhpc_data[sku],0)),0),"")</f>
        <v/>
      </c>
      <c r="CI85" s="406" t="str">
        <f>IFERROR(ROUNDUP(CF85/INDEX(bhpc_data[units_per_carton],MATCH(BZ85,bhpc_data[sku])),0),"")</f>
        <v/>
      </c>
      <c r="CJ85" s="406" t="str">
        <f>IFERROR(((CB85+CD85+CF85)/INDEX(bhpc_data[units_per_carton],MATCH(BZ85,bhpc_data[sku],0)))*INDEX(bhpc_data[net_weight],MATCH(BZ85,bhpc_data[sku],0)),"")</f>
        <v/>
      </c>
      <c r="CK85" s="406" t="str">
        <f>IFERROR(((CB85+CD85+CF85)/INDEX(bhpc_data[units_per_carton],MATCH(BZ85,bhpc_data[sku],0)))*INDEX(bhpc_data[gross_weight],MATCH(BZ85,bhpc_data[sku],0)),"")</f>
        <v/>
      </c>
      <c r="CL85" s="602" t="str">
        <f>IFERROR((CB85+CD85+CF85)/INDEX(bhpc_data[units_per_carton],MATCH(BZ85,bhpc_data[sku],0))*INDEX(bhpc_data[length],MATCH(BZ85,bhpc_data[sku],0))*INDEX(bhpc_data[width],MATCH(BZ85,bhpc_data[sku],0))*INDEX(bhpc_data[height],MATCH(BZ85,bhpc_data[sku],0))/1000000000,"")</f>
        <v/>
      </c>
      <c r="CM85" s="407" t="str">
        <f>IFERROR(INDEX(bhpc_data[category],MATCH(BZ85,bhpc_data[sku],0)),"")</f>
        <v/>
      </c>
      <c r="CN85" s="407" t="str">
        <f>IFERROR(INDEX(bhpc_data[size],MATCH(BZ85,bhpc_data[sku],0)),"")</f>
        <v/>
      </c>
      <c r="CO85" s="408" t="str">
        <f>IFERROR(INDEX(bhpc_data[hs_code],MATCH(BZ85,bhpc_data[sku],0)),"")</f>
        <v/>
      </c>
      <c r="CP85" s="489" t="str">
        <f>IFERROR(INDEX(bhpc_data[sku_geko],MATCH(BZ85,bhpc_data[sku],0)),"")</f>
        <v/>
      </c>
      <c r="CQ85" s="404"/>
      <c r="CR85" s="517" t="str">
        <f>IFERROR(IF(BZ85="","",IF($BX$15="SALE",INDEX(inventory[COSTO UNITARIO],MATCH(BZ85,inventory[SKU],0)),IF($BX$15="SAMPLING",INDEX(inventory[COSTO UNITARIO],MATCH(BZ85,inventory[SKU],0)),""))),"")</f>
        <v/>
      </c>
      <c r="CS85" s="517" t="str">
        <f t="shared" si="11"/>
        <v/>
      </c>
      <c r="CT85" s="896" t="str">
        <f t="shared" si="12"/>
        <v/>
      </c>
      <c r="CU85" s="469" t="str">
        <f t="shared" si="13"/>
        <v/>
      </c>
      <c r="DB85" s="280" t="str">
        <f>IFERROR(VLOOKUP(BZ85,bhpc_data[],22,FALSE),"")</f>
        <v/>
      </c>
      <c r="EE85" s="439" t="str" cm="1">
        <f t="array" ref="EE85">IFERROR(IF($EC$9="",IF($EC$11="",IF($EC$13="",INDEX(bhpc_data[sku],SMALL(MATCH(ROW(bhpc_data[sku]),ROW(bhpc_data[sku])),ROWS($A$15:A90)+$B$3)),INDEX(bhpc_data[sku],SMALL(IF(ISNUMBER(MATCH(bhpc_data[size],$EC$13,0)),MATCH(ROW(bhpc_data[sku]),ROW(bhpc_data[sku])),""),ROWS($A$15:A90)+$B$3))),IF($EC$13="",INDEX(bhpc_data[sku],SMALL(IF(ISNUMBER(MATCH(bhpc_data[sex],$EC$11,0)),MATCH(ROW(bhpc_data[sku]),ROW(bhpc_data[sku])),""),ROWS($A$15:A90)+$B$3)),INDEX(bhpc_data[sku],SMALL(IF(ISNUMBER(MATCH(bhpc_data[sex],$EC$11,0)*MATCH(bhpc_data[size],$EC$13,0)),MATCH(ROW(bhpc_data[sku]),ROW(bhpc_data[sku])),""),ROWS($A$15:A90)+$B$3)))),IF($EC$11="",IF($EC$13="",INDEX(bhpc_data[sku],SMALL(IF(ISNUMBER(MATCH(bhpc_data[category],$EC$9,0)),MATCH(ROW(bhpc_data[sku]),ROW(bhpc_data[sku])),""),ROWS($A$15:A90)+$B$3)),INDEX(bhpc_data[sku],SMALL(IF(ISNUMBER(MATCH(bhpc_data[category],$EC$9,0)*MATCH(bhpc_data[size],$EC$13,0)),MATCH(ROW(bhpc_data[sku]),ROW(bhpc_data[sku])),""),ROWS($A$15:A90)+$B$3))),IF($EC$13="",INDEX(bhpc_data[sku],SMALL(IF(ISNUMBER(MATCH(bhpc_data[category],$EC$9,0)*MATCH(bhpc_data[sex],$EC$11,0)),MATCH(ROW(bhpc_data[sku]),ROW(bhpc_data[sku])),""),ROWS($A$15:A90)+$B$3)),INDEX(bhpc_data[sku],SMALL(IF(ISNUMBER(MATCH(bhpc_data[category],$EC$9,0)*MATCH(bhpc_data[sex],$EC$11,0)*MATCH(bhpc_data[size],$EC$13,0)),MATCH(ROW(bhpc_data[sku]),ROW(bhpc_data[sku])),""),ROWS($A$15:A90)+$B$3))))),"")</f>
        <v>X05053</v>
      </c>
      <c r="EF85" s="440" t="str" cm="1">
        <f t="array" ref="EF85">IFERROR(IF($EC$9="",IF($EC$11="",IF($EC$13="",INDEX(bhpc_data[description],SMALL(MATCH(ROW(bhpc_data[sku]),ROW(bhpc_data[sku])),ROWS($A$15:A90)+$B$3)),INDEX(bhpc_data[description],SMALL(IF(ISNUMBER(MATCH(bhpc_data[size],$EC$13,0)),MATCH(ROW(bhpc_data[sku]),ROW(bhpc_data[sku])),""),ROWS($A$15:A90)+$B$3))),IF($EC$13="",INDEX(bhpc_data[description],SMALL(IF(ISNUMBER(MATCH(bhpc_data[sex],$EC$11,0)),MATCH(ROW(bhpc_data[sku]),ROW(bhpc_data[sku])),""),ROWS($A$15:A90)+$B$3)),INDEX(bhpc_data[description],SMALL(IF(ISNUMBER(MATCH(bhpc_data[sex],$EC$11,0)*MATCH(bhpc_data[size],$EC$13,0)),MATCH(ROW(bhpc_data[sku]),ROW(bhpc_data[sku])),""),ROWS($A$15:A90)+$B$3)))),IF($EC$11="",IF($EC$13="",INDEX(bhpc_data[description],SMALL(IF(ISNUMBER(MATCH(bhpc_data[category],$EC$9,0)),MATCH(ROW(bhpc_data[sku]),ROW(bhpc_data[sku])),""),ROWS($A$15:A90)+$B$3)),INDEX(bhpc_data[description],SMALL(IF(ISNUMBER(MATCH(bhpc_data[category],$EC$9,0)*MATCH(bhpc_data[size],$EC$13,0)),MATCH(ROW(bhpc_data[sku]),ROW(bhpc_data[sku])),""),ROWS($A$15:A90)+$B$3))),IF($EC$13="",INDEX(bhpc_data[description],SMALL(IF(ISNUMBER(MATCH(bhpc_data[category],$EC$9,0)*MATCH(bhpc_data[sex],$EC$11,0)),MATCH(ROW(bhpc_data[sku]),ROW(bhpc_data[sku])),""),ROWS($A$15:A90)+$B$3)),INDEX(bhpc_data[description],SMALL(IF(ISNUMBER(MATCH(bhpc_data[category],$EC$9,0)*MATCH(bhpc_data[sex],$EC$11,0)*MATCH(bhpc_data[size],$EC$13,0)),MATCH(ROW(bhpc_data[sku]),ROW(bhpc_data[sku])),""),ROWS($A$15:A90)+$B$3))))),"")</f>
        <v>BHPC GIFT BOX WOMEN NO.2 100ML</v>
      </c>
      <c r="EG85" s="441">
        <f>IFERROR(IF('BHPC MANAGER'!$EE85="","",INDEX(inventory[ESISTENZA],MATCH('BHPC MANAGER'!$EE85,inventory[SKU],0))),0)</f>
        <v>0</v>
      </c>
      <c r="EH85" s="442">
        <v>17</v>
      </c>
      <c r="EI85" s="442">
        <f t="shared" si="14"/>
        <v>17</v>
      </c>
      <c r="EJ85" s="443">
        <v>0</v>
      </c>
      <c r="EK85" s="444">
        <f t="shared" si="15"/>
        <v>17</v>
      </c>
    </row>
    <row r="86" spans="59:141" ht="15" customHeight="1" x14ac:dyDescent="0.35">
      <c r="BK86" s="296"/>
      <c r="BL86" s="297"/>
      <c r="BM86" s="298"/>
      <c r="BN86" s="297"/>
      <c r="BO86" s="298"/>
      <c r="BZ86" s="414"/>
      <c r="CA86" s="401" t="str">
        <f>IFERROR(IF(BZ86="","",INDEX(bhpc_data[description],MATCH(BZ86,bhpc_data[sku],0))),"")</f>
        <v/>
      </c>
      <c r="CB86" s="403"/>
      <c r="CC86" s="886"/>
      <c r="CD86" s="415"/>
      <c r="CE86" s="891"/>
      <c r="CF86" s="404"/>
      <c r="CG86" s="405" t="str">
        <f>IFERROR(ROUNDUP(CB86/INDEX(bhpc_data[units_per_carton],MATCH(BZ86,bhpc_data[sku],0)),0),"")</f>
        <v/>
      </c>
      <c r="CH86" s="406" t="str">
        <f>IFERROR(ROUNDUP(CD86/INDEX(bhpc_data[units_per_carton],MATCH(BZ86,bhpc_data[sku],0)),0),"")</f>
        <v/>
      </c>
      <c r="CI86" s="406" t="str">
        <f>IFERROR(ROUNDUP(CF86/INDEX(bhpc_data[units_per_carton],MATCH(BZ86,bhpc_data[sku])),0),"")</f>
        <v/>
      </c>
      <c r="CJ86" s="406" t="str">
        <f>IFERROR(((CB86+CD86+CF86)/INDEX(bhpc_data[units_per_carton],MATCH(BZ86,bhpc_data[sku],0)))*INDEX(bhpc_data[net_weight],MATCH(BZ86,bhpc_data[sku],0)),"")</f>
        <v/>
      </c>
      <c r="CK86" s="406" t="str">
        <f>IFERROR(((CB86+CD86+CF86)/INDEX(bhpc_data[units_per_carton],MATCH(BZ86,bhpc_data[sku],0)))*INDEX(bhpc_data[gross_weight],MATCH(BZ86,bhpc_data[sku],0)),"")</f>
        <v/>
      </c>
      <c r="CL86" s="602" t="str">
        <f>IFERROR((CB86+CD86+CF86)/INDEX(bhpc_data[units_per_carton],MATCH(BZ86,bhpc_data[sku],0))*INDEX(bhpc_data[length],MATCH(BZ86,bhpc_data[sku],0))*INDEX(bhpc_data[width],MATCH(BZ86,bhpc_data[sku],0))*INDEX(bhpc_data[height],MATCH(BZ86,bhpc_data[sku],0))/1000000000,"")</f>
        <v/>
      </c>
      <c r="CM86" s="407" t="str">
        <f>IFERROR(INDEX(bhpc_data[category],MATCH(BZ86,bhpc_data[sku],0)),"")</f>
        <v/>
      </c>
      <c r="CN86" s="407" t="str">
        <f>IFERROR(INDEX(bhpc_data[size],MATCH(BZ86,bhpc_data[sku],0)),"")</f>
        <v/>
      </c>
      <c r="CO86" s="408" t="str">
        <f>IFERROR(INDEX(bhpc_data[hs_code],MATCH(BZ86,bhpc_data[sku],0)),"")</f>
        <v/>
      </c>
      <c r="CP86" s="489" t="str">
        <f>IFERROR(INDEX(bhpc_data[sku_geko],MATCH(BZ86,bhpc_data[sku],0)),"")</f>
        <v/>
      </c>
      <c r="CQ86" s="404"/>
      <c r="CR86" s="517" t="str">
        <f>IFERROR(IF(BZ86="","",IF($BX$15="SALE",INDEX(inventory[COSTO UNITARIO],MATCH(BZ86,inventory[SKU],0)),IF($BX$15="SAMPLING",INDEX(inventory[COSTO UNITARIO],MATCH(BZ86,inventory[SKU],0)),""))),"")</f>
        <v/>
      </c>
      <c r="CS86" s="517" t="str">
        <f t="shared" si="11"/>
        <v/>
      </c>
      <c r="CT86" s="896" t="str">
        <f t="shared" si="12"/>
        <v/>
      </c>
      <c r="CU86" s="469" t="str">
        <f t="shared" si="13"/>
        <v/>
      </c>
      <c r="DB86" s="280" t="str">
        <f>IFERROR(VLOOKUP(BZ86,bhpc_data[],22,FALSE),"")</f>
        <v/>
      </c>
      <c r="EE86" s="445" t="str" cm="1">
        <f t="array" ref="EE86">IFERROR(IF($EC$9="",IF($EC$11="",IF($EC$13="",INDEX(bhpc_data[sku],SMALL(MATCH(ROW(bhpc_data[sku]),ROW(bhpc_data[sku])),ROWS($A$15:A91)+$B$3)),INDEX(bhpc_data[sku],SMALL(IF(ISNUMBER(MATCH(bhpc_data[size],$EC$13,0)),MATCH(ROW(bhpc_data[sku]),ROW(bhpc_data[sku])),""),ROWS($A$15:A91)+$B$3))),IF($EC$13="",INDEX(bhpc_data[sku],SMALL(IF(ISNUMBER(MATCH(bhpc_data[sex],$EC$11,0)),MATCH(ROW(bhpc_data[sku]),ROW(bhpc_data[sku])),""),ROWS($A$15:A91)+$B$3)),INDEX(bhpc_data[sku],SMALL(IF(ISNUMBER(MATCH(bhpc_data[sex],$EC$11,0)*MATCH(bhpc_data[size],$EC$13,0)),MATCH(ROW(bhpc_data[sku]),ROW(bhpc_data[sku])),""),ROWS($A$15:A91)+$B$3)))),IF($EC$11="",IF($EC$13="",INDEX(bhpc_data[sku],SMALL(IF(ISNUMBER(MATCH(bhpc_data[category],$EC$9,0)),MATCH(ROW(bhpc_data[sku]),ROW(bhpc_data[sku])),""),ROWS($A$15:A91)+$B$3)),INDEX(bhpc_data[sku],SMALL(IF(ISNUMBER(MATCH(bhpc_data[category],$EC$9,0)*MATCH(bhpc_data[size],$EC$13,0)),MATCH(ROW(bhpc_data[sku]),ROW(bhpc_data[sku])),""),ROWS($A$15:A91)+$B$3))),IF($EC$13="",INDEX(bhpc_data[sku],SMALL(IF(ISNUMBER(MATCH(bhpc_data[category],$EC$9,0)*MATCH(bhpc_data[sex],$EC$11,0)),MATCH(ROW(bhpc_data[sku]),ROW(bhpc_data[sku])),""),ROWS($A$15:A91)+$B$3)),INDEX(bhpc_data[sku],SMALL(IF(ISNUMBER(MATCH(bhpc_data[category],$EC$9,0)*MATCH(bhpc_data[sex],$EC$11,0)*MATCH(bhpc_data[size],$EC$13,0)),MATCH(ROW(bhpc_data[sku]),ROW(bhpc_data[sku])),""),ROWS($A$15:A91)+$B$3))))),"")</f>
        <v>XT6020</v>
      </c>
      <c r="EF86" s="446" t="str" cm="1">
        <f t="array" ref="EF86">IFERROR(IF($EC$9="",IF($EC$11="",IF($EC$13="",INDEX(bhpc_data[description],SMALL(MATCH(ROW(bhpc_data[sku]),ROW(bhpc_data[sku])),ROWS($A$15:A91)+$B$3)),INDEX(bhpc_data[description],SMALL(IF(ISNUMBER(MATCH(bhpc_data[size],$EC$13,0)),MATCH(ROW(bhpc_data[sku]),ROW(bhpc_data[sku])),""),ROWS($A$15:A91)+$B$3))),IF($EC$13="",INDEX(bhpc_data[description],SMALL(IF(ISNUMBER(MATCH(bhpc_data[sex],$EC$11,0)),MATCH(ROW(bhpc_data[sku]),ROW(bhpc_data[sku])),""),ROWS($A$15:A91)+$B$3)),INDEX(bhpc_data[description],SMALL(IF(ISNUMBER(MATCH(bhpc_data[sex],$EC$11,0)*MATCH(bhpc_data[size],$EC$13,0)),MATCH(ROW(bhpc_data[sku]),ROW(bhpc_data[sku])),""),ROWS($A$15:A91)+$B$3)))),IF($EC$11="",IF($EC$13="",INDEX(bhpc_data[description],SMALL(IF(ISNUMBER(MATCH(bhpc_data[category],$EC$9,0)),MATCH(ROW(bhpc_data[sku]),ROW(bhpc_data[sku])),""),ROWS($A$15:A91)+$B$3)),INDEX(bhpc_data[description],SMALL(IF(ISNUMBER(MATCH(bhpc_data[category],$EC$9,0)*MATCH(bhpc_data[size],$EC$13,0)),MATCH(ROW(bhpc_data[sku]),ROW(bhpc_data[sku])),""),ROWS($A$15:A91)+$B$3))),IF($EC$13="",INDEX(bhpc_data[description],SMALL(IF(ISNUMBER(MATCH(bhpc_data[category],$EC$9,0)*MATCH(bhpc_data[sex],$EC$11,0)),MATCH(ROW(bhpc_data[sku]),ROW(bhpc_data[sku])),""),ROWS($A$15:A91)+$B$3)),INDEX(bhpc_data[description],SMALL(IF(ISNUMBER(MATCH(bhpc_data[category],$EC$9,0)*MATCH(bhpc_data[sex],$EC$11,0)*MATCH(bhpc_data[size],$EC$13,0)),MATCH(ROW(bhpc_data[sku]),ROW(bhpc_data[sku])),""),ROWS($A$15:A91)+$B$3))))),"")</f>
        <v>BHPC TESTER BOX KNIGHT 100ML</v>
      </c>
      <c r="EG86" s="447">
        <f>IFERROR(IF('BHPC MANAGER'!$EE86="","",INDEX(inventory[ESISTENZA],MATCH('BHPC MANAGER'!$EE86,inventory[SKU],0))),0)</f>
        <v>0</v>
      </c>
      <c r="EH86" s="448" t="s">
        <v>861</v>
      </c>
      <c r="EI86" s="448">
        <f t="shared" si="14"/>
        <v>0</v>
      </c>
      <c r="EJ86" s="449" t="s">
        <v>861</v>
      </c>
      <c r="EK86" s="450">
        <f t="shared" si="15"/>
        <v>0</v>
      </c>
    </row>
    <row r="87" spans="59:141" ht="15" customHeight="1" x14ac:dyDescent="0.35">
      <c r="BK87" s="296"/>
      <c r="BL87" s="297"/>
      <c r="BM87" s="298"/>
      <c r="BN87" s="297"/>
      <c r="BO87" s="298"/>
      <c r="BZ87" s="414"/>
      <c r="CA87" s="401" t="str">
        <f>IFERROR(IF(BZ87="","",INDEX(bhpc_data[description],MATCH(BZ87,bhpc_data[sku],0))),"")</f>
        <v/>
      </c>
      <c r="CB87" s="403"/>
      <c r="CC87" s="886"/>
      <c r="CD87" s="415"/>
      <c r="CE87" s="891"/>
      <c r="CF87" s="404"/>
      <c r="CG87" s="405" t="str">
        <f>IFERROR(ROUNDUP(CB87/INDEX(bhpc_data[units_per_carton],MATCH(BZ87,bhpc_data[sku],0)),0),"")</f>
        <v/>
      </c>
      <c r="CH87" s="406" t="str">
        <f>IFERROR(ROUNDUP(CD87/INDEX(bhpc_data[units_per_carton],MATCH(BZ87,bhpc_data[sku],0)),0),"")</f>
        <v/>
      </c>
      <c r="CI87" s="406" t="str">
        <f>IFERROR(ROUNDUP(CF87/INDEX(bhpc_data[units_per_carton],MATCH(BZ87,bhpc_data[sku])),0),"")</f>
        <v/>
      </c>
      <c r="CJ87" s="406" t="str">
        <f>IFERROR(((CB87+CD87+CF87)/INDEX(bhpc_data[units_per_carton],MATCH(BZ87,bhpc_data[sku],0)))*INDEX(bhpc_data[net_weight],MATCH(BZ87,bhpc_data[sku],0)),"")</f>
        <v/>
      </c>
      <c r="CK87" s="406" t="str">
        <f>IFERROR(((CB87+CD87+CF87)/INDEX(bhpc_data[units_per_carton],MATCH(BZ87,bhpc_data[sku],0)))*INDEX(bhpc_data[gross_weight],MATCH(BZ87,bhpc_data[sku],0)),"")</f>
        <v/>
      </c>
      <c r="CL87" s="602" t="str">
        <f>IFERROR((CB87+CD87+CF87)/INDEX(bhpc_data[units_per_carton],MATCH(BZ87,bhpc_data[sku],0))*INDEX(bhpc_data[length],MATCH(BZ87,bhpc_data[sku],0))*INDEX(bhpc_data[width],MATCH(BZ87,bhpc_data[sku],0))*INDEX(bhpc_data[height],MATCH(BZ87,bhpc_data[sku],0))/1000000000,"")</f>
        <v/>
      </c>
      <c r="CM87" s="407" t="str">
        <f>IFERROR(INDEX(bhpc_data[category],MATCH(BZ87,bhpc_data[sku],0)),"")</f>
        <v/>
      </c>
      <c r="CN87" s="407" t="str">
        <f>IFERROR(INDEX(bhpc_data[size],MATCH(BZ87,bhpc_data[sku],0)),"")</f>
        <v/>
      </c>
      <c r="CO87" s="408" t="str">
        <f>IFERROR(INDEX(bhpc_data[hs_code],MATCH(BZ87,bhpc_data[sku],0)),"")</f>
        <v/>
      </c>
      <c r="CP87" s="489" t="str">
        <f>IFERROR(INDEX(bhpc_data[sku_geko],MATCH(BZ87,bhpc_data[sku],0)),"")</f>
        <v/>
      </c>
      <c r="CQ87" s="404"/>
      <c r="CR87" s="517" t="str">
        <f>IFERROR(IF(BZ87="","",IF($BX$15="SALE",INDEX(inventory[COSTO UNITARIO],MATCH(BZ87,inventory[SKU],0)),IF($BX$15="SAMPLING",INDEX(inventory[COSTO UNITARIO],MATCH(BZ87,inventory[SKU],0)),""))),"")</f>
        <v/>
      </c>
      <c r="CS87" s="517" t="str">
        <f t="shared" si="11"/>
        <v/>
      </c>
      <c r="CT87" s="896" t="str">
        <f t="shared" si="12"/>
        <v/>
      </c>
      <c r="CU87" s="469" t="str">
        <f t="shared" si="13"/>
        <v/>
      </c>
      <c r="DB87" s="280" t="str">
        <f>IFERROR(VLOOKUP(BZ87,bhpc_data[],22,FALSE),"")</f>
        <v/>
      </c>
      <c r="EE87" s="439" t="str" cm="1">
        <f t="array" ref="EE87">IFERROR(IF($EC$9="",IF($EC$11="",IF($EC$13="",INDEX(bhpc_data[sku],SMALL(MATCH(ROW(bhpc_data[sku]),ROW(bhpc_data[sku])),ROWS($A$15:A92)+$B$3)),INDEX(bhpc_data[sku],SMALL(IF(ISNUMBER(MATCH(bhpc_data[size],$EC$13,0)),MATCH(ROW(bhpc_data[sku]),ROW(bhpc_data[sku])),""),ROWS($A$15:A92)+$B$3))),IF($EC$13="",INDEX(bhpc_data[sku],SMALL(IF(ISNUMBER(MATCH(bhpc_data[sex],$EC$11,0)),MATCH(ROW(bhpc_data[sku]),ROW(bhpc_data[sku])),""),ROWS($A$15:A92)+$B$3)),INDEX(bhpc_data[sku],SMALL(IF(ISNUMBER(MATCH(bhpc_data[sex],$EC$11,0)*MATCH(bhpc_data[size],$EC$13,0)),MATCH(ROW(bhpc_data[sku]),ROW(bhpc_data[sku])),""),ROWS($A$15:A92)+$B$3)))),IF($EC$11="",IF($EC$13="",INDEX(bhpc_data[sku],SMALL(IF(ISNUMBER(MATCH(bhpc_data[category],$EC$9,0)),MATCH(ROW(bhpc_data[sku]),ROW(bhpc_data[sku])),""),ROWS($A$15:A92)+$B$3)),INDEX(bhpc_data[sku],SMALL(IF(ISNUMBER(MATCH(bhpc_data[category],$EC$9,0)*MATCH(bhpc_data[size],$EC$13,0)),MATCH(ROW(bhpc_data[sku]),ROW(bhpc_data[sku])),""),ROWS($A$15:A92)+$B$3))),IF($EC$13="",INDEX(bhpc_data[sku],SMALL(IF(ISNUMBER(MATCH(bhpc_data[category],$EC$9,0)*MATCH(bhpc_data[sex],$EC$11,0)),MATCH(ROW(bhpc_data[sku]),ROW(bhpc_data[sku])),""),ROWS($A$15:A92)+$B$3)),INDEX(bhpc_data[sku],SMALL(IF(ISNUMBER(MATCH(bhpc_data[category],$EC$9,0)*MATCH(bhpc_data[sex],$EC$11,0)*MATCH(bhpc_data[size],$EC$13,0)),MATCH(ROW(bhpc_data[sku]),ROW(bhpc_data[sku])),""),ROWS($A$15:A92)+$B$3))))),"")</f>
        <v>XT6021</v>
      </c>
      <c r="EF87" s="440" t="str" cm="1">
        <f t="array" ref="EF87">IFERROR(IF($EC$9="",IF($EC$11="",IF($EC$13="",INDEX(bhpc_data[description],SMALL(MATCH(ROW(bhpc_data[sku]),ROW(bhpc_data[sku])),ROWS($A$15:A92)+$B$3)),INDEX(bhpc_data[description],SMALL(IF(ISNUMBER(MATCH(bhpc_data[size],$EC$13,0)),MATCH(ROW(bhpc_data[sku]),ROW(bhpc_data[sku])),""),ROWS($A$15:A92)+$B$3))),IF($EC$13="",INDEX(bhpc_data[description],SMALL(IF(ISNUMBER(MATCH(bhpc_data[sex],$EC$11,0)),MATCH(ROW(bhpc_data[sku]),ROW(bhpc_data[sku])),""),ROWS($A$15:A92)+$B$3)),INDEX(bhpc_data[description],SMALL(IF(ISNUMBER(MATCH(bhpc_data[sex],$EC$11,0)*MATCH(bhpc_data[size],$EC$13,0)),MATCH(ROW(bhpc_data[sku]),ROW(bhpc_data[sku])),""),ROWS($A$15:A92)+$B$3)))),IF($EC$11="",IF($EC$13="",INDEX(bhpc_data[description],SMALL(IF(ISNUMBER(MATCH(bhpc_data[category],$EC$9,0)),MATCH(ROW(bhpc_data[sku]),ROW(bhpc_data[sku])),""),ROWS($A$15:A92)+$B$3)),INDEX(bhpc_data[description],SMALL(IF(ISNUMBER(MATCH(bhpc_data[category],$EC$9,0)*MATCH(bhpc_data[size],$EC$13,0)),MATCH(ROW(bhpc_data[sku]),ROW(bhpc_data[sku])),""),ROWS($A$15:A92)+$B$3))),IF($EC$13="",INDEX(bhpc_data[description],SMALL(IF(ISNUMBER(MATCH(bhpc_data[category],$EC$9,0)*MATCH(bhpc_data[sex],$EC$11,0)),MATCH(ROW(bhpc_data[sku]),ROW(bhpc_data[sku])),""),ROWS($A$15:A92)+$B$3)),INDEX(bhpc_data[description],SMALL(IF(ISNUMBER(MATCH(bhpc_data[category],$EC$9,0)*MATCH(bhpc_data[sex],$EC$11,0)*MATCH(bhpc_data[size],$EC$13,0)),MATCH(ROW(bhpc_data[sku]),ROW(bhpc_data[sku])),""),ROWS($A$15:A92)+$B$3))))),"")</f>
        <v>BHPC TESTER BOX ROYALE 100ML</v>
      </c>
      <c r="EG87" s="441">
        <f>IFERROR(IF('BHPC MANAGER'!$EE87="","",INDEX(inventory[ESISTENZA],MATCH('BHPC MANAGER'!$EE87,inventory[SKU],0))),0)</f>
        <v>0</v>
      </c>
      <c r="EH87" s="442" t="s">
        <v>861</v>
      </c>
      <c r="EI87" s="442">
        <f t="shared" si="14"/>
        <v>0</v>
      </c>
      <c r="EJ87" s="443" t="s">
        <v>861</v>
      </c>
      <c r="EK87" s="444">
        <f t="shared" si="15"/>
        <v>0</v>
      </c>
    </row>
    <row r="88" spans="59:141" ht="15" customHeight="1" x14ac:dyDescent="0.35">
      <c r="BK88" s="296"/>
      <c r="BL88" s="297"/>
      <c r="BM88" s="298"/>
      <c r="BN88" s="297"/>
      <c r="BO88" s="298"/>
      <c r="BZ88" s="414"/>
      <c r="CA88" s="401" t="str">
        <f>IFERROR(IF(BZ88="","",INDEX(bhpc_data[description],MATCH(BZ88,bhpc_data[sku],0))),"")</f>
        <v/>
      </c>
      <c r="CB88" s="403"/>
      <c r="CC88" s="886"/>
      <c r="CD88" s="415"/>
      <c r="CE88" s="891"/>
      <c r="CF88" s="404"/>
      <c r="CG88" s="405" t="str">
        <f>IFERROR(ROUNDUP(CB88/INDEX(bhpc_data[units_per_carton],MATCH(BZ88,bhpc_data[sku],0)),0),"")</f>
        <v/>
      </c>
      <c r="CH88" s="406" t="str">
        <f>IFERROR(ROUNDUP(CD88/INDEX(bhpc_data[units_per_carton],MATCH(BZ88,bhpc_data[sku],0)),0),"")</f>
        <v/>
      </c>
      <c r="CI88" s="406" t="str">
        <f>IFERROR(ROUNDUP(CF88/INDEX(bhpc_data[units_per_carton],MATCH(BZ88,bhpc_data[sku])),0),"")</f>
        <v/>
      </c>
      <c r="CJ88" s="406" t="str">
        <f>IFERROR(((CB88+CD88+CF88)/INDEX(bhpc_data[units_per_carton],MATCH(BZ88,bhpc_data[sku],0)))*INDEX(bhpc_data[net_weight],MATCH(BZ88,bhpc_data[sku],0)),"")</f>
        <v/>
      </c>
      <c r="CK88" s="406" t="str">
        <f>IFERROR(((CB88+CD88+CF88)/INDEX(bhpc_data[units_per_carton],MATCH(BZ88,bhpc_data[sku],0)))*INDEX(bhpc_data[gross_weight],MATCH(BZ88,bhpc_data[sku],0)),"")</f>
        <v/>
      </c>
      <c r="CL88" s="602" t="str">
        <f>IFERROR((CB88+CD88+CF88)/INDEX(bhpc_data[units_per_carton],MATCH(BZ88,bhpc_data[sku],0))*INDEX(bhpc_data[length],MATCH(BZ88,bhpc_data[sku],0))*INDEX(bhpc_data[width],MATCH(BZ88,bhpc_data[sku],0))*INDEX(bhpc_data[height],MATCH(BZ88,bhpc_data[sku],0))/1000000000,"")</f>
        <v/>
      </c>
      <c r="CM88" s="407" t="str">
        <f>IFERROR(INDEX(bhpc_data[category],MATCH(BZ88,bhpc_data[sku],0)),"")</f>
        <v/>
      </c>
      <c r="CN88" s="407" t="str">
        <f>IFERROR(INDEX(bhpc_data[size],MATCH(BZ88,bhpc_data[sku],0)),"")</f>
        <v/>
      </c>
      <c r="CO88" s="408" t="str">
        <f>IFERROR(INDEX(bhpc_data[hs_code],MATCH(BZ88,bhpc_data[sku],0)),"")</f>
        <v/>
      </c>
      <c r="CP88" s="489" t="str">
        <f>IFERROR(INDEX(bhpc_data[sku_geko],MATCH(BZ88,bhpc_data[sku],0)),"")</f>
        <v/>
      </c>
      <c r="CQ88" s="404"/>
      <c r="CR88" s="517" t="str">
        <f>IFERROR(IF(BZ88="","",IF($BX$15="SALE",INDEX(inventory[COSTO UNITARIO],MATCH(BZ88,inventory[SKU],0)),IF($BX$15="SAMPLING",INDEX(inventory[COSTO UNITARIO],MATCH(BZ88,inventory[SKU],0)),""))),"")</f>
        <v/>
      </c>
      <c r="CS88" s="517" t="str">
        <f t="shared" si="11"/>
        <v/>
      </c>
      <c r="CT88" s="896" t="str">
        <f t="shared" si="12"/>
        <v/>
      </c>
      <c r="CU88" s="469" t="str">
        <f t="shared" si="13"/>
        <v/>
      </c>
      <c r="DB88" s="280" t="str">
        <f>IFERROR(VLOOKUP(BZ88,bhpc_data[],22,FALSE),"")</f>
        <v/>
      </c>
      <c r="EE88" s="445" t="str" cm="1">
        <f t="array" ref="EE88">IFERROR(IF($EC$9="",IF($EC$11="",IF($EC$13="",INDEX(bhpc_data[sku],SMALL(MATCH(ROW(bhpc_data[sku]),ROW(bhpc_data[sku])),ROWS($A$15:A93)+$B$3)),INDEX(bhpc_data[sku],SMALL(IF(ISNUMBER(MATCH(bhpc_data[size],$EC$13,0)),MATCH(ROW(bhpc_data[sku]),ROW(bhpc_data[sku])),""),ROWS($A$15:A93)+$B$3))),IF($EC$13="",INDEX(bhpc_data[sku],SMALL(IF(ISNUMBER(MATCH(bhpc_data[sex],$EC$11,0)),MATCH(ROW(bhpc_data[sku]),ROW(bhpc_data[sku])),""),ROWS($A$15:A93)+$B$3)),INDEX(bhpc_data[sku],SMALL(IF(ISNUMBER(MATCH(bhpc_data[sex],$EC$11,0)*MATCH(bhpc_data[size],$EC$13,0)),MATCH(ROW(bhpc_data[sku]),ROW(bhpc_data[sku])),""),ROWS($A$15:A93)+$B$3)))),IF($EC$11="",IF($EC$13="",INDEX(bhpc_data[sku],SMALL(IF(ISNUMBER(MATCH(bhpc_data[category],$EC$9,0)),MATCH(ROW(bhpc_data[sku]),ROW(bhpc_data[sku])),""),ROWS($A$15:A93)+$B$3)),INDEX(bhpc_data[sku],SMALL(IF(ISNUMBER(MATCH(bhpc_data[category],$EC$9,0)*MATCH(bhpc_data[size],$EC$13,0)),MATCH(ROW(bhpc_data[sku]),ROW(bhpc_data[sku])),""),ROWS($A$15:A93)+$B$3))),IF($EC$13="",INDEX(bhpc_data[sku],SMALL(IF(ISNUMBER(MATCH(bhpc_data[category],$EC$9,0)*MATCH(bhpc_data[sex],$EC$11,0)),MATCH(ROW(bhpc_data[sku]),ROW(bhpc_data[sku])),""),ROWS($A$15:A93)+$B$3)),INDEX(bhpc_data[sku],SMALL(IF(ISNUMBER(MATCH(bhpc_data[category],$EC$9,0)*MATCH(bhpc_data[sex],$EC$11,0)*MATCH(bhpc_data[size],$EC$13,0)),MATCH(ROW(bhpc_data[sku]),ROW(bhpc_data[sku])),""),ROWS($A$15:A93)+$B$3))))),"")</f>
        <v>X00TPM</v>
      </c>
      <c r="EF88" s="446" t="str" cm="1">
        <f t="array" ref="EF88">IFERROR(IF($EC$9="",IF($EC$11="",IF($EC$13="",INDEX(bhpc_data[description],SMALL(MATCH(ROW(bhpc_data[sku]),ROW(bhpc_data[sku])),ROWS($A$15:A93)+$B$3)),INDEX(bhpc_data[description],SMALL(IF(ISNUMBER(MATCH(bhpc_data[size],$EC$13,0)),MATCH(ROW(bhpc_data[sku]),ROW(bhpc_data[sku])),""),ROWS($A$15:A93)+$B$3))),IF($EC$13="",INDEX(bhpc_data[description],SMALL(IF(ISNUMBER(MATCH(bhpc_data[sex],$EC$11,0)),MATCH(ROW(bhpc_data[sku]),ROW(bhpc_data[sku])),""),ROWS($A$15:A93)+$B$3)),INDEX(bhpc_data[description],SMALL(IF(ISNUMBER(MATCH(bhpc_data[sex],$EC$11,0)*MATCH(bhpc_data[size],$EC$13,0)),MATCH(ROW(bhpc_data[sku]),ROW(bhpc_data[sku])),""),ROWS($A$15:A93)+$B$3)))),IF($EC$11="",IF($EC$13="",INDEX(bhpc_data[description],SMALL(IF(ISNUMBER(MATCH(bhpc_data[category],$EC$9,0)),MATCH(ROW(bhpc_data[sku]),ROW(bhpc_data[sku])),""),ROWS($A$15:A93)+$B$3)),INDEX(bhpc_data[description],SMALL(IF(ISNUMBER(MATCH(bhpc_data[category],$EC$9,0)*MATCH(bhpc_data[size],$EC$13,0)),MATCH(ROW(bhpc_data[sku]),ROW(bhpc_data[sku])),""),ROWS($A$15:A93)+$B$3))),IF($EC$13="",INDEX(bhpc_data[description],SMALL(IF(ISNUMBER(MATCH(bhpc_data[category],$EC$9,0)*MATCH(bhpc_data[sex],$EC$11,0)),MATCH(ROW(bhpc_data[sku]),ROW(bhpc_data[sku])),""),ROWS($A$15:A93)+$B$3)),INDEX(bhpc_data[description],SMALL(IF(ISNUMBER(MATCH(bhpc_data[category],$EC$9,0)*MATCH(bhpc_data[sex],$EC$11,0)*MATCH(bhpc_data[size],$EC$13,0)),MATCH(ROW(bhpc_data[sku]),ROW(bhpc_data[sku])),""),ROWS($A$15:A93)+$B$3))))),"")</f>
        <v>BHPC BOX TWIN PACK DEO MEN</v>
      </c>
      <c r="EG88" s="447">
        <f>IFERROR(IF('BHPC MANAGER'!$EE88="","",INDEX(inventory[ESISTENZA],MATCH('BHPC MANAGER'!$EE88,inventory[SKU],0))),0)</f>
        <v>0</v>
      </c>
      <c r="EH88" s="448" t="s">
        <v>861</v>
      </c>
      <c r="EI88" s="448">
        <f t="shared" si="14"/>
        <v>0</v>
      </c>
      <c r="EJ88" s="449" t="s">
        <v>861</v>
      </c>
      <c r="EK88" s="450">
        <f t="shared" si="15"/>
        <v>0</v>
      </c>
    </row>
    <row r="89" spans="59:141" ht="15" customHeight="1" x14ac:dyDescent="0.35">
      <c r="BK89" s="296"/>
      <c r="BL89" s="297"/>
      <c r="BM89" s="298"/>
      <c r="BN89" s="297"/>
      <c r="BO89" s="298"/>
      <c r="BZ89" s="414"/>
      <c r="CA89" s="401" t="str">
        <f>IFERROR(IF(BZ89="","",INDEX(bhpc_data[description],MATCH(BZ89,bhpc_data[sku],0))),"")</f>
        <v/>
      </c>
      <c r="CB89" s="403"/>
      <c r="CC89" s="886"/>
      <c r="CD89" s="415"/>
      <c r="CE89" s="891"/>
      <c r="CF89" s="404"/>
      <c r="CG89" s="405" t="str">
        <f>IFERROR(ROUNDUP(CB89/INDEX(bhpc_data[units_per_carton],MATCH(BZ89,bhpc_data[sku],0)),0),"")</f>
        <v/>
      </c>
      <c r="CH89" s="406" t="str">
        <f>IFERROR(ROUNDUP(CD89/INDEX(bhpc_data[units_per_carton],MATCH(BZ89,bhpc_data[sku],0)),0),"")</f>
        <v/>
      </c>
      <c r="CI89" s="406" t="str">
        <f>IFERROR(ROUNDUP(CF89/INDEX(bhpc_data[units_per_carton],MATCH(BZ89,bhpc_data[sku])),0),"")</f>
        <v/>
      </c>
      <c r="CJ89" s="406" t="str">
        <f>IFERROR(((CB89+CD89+CF89)/INDEX(bhpc_data[units_per_carton],MATCH(BZ89,bhpc_data[sku],0)))*INDEX(bhpc_data[net_weight],MATCH(BZ89,bhpc_data[sku],0)),"")</f>
        <v/>
      </c>
      <c r="CK89" s="406" t="str">
        <f>IFERROR(((CB89+CD89+CF89)/INDEX(bhpc_data[units_per_carton],MATCH(BZ89,bhpc_data[sku],0)))*INDEX(bhpc_data[gross_weight],MATCH(BZ89,bhpc_data[sku],0)),"")</f>
        <v/>
      </c>
      <c r="CL89" s="602" t="str">
        <f>IFERROR((CB89+CD89+CF89)/INDEX(bhpc_data[units_per_carton],MATCH(BZ89,bhpc_data[sku],0))*INDEX(bhpc_data[length],MATCH(BZ89,bhpc_data[sku],0))*INDEX(bhpc_data[width],MATCH(BZ89,bhpc_data[sku],0))*INDEX(bhpc_data[height],MATCH(BZ89,bhpc_data[sku],0))/1000000000,"")</f>
        <v/>
      </c>
      <c r="CM89" s="407" t="str">
        <f>IFERROR(INDEX(bhpc_data[category],MATCH(BZ89,bhpc_data[sku],0)),"")</f>
        <v/>
      </c>
      <c r="CN89" s="407" t="str">
        <f>IFERROR(INDEX(bhpc_data[size],MATCH(BZ89,bhpc_data[sku],0)),"")</f>
        <v/>
      </c>
      <c r="CO89" s="408" t="str">
        <f>IFERROR(INDEX(bhpc_data[hs_code],MATCH(BZ89,bhpc_data[sku],0)),"")</f>
        <v/>
      </c>
      <c r="CP89" s="489" t="str">
        <f>IFERROR(INDEX(bhpc_data[sku_geko],MATCH(BZ89,bhpc_data[sku],0)),"")</f>
        <v/>
      </c>
      <c r="CQ89" s="404"/>
      <c r="CR89" s="517" t="str">
        <f>IFERROR(IF(BZ89="","",IF($BX$15="SALE",INDEX(inventory[COSTO UNITARIO],MATCH(BZ89,inventory[SKU],0)),IF($BX$15="SAMPLING",INDEX(inventory[COSTO UNITARIO],MATCH(BZ89,inventory[SKU],0)),""))),"")</f>
        <v/>
      </c>
      <c r="CS89" s="517" t="str">
        <f t="shared" si="11"/>
        <v/>
      </c>
      <c r="CT89" s="896" t="str">
        <f t="shared" si="12"/>
        <v/>
      </c>
      <c r="CU89" s="469" t="str">
        <f t="shared" si="13"/>
        <v/>
      </c>
      <c r="DB89" s="280" t="str">
        <f>IFERROR(VLOOKUP(BZ89,bhpc_data[],22,FALSE),"")</f>
        <v/>
      </c>
      <c r="EE89" s="439" t="str" cm="1">
        <f t="array" ref="EE89">IFERROR(IF($EC$9="",IF($EC$11="",IF($EC$13="",INDEX(bhpc_data[sku],SMALL(MATCH(ROW(bhpc_data[sku]),ROW(bhpc_data[sku])),ROWS($A$15:A94)+$B$3)),INDEX(bhpc_data[sku],SMALL(IF(ISNUMBER(MATCH(bhpc_data[size],$EC$13,0)),MATCH(ROW(bhpc_data[sku]),ROW(bhpc_data[sku])),""),ROWS($A$15:A94)+$B$3))),IF($EC$13="",INDEX(bhpc_data[sku],SMALL(IF(ISNUMBER(MATCH(bhpc_data[sex],$EC$11,0)),MATCH(ROW(bhpc_data[sku]),ROW(bhpc_data[sku])),""),ROWS($A$15:A94)+$B$3)),INDEX(bhpc_data[sku],SMALL(IF(ISNUMBER(MATCH(bhpc_data[sex],$EC$11,0)*MATCH(bhpc_data[size],$EC$13,0)),MATCH(ROW(bhpc_data[sku]),ROW(bhpc_data[sku])),""),ROWS($A$15:A94)+$B$3)))),IF($EC$11="",IF($EC$13="",INDEX(bhpc_data[sku],SMALL(IF(ISNUMBER(MATCH(bhpc_data[category],$EC$9,0)),MATCH(ROW(bhpc_data[sku]),ROW(bhpc_data[sku])),""),ROWS($A$15:A94)+$B$3)),INDEX(bhpc_data[sku],SMALL(IF(ISNUMBER(MATCH(bhpc_data[category],$EC$9,0)*MATCH(bhpc_data[size],$EC$13,0)),MATCH(ROW(bhpc_data[sku]),ROW(bhpc_data[sku])),""),ROWS($A$15:A94)+$B$3))),IF($EC$13="",INDEX(bhpc_data[sku],SMALL(IF(ISNUMBER(MATCH(bhpc_data[category],$EC$9,0)*MATCH(bhpc_data[sex],$EC$11,0)),MATCH(ROW(bhpc_data[sku]),ROW(bhpc_data[sku])),""),ROWS($A$15:A94)+$B$3)),INDEX(bhpc_data[sku],SMALL(IF(ISNUMBER(MATCH(bhpc_data[category],$EC$9,0)*MATCH(bhpc_data[sex],$EC$11,0)*MATCH(bhpc_data[size],$EC$13,0)),MATCH(ROW(bhpc_data[sku]),ROW(bhpc_data[sku])),""),ROWS($A$15:A94)+$B$3))))),"")</f>
        <v>X00TPW</v>
      </c>
      <c r="EF89" s="440" t="str" cm="1">
        <f t="array" ref="EF89">IFERROR(IF($EC$9="",IF($EC$11="",IF($EC$13="",INDEX(bhpc_data[description],SMALL(MATCH(ROW(bhpc_data[sku]),ROW(bhpc_data[sku])),ROWS($A$15:A94)+$B$3)),INDEX(bhpc_data[description],SMALL(IF(ISNUMBER(MATCH(bhpc_data[size],$EC$13,0)),MATCH(ROW(bhpc_data[sku]),ROW(bhpc_data[sku])),""),ROWS($A$15:A94)+$B$3))),IF($EC$13="",INDEX(bhpc_data[description],SMALL(IF(ISNUMBER(MATCH(bhpc_data[sex],$EC$11,0)),MATCH(ROW(bhpc_data[sku]),ROW(bhpc_data[sku])),""),ROWS($A$15:A94)+$B$3)),INDEX(bhpc_data[description],SMALL(IF(ISNUMBER(MATCH(bhpc_data[sex],$EC$11,0)*MATCH(bhpc_data[size],$EC$13,0)),MATCH(ROW(bhpc_data[sku]),ROW(bhpc_data[sku])),""),ROWS($A$15:A94)+$B$3)))),IF($EC$11="",IF($EC$13="",INDEX(bhpc_data[description],SMALL(IF(ISNUMBER(MATCH(bhpc_data[category],$EC$9,0)),MATCH(ROW(bhpc_data[sku]),ROW(bhpc_data[sku])),""),ROWS($A$15:A94)+$B$3)),INDEX(bhpc_data[description],SMALL(IF(ISNUMBER(MATCH(bhpc_data[category],$EC$9,0)*MATCH(bhpc_data[size],$EC$13,0)),MATCH(ROW(bhpc_data[sku]),ROW(bhpc_data[sku])),""),ROWS($A$15:A94)+$B$3))),IF($EC$13="",INDEX(bhpc_data[description],SMALL(IF(ISNUMBER(MATCH(bhpc_data[category],$EC$9,0)*MATCH(bhpc_data[sex],$EC$11,0)),MATCH(ROW(bhpc_data[sku]),ROW(bhpc_data[sku])),""),ROWS($A$15:A94)+$B$3)),INDEX(bhpc_data[description],SMALL(IF(ISNUMBER(MATCH(bhpc_data[category],$EC$9,0)*MATCH(bhpc_data[sex],$EC$11,0)*MATCH(bhpc_data[size],$EC$13,0)),MATCH(ROW(bhpc_data[sku]),ROW(bhpc_data[sku])),""),ROWS($A$15:A94)+$B$3))))),"")</f>
        <v>BHPC BOX TWIN PACK DEO WOMEN</v>
      </c>
      <c r="EG89" s="441">
        <f>IFERROR(IF('BHPC MANAGER'!$EE89="","",INDEX(inventory[ESISTENZA],MATCH('BHPC MANAGER'!$EE89,inventory[SKU],0))),0)</f>
        <v>0</v>
      </c>
      <c r="EH89" s="442" t="s">
        <v>861</v>
      </c>
      <c r="EI89" s="442">
        <f t="shared" si="14"/>
        <v>0</v>
      </c>
      <c r="EJ89" s="443" t="s">
        <v>861</v>
      </c>
      <c r="EK89" s="444">
        <f t="shared" si="15"/>
        <v>0</v>
      </c>
    </row>
    <row r="90" spans="59:141" ht="15" customHeight="1" x14ac:dyDescent="0.35">
      <c r="BK90" s="296"/>
      <c r="BL90" s="297"/>
      <c r="BM90" s="298"/>
      <c r="BN90" s="297"/>
      <c r="BO90" s="298"/>
      <c r="BZ90" s="414"/>
      <c r="CA90" s="401" t="str">
        <f>IFERROR(IF(BZ90="","",INDEX(bhpc_data[description],MATCH(BZ90,bhpc_data[sku],0))),"")</f>
        <v/>
      </c>
      <c r="CB90" s="403"/>
      <c r="CC90" s="886"/>
      <c r="CD90" s="415"/>
      <c r="CE90" s="891"/>
      <c r="CF90" s="404"/>
      <c r="CG90" s="405" t="str">
        <f>IFERROR(ROUNDUP(CB90/INDEX(bhpc_data[units_per_carton],MATCH(BZ90,bhpc_data[sku],0)),0),"")</f>
        <v/>
      </c>
      <c r="CH90" s="406" t="str">
        <f>IFERROR(ROUNDUP(CD90/INDEX(bhpc_data[units_per_carton],MATCH(BZ90,bhpc_data[sku],0)),0),"")</f>
        <v/>
      </c>
      <c r="CI90" s="406" t="str">
        <f>IFERROR(ROUNDUP(CF90/INDEX(bhpc_data[units_per_carton],MATCH(BZ90,bhpc_data[sku])),0),"")</f>
        <v/>
      </c>
      <c r="CJ90" s="406" t="str">
        <f>IFERROR(((CB90+CD90+CF90)/INDEX(bhpc_data[units_per_carton],MATCH(BZ90,bhpc_data[sku],0)))*INDEX(bhpc_data[net_weight],MATCH(BZ90,bhpc_data[sku],0)),"")</f>
        <v/>
      </c>
      <c r="CK90" s="406" t="str">
        <f>IFERROR(((CB90+CD90+CF90)/INDEX(bhpc_data[units_per_carton],MATCH(BZ90,bhpc_data[sku],0)))*INDEX(bhpc_data[gross_weight],MATCH(BZ90,bhpc_data[sku],0)),"")</f>
        <v/>
      </c>
      <c r="CL90" s="602" t="str">
        <f>IFERROR((CB90+CD90+CF90)/INDEX(bhpc_data[units_per_carton],MATCH(BZ90,bhpc_data[sku],0))*INDEX(bhpc_data[length],MATCH(BZ90,bhpc_data[sku],0))*INDEX(bhpc_data[width],MATCH(BZ90,bhpc_data[sku],0))*INDEX(bhpc_data[height],MATCH(BZ90,bhpc_data[sku],0))/1000000000,"")</f>
        <v/>
      </c>
      <c r="CM90" s="407" t="str">
        <f>IFERROR(INDEX(bhpc_data[category],MATCH(BZ90,bhpc_data[sku],0)),"")</f>
        <v/>
      </c>
      <c r="CN90" s="407" t="str">
        <f>IFERROR(INDEX(bhpc_data[size],MATCH(BZ90,bhpc_data[sku],0)),"")</f>
        <v/>
      </c>
      <c r="CO90" s="408" t="str">
        <f>IFERROR(INDEX(bhpc_data[hs_code],MATCH(BZ90,bhpc_data[sku],0)),"")</f>
        <v/>
      </c>
      <c r="CP90" s="489" t="str">
        <f>IFERROR(INDEX(bhpc_data[sku_geko],MATCH(BZ90,bhpc_data[sku],0)),"")</f>
        <v/>
      </c>
      <c r="CQ90" s="404"/>
      <c r="CR90" s="517" t="str">
        <f>IFERROR(IF(BZ90="","",IF($BX$15="SALE",INDEX(inventory[COSTO UNITARIO],MATCH(BZ90,inventory[SKU],0)),IF($BX$15="SAMPLING",INDEX(inventory[COSTO UNITARIO],MATCH(BZ90,inventory[SKU],0)),""))),"")</f>
        <v/>
      </c>
      <c r="CS90" s="517" t="str">
        <f t="shared" si="11"/>
        <v/>
      </c>
      <c r="CT90" s="896" t="str">
        <f t="shared" si="12"/>
        <v/>
      </c>
      <c r="CU90" s="469" t="str">
        <f t="shared" si="13"/>
        <v/>
      </c>
      <c r="DB90" s="280" t="str">
        <f>IFERROR(VLOOKUP(BZ90,bhpc_data[],22,FALSE),"")</f>
        <v/>
      </c>
      <c r="EE90" s="445" t="str" cm="1">
        <f t="array" ref="EE90">IFERROR(IF($EC$9="",IF($EC$11="",IF($EC$13="",INDEX(bhpc_data[sku],SMALL(MATCH(ROW(bhpc_data[sku]),ROW(bhpc_data[sku])),ROWS($A$15:A95)+$B$3)),INDEX(bhpc_data[sku],SMALL(IF(ISNUMBER(MATCH(bhpc_data[size],$EC$13,0)),MATCH(ROW(bhpc_data[sku]),ROW(bhpc_data[sku])),""),ROWS($A$15:A95)+$B$3))),IF($EC$13="",INDEX(bhpc_data[sku],SMALL(IF(ISNUMBER(MATCH(bhpc_data[sex],$EC$11,0)),MATCH(ROW(bhpc_data[sku]),ROW(bhpc_data[sku])),""),ROWS($A$15:A95)+$B$3)),INDEX(bhpc_data[sku],SMALL(IF(ISNUMBER(MATCH(bhpc_data[sex],$EC$11,0)*MATCH(bhpc_data[size],$EC$13,0)),MATCH(ROW(bhpc_data[sku]),ROW(bhpc_data[sku])),""),ROWS($A$15:A95)+$B$3)))),IF($EC$11="",IF($EC$13="",INDEX(bhpc_data[sku],SMALL(IF(ISNUMBER(MATCH(bhpc_data[category],$EC$9,0)),MATCH(ROW(bhpc_data[sku]),ROW(bhpc_data[sku])),""),ROWS($A$15:A95)+$B$3)),INDEX(bhpc_data[sku],SMALL(IF(ISNUMBER(MATCH(bhpc_data[category],$EC$9,0)*MATCH(bhpc_data[size],$EC$13,0)),MATCH(ROW(bhpc_data[sku]),ROW(bhpc_data[sku])),""),ROWS($A$15:A95)+$B$3))),IF($EC$13="",INDEX(bhpc_data[sku],SMALL(IF(ISNUMBER(MATCH(bhpc_data[category],$EC$9,0)*MATCH(bhpc_data[sex],$EC$11,0)),MATCH(ROW(bhpc_data[sku]),ROW(bhpc_data[sku])),""),ROWS($A$15:A95)+$B$3)),INDEX(bhpc_data[sku],SMALL(IF(ISNUMBER(MATCH(bhpc_data[category],$EC$9,0)*MATCH(bhpc_data[sex],$EC$11,0)*MATCH(bhpc_data[size],$EC$13,0)),MATCH(ROW(bhpc_data[sku]),ROW(bhpc_data[sku])),""),ROWS($A$15:A95)+$B$3))))),"")</f>
        <v>X05068</v>
      </c>
      <c r="EF90" s="446" t="str" cm="1">
        <f t="array" ref="EF90">IFERROR(IF($EC$9="",IF($EC$11="",IF($EC$13="",INDEX(bhpc_data[description],SMALL(MATCH(ROW(bhpc_data[sku]),ROW(bhpc_data[sku])),ROWS($A$15:A95)+$B$3)),INDEX(bhpc_data[description],SMALL(IF(ISNUMBER(MATCH(bhpc_data[size],$EC$13,0)),MATCH(ROW(bhpc_data[sku]),ROW(bhpc_data[sku])),""),ROWS($A$15:A95)+$B$3))),IF($EC$13="",INDEX(bhpc_data[description],SMALL(IF(ISNUMBER(MATCH(bhpc_data[sex],$EC$11,0)),MATCH(ROW(bhpc_data[sku]),ROW(bhpc_data[sku])),""),ROWS($A$15:A95)+$B$3)),INDEX(bhpc_data[description],SMALL(IF(ISNUMBER(MATCH(bhpc_data[sex],$EC$11,0)*MATCH(bhpc_data[size],$EC$13,0)),MATCH(ROW(bhpc_data[sku]),ROW(bhpc_data[sku])),""),ROWS($A$15:A95)+$B$3)))),IF($EC$11="",IF($EC$13="",INDEX(bhpc_data[description],SMALL(IF(ISNUMBER(MATCH(bhpc_data[category],$EC$9,0)),MATCH(ROW(bhpc_data[sku]),ROW(bhpc_data[sku])),""),ROWS($A$15:A95)+$B$3)),INDEX(bhpc_data[description],SMALL(IF(ISNUMBER(MATCH(bhpc_data[category],$EC$9,0)*MATCH(bhpc_data[size],$EC$13,0)),MATCH(ROW(bhpc_data[sku]),ROW(bhpc_data[sku])),""),ROWS($A$15:A95)+$B$3))),IF($EC$13="",INDEX(bhpc_data[description],SMALL(IF(ISNUMBER(MATCH(bhpc_data[category],$EC$9,0)*MATCH(bhpc_data[sex],$EC$11,0)),MATCH(ROW(bhpc_data[sku]),ROW(bhpc_data[sku])),""),ROWS($A$15:A95)+$B$3)),INDEX(bhpc_data[description],SMALL(IF(ISNUMBER(MATCH(bhpc_data[category],$EC$9,0)*MATCH(bhpc_data[sex],$EC$11,0)*MATCH(bhpc_data[size],$EC$13,0)),MATCH(ROW(bhpc_data[sku]),ROW(bhpc_data[sku])),""),ROWS($A$15:A95)+$B$3))))),"")</f>
        <v>BHPC GS BOX MEN</v>
      </c>
      <c r="EG90" s="447">
        <f>IFERROR(IF('BHPC MANAGER'!$EE90="","",INDEX(inventory[ESISTENZA],MATCH('BHPC MANAGER'!$EE90,inventory[SKU],0))),0)</f>
        <v>0</v>
      </c>
      <c r="EH90" s="448" t="s">
        <v>861</v>
      </c>
      <c r="EI90" s="448">
        <f t="shared" si="14"/>
        <v>0</v>
      </c>
      <c r="EJ90" s="449" t="s">
        <v>861</v>
      </c>
      <c r="EK90" s="450">
        <f t="shared" si="15"/>
        <v>0</v>
      </c>
    </row>
    <row r="91" spans="59:141" ht="15" customHeight="1" x14ac:dyDescent="0.35">
      <c r="BK91" s="296"/>
      <c r="BL91" s="297"/>
      <c r="BM91" s="298"/>
      <c r="BN91" s="297"/>
      <c r="BO91" s="298"/>
      <c r="BZ91" s="414"/>
      <c r="CA91" s="401" t="str">
        <f>IFERROR(IF(BZ91="","",INDEX(bhpc_data[description],MATCH(BZ91,bhpc_data[sku],0))),"")</f>
        <v/>
      </c>
      <c r="CB91" s="403"/>
      <c r="CC91" s="886"/>
      <c r="CD91" s="415"/>
      <c r="CE91" s="891"/>
      <c r="CF91" s="404"/>
      <c r="CG91" s="405" t="str">
        <f>IFERROR(ROUNDUP(CB91/INDEX(bhpc_data[units_per_carton],MATCH(BZ91,bhpc_data[sku],0)),0),"")</f>
        <v/>
      </c>
      <c r="CH91" s="406" t="str">
        <f>IFERROR(ROUNDUP(CD91/INDEX(bhpc_data[units_per_carton],MATCH(BZ91,bhpc_data[sku],0)),0),"")</f>
        <v/>
      </c>
      <c r="CI91" s="406" t="str">
        <f>IFERROR(ROUNDUP(CF91/INDEX(bhpc_data[units_per_carton],MATCH(BZ91,bhpc_data[sku])),0),"")</f>
        <v/>
      </c>
      <c r="CJ91" s="406" t="str">
        <f>IFERROR(((CB91+CD91+CF91)/INDEX(bhpc_data[units_per_carton],MATCH(BZ91,bhpc_data[sku],0)))*INDEX(bhpc_data[net_weight],MATCH(BZ91,bhpc_data[sku],0)),"")</f>
        <v/>
      </c>
      <c r="CK91" s="406" t="str">
        <f>IFERROR(((CB91+CD91+CF91)/INDEX(bhpc_data[units_per_carton],MATCH(BZ91,bhpc_data[sku],0)))*INDEX(bhpc_data[gross_weight],MATCH(BZ91,bhpc_data[sku],0)),"")</f>
        <v/>
      </c>
      <c r="CL91" s="602" t="str">
        <f>IFERROR((CB91+CD91+CF91)/INDEX(bhpc_data[units_per_carton],MATCH(BZ91,bhpc_data[sku],0))*INDEX(bhpc_data[length],MATCH(BZ91,bhpc_data[sku],0))*INDEX(bhpc_data[width],MATCH(BZ91,bhpc_data[sku],0))*INDEX(bhpc_data[height],MATCH(BZ91,bhpc_data[sku],0))/1000000000,"")</f>
        <v/>
      </c>
      <c r="CM91" s="407" t="str">
        <f>IFERROR(INDEX(bhpc_data[category],MATCH(BZ91,bhpc_data[sku],0)),"")</f>
        <v/>
      </c>
      <c r="CN91" s="407" t="str">
        <f>IFERROR(INDEX(bhpc_data[size],MATCH(BZ91,bhpc_data[sku],0)),"")</f>
        <v/>
      </c>
      <c r="CO91" s="408" t="str">
        <f>IFERROR(INDEX(bhpc_data[hs_code],MATCH(BZ91,bhpc_data[sku],0)),"")</f>
        <v/>
      </c>
      <c r="CP91" s="489" t="str">
        <f>IFERROR(INDEX(bhpc_data[sku_geko],MATCH(BZ91,bhpc_data[sku],0)),"")</f>
        <v/>
      </c>
      <c r="CQ91" s="404"/>
      <c r="CR91" s="517" t="str">
        <f>IFERROR(IF(BZ91="","",IF($BX$15="SALE",INDEX(inventory[COSTO UNITARIO],MATCH(BZ91,inventory[SKU],0)),IF($BX$15="SAMPLING",INDEX(inventory[COSTO UNITARIO],MATCH(BZ91,inventory[SKU],0)),""))),"")</f>
        <v/>
      </c>
      <c r="CS91" s="517" t="str">
        <f t="shared" si="11"/>
        <v/>
      </c>
      <c r="CT91" s="896" t="str">
        <f t="shared" si="12"/>
        <v/>
      </c>
      <c r="CU91" s="469" t="str">
        <f t="shared" si="13"/>
        <v/>
      </c>
      <c r="DB91" s="280" t="str">
        <f>IFERROR(VLOOKUP(BZ91,bhpc_data[],22,FALSE),"")</f>
        <v/>
      </c>
      <c r="EE91" s="439" t="str" cm="1">
        <f t="array" ref="EE91">IFERROR(IF($EC$9="",IF($EC$11="",IF($EC$13="",INDEX(bhpc_data[sku],SMALL(MATCH(ROW(bhpc_data[sku]),ROW(bhpc_data[sku])),ROWS($A$15:A96)+$B$3)),INDEX(bhpc_data[sku],SMALL(IF(ISNUMBER(MATCH(bhpc_data[size],$EC$13,0)),MATCH(ROW(bhpc_data[sku]),ROW(bhpc_data[sku])),""),ROWS($A$15:A96)+$B$3))),IF($EC$13="",INDEX(bhpc_data[sku],SMALL(IF(ISNUMBER(MATCH(bhpc_data[sex],$EC$11,0)),MATCH(ROW(bhpc_data[sku]),ROW(bhpc_data[sku])),""),ROWS($A$15:A96)+$B$3)),INDEX(bhpc_data[sku],SMALL(IF(ISNUMBER(MATCH(bhpc_data[sex],$EC$11,0)*MATCH(bhpc_data[size],$EC$13,0)),MATCH(ROW(bhpc_data[sku]),ROW(bhpc_data[sku])),""),ROWS($A$15:A96)+$B$3)))),IF($EC$11="",IF($EC$13="",INDEX(bhpc_data[sku],SMALL(IF(ISNUMBER(MATCH(bhpc_data[category],$EC$9,0)),MATCH(ROW(bhpc_data[sku]),ROW(bhpc_data[sku])),""),ROWS($A$15:A96)+$B$3)),INDEX(bhpc_data[sku],SMALL(IF(ISNUMBER(MATCH(bhpc_data[category],$EC$9,0)*MATCH(bhpc_data[size],$EC$13,0)),MATCH(ROW(bhpc_data[sku]),ROW(bhpc_data[sku])),""),ROWS($A$15:A96)+$B$3))),IF($EC$13="",INDEX(bhpc_data[sku],SMALL(IF(ISNUMBER(MATCH(bhpc_data[category],$EC$9,0)*MATCH(bhpc_data[sex],$EC$11,0)),MATCH(ROW(bhpc_data[sku]),ROW(bhpc_data[sku])),""),ROWS($A$15:A96)+$B$3)),INDEX(bhpc_data[sku],SMALL(IF(ISNUMBER(MATCH(bhpc_data[category],$EC$9,0)*MATCH(bhpc_data[sex],$EC$11,0)*MATCH(bhpc_data[size],$EC$13,0)),MATCH(ROW(bhpc_data[sku]),ROW(bhpc_data[sku])),""),ROWS($A$15:A96)+$B$3))))),"")</f>
        <v>X05072</v>
      </c>
      <c r="EF91" s="440" t="str" cm="1">
        <f t="array" ref="EF91">IFERROR(IF($EC$9="",IF($EC$11="",IF($EC$13="",INDEX(bhpc_data[description],SMALL(MATCH(ROW(bhpc_data[sku]),ROW(bhpc_data[sku])),ROWS($A$15:A96)+$B$3)),INDEX(bhpc_data[description],SMALL(IF(ISNUMBER(MATCH(bhpc_data[size],$EC$13,0)),MATCH(ROW(bhpc_data[sku]),ROW(bhpc_data[sku])),""),ROWS($A$15:A96)+$B$3))),IF($EC$13="",INDEX(bhpc_data[description],SMALL(IF(ISNUMBER(MATCH(bhpc_data[sex],$EC$11,0)),MATCH(ROW(bhpc_data[sku]),ROW(bhpc_data[sku])),""),ROWS($A$15:A96)+$B$3)),INDEX(bhpc_data[description],SMALL(IF(ISNUMBER(MATCH(bhpc_data[sex],$EC$11,0)*MATCH(bhpc_data[size],$EC$13,0)),MATCH(ROW(bhpc_data[sku]),ROW(bhpc_data[sku])),""),ROWS($A$15:A96)+$B$3)))),IF($EC$11="",IF($EC$13="",INDEX(bhpc_data[description],SMALL(IF(ISNUMBER(MATCH(bhpc_data[category],$EC$9,0)),MATCH(ROW(bhpc_data[sku]),ROW(bhpc_data[sku])),""),ROWS($A$15:A96)+$B$3)),INDEX(bhpc_data[description],SMALL(IF(ISNUMBER(MATCH(bhpc_data[category],$EC$9,0)*MATCH(bhpc_data[size],$EC$13,0)),MATCH(ROW(bhpc_data[sku]),ROW(bhpc_data[sku])),""),ROWS($A$15:A96)+$B$3))),IF($EC$13="",INDEX(bhpc_data[description],SMALL(IF(ISNUMBER(MATCH(bhpc_data[category],$EC$9,0)*MATCH(bhpc_data[sex],$EC$11,0)),MATCH(ROW(bhpc_data[sku]),ROW(bhpc_data[sku])),""),ROWS($A$15:A96)+$B$3)),INDEX(bhpc_data[description],SMALL(IF(ISNUMBER(MATCH(bhpc_data[category],$EC$9,0)*MATCH(bhpc_data[sex],$EC$11,0)*MATCH(bhpc_data[size],$EC$13,0)),MATCH(ROW(bhpc_data[sku]),ROW(bhpc_data[sku])),""),ROWS($A$15:A96)+$B$3))))),"")</f>
        <v>BHPC GS BOX WOMEN</v>
      </c>
      <c r="EG91" s="441">
        <f>IFERROR(IF('BHPC MANAGER'!$EE91="","",INDEX(inventory[ESISTENZA],MATCH('BHPC MANAGER'!$EE91,inventory[SKU],0))),0)</f>
        <v>0</v>
      </c>
      <c r="EH91" s="442" t="s">
        <v>861</v>
      </c>
      <c r="EI91" s="442">
        <f t="shared" si="14"/>
        <v>0</v>
      </c>
      <c r="EJ91" s="443" t="s">
        <v>861</v>
      </c>
      <c r="EK91" s="444">
        <f t="shared" si="15"/>
        <v>0</v>
      </c>
    </row>
    <row r="92" spans="59:141" ht="15" customHeight="1" x14ac:dyDescent="0.35">
      <c r="BK92" s="296"/>
      <c r="BL92" s="297"/>
      <c r="BM92" s="298"/>
      <c r="BN92" s="297"/>
      <c r="BO92" s="298"/>
      <c r="BZ92" s="414"/>
      <c r="CA92" s="401" t="str">
        <f>IFERROR(IF(BZ92="","",INDEX(bhpc_data[description],MATCH(BZ92,bhpc_data[sku],0))),"")</f>
        <v/>
      </c>
      <c r="CB92" s="403"/>
      <c r="CC92" s="886"/>
      <c r="CD92" s="415"/>
      <c r="CE92" s="891"/>
      <c r="CF92" s="404"/>
      <c r="CG92" s="405" t="str">
        <f>IFERROR(ROUNDUP(CB92/INDEX(bhpc_data[units_per_carton],MATCH(BZ92,bhpc_data[sku],0)),0),"")</f>
        <v/>
      </c>
      <c r="CH92" s="406" t="str">
        <f>IFERROR(ROUNDUP(CD92/INDEX(bhpc_data[units_per_carton],MATCH(BZ92,bhpc_data[sku],0)),0),"")</f>
        <v/>
      </c>
      <c r="CI92" s="406" t="str">
        <f>IFERROR(ROUNDUP(CF92/INDEX(bhpc_data[units_per_carton],MATCH(BZ92,bhpc_data[sku])),0),"")</f>
        <v/>
      </c>
      <c r="CJ92" s="406" t="str">
        <f>IFERROR(((CB92+CD92+CF92)/INDEX(bhpc_data[units_per_carton],MATCH(BZ92,bhpc_data[sku],0)))*INDEX(bhpc_data[net_weight],MATCH(BZ92,bhpc_data[sku],0)),"")</f>
        <v/>
      </c>
      <c r="CK92" s="406" t="str">
        <f>IFERROR(((CB92+CD92+CF92)/INDEX(bhpc_data[units_per_carton],MATCH(BZ92,bhpc_data[sku],0)))*INDEX(bhpc_data[gross_weight],MATCH(BZ92,bhpc_data[sku],0)),"")</f>
        <v/>
      </c>
      <c r="CL92" s="602" t="str">
        <f>IFERROR((CB92+CD92+CF92)/INDEX(bhpc_data[units_per_carton],MATCH(BZ92,bhpc_data[sku],0))*INDEX(bhpc_data[length],MATCH(BZ92,bhpc_data[sku],0))*INDEX(bhpc_data[width],MATCH(BZ92,bhpc_data[sku],0))*INDEX(bhpc_data[height],MATCH(BZ92,bhpc_data[sku],0))/1000000000,"")</f>
        <v/>
      </c>
      <c r="CM92" s="407" t="str">
        <f>IFERROR(INDEX(bhpc_data[category],MATCH(BZ92,bhpc_data[sku],0)),"")</f>
        <v/>
      </c>
      <c r="CN92" s="407" t="str">
        <f>IFERROR(INDEX(bhpc_data[size],MATCH(BZ92,bhpc_data[sku],0)),"")</f>
        <v/>
      </c>
      <c r="CO92" s="408" t="str">
        <f>IFERROR(INDEX(bhpc_data[hs_code],MATCH(BZ92,bhpc_data[sku],0)),"")</f>
        <v/>
      </c>
      <c r="CP92" s="489" t="str">
        <f>IFERROR(INDEX(bhpc_data[sku_geko],MATCH(BZ92,bhpc_data[sku],0)),"")</f>
        <v/>
      </c>
      <c r="CQ92" s="404"/>
      <c r="CR92" s="517" t="str">
        <f>IFERROR(IF(BZ92="","",IF($BX$15="SALE",INDEX(inventory[COSTO UNITARIO],MATCH(BZ92,inventory[SKU],0)),IF($BX$15="SAMPLING",INDEX(inventory[COSTO UNITARIO],MATCH(BZ92,inventory[SKU],0)),""))),"")</f>
        <v/>
      </c>
      <c r="CS92" s="517" t="str">
        <f t="shared" si="11"/>
        <v/>
      </c>
      <c r="CT92" s="896" t="str">
        <f t="shared" si="12"/>
        <v/>
      </c>
      <c r="CU92" s="469" t="str">
        <f t="shared" si="13"/>
        <v/>
      </c>
      <c r="DB92" s="280" t="str">
        <f>IFERROR(VLOOKUP(BZ92,bhpc_data[],22,FALSE),"")</f>
        <v/>
      </c>
      <c r="EE92" s="445" t="str" cm="1">
        <f t="array" ref="EE92">IFERROR(IF($EC$9="",IF($EC$11="",IF($EC$13="",INDEX(bhpc_data[sku],SMALL(MATCH(ROW(bhpc_data[sku]),ROW(bhpc_data[sku])),ROWS($A$15:A97)+$B$3)),INDEX(bhpc_data[sku],SMALL(IF(ISNUMBER(MATCH(bhpc_data[size],$EC$13,0)),MATCH(ROW(bhpc_data[sku]),ROW(bhpc_data[sku])),""),ROWS($A$15:A97)+$B$3))),IF($EC$13="",INDEX(bhpc_data[sku],SMALL(IF(ISNUMBER(MATCH(bhpc_data[sex],$EC$11,0)),MATCH(ROW(bhpc_data[sku]),ROW(bhpc_data[sku])),""),ROWS($A$15:A97)+$B$3)),INDEX(bhpc_data[sku],SMALL(IF(ISNUMBER(MATCH(bhpc_data[sex],$EC$11,0)*MATCH(bhpc_data[size],$EC$13,0)),MATCH(ROW(bhpc_data[sku]),ROW(bhpc_data[sku])),""),ROWS($A$15:A97)+$B$3)))),IF($EC$11="",IF($EC$13="",INDEX(bhpc_data[sku],SMALL(IF(ISNUMBER(MATCH(bhpc_data[category],$EC$9,0)),MATCH(ROW(bhpc_data[sku]),ROW(bhpc_data[sku])),""),ROWS($A$15:A97)+$B$3)),INDEX(bhpc_data[sku],SMALL(IF(ISNUMBER(MATCH(bhpc_data[category],$EC$9,0)*MATCH(bhpc_data[size],$EC$13,0)),MATCH(ROW(bhpc_data[sku]),ROW(bhpc_data[sku])),""),ROWS($A$15:A97)+$B$3))),IF($EC$13="",INDEX(bhpc_data[sku],SMALL(IF(ISNUMBER(MATCH(bhpc_data[category],$EC$9,0)*MATCH(bhpc_data[sex],$EC$11,0)),MATCH(ROW(bhpc_data[sku]),ROW(bhpc_data[sku])),""),ROWS($A$15:A97)+$B$3)),INDEX(bhpc_data[sku],SMALL(IF(ISNUMBER(MATCH(bhpc_data[category],$EC$9,0)*MATCH(bhpc_data[sex],$EC$11,0)*MATCH(bhpc_data[size],$EC$13,0)),MATCH(ROW(bhpc_data[sku]),ROW(bhpc_data[sku])),""),ROWS($A$15:A97)+$B$3))))),"")</f>
        <v>X06012</v>
      </c>
      <c r="EF92" s="446" t="str" cm="1">
        <f t="array" ref="EF92">IFERROR(IF($EC$9="",IF($EC$11="",IF($EC$13="",INDEX(bhpc_data[description],SMALL(MATCH(ROW(bhpc_data[sku]),ROW(bhpc_data[sku])),ROWS($A$15:A97)+$B$3)),INDEX(bhpc_data[description],SMALL(IF(ISNUMBER(MATCH(bhpc_data[size],$EC$13,0)),MATCH(ROW(bhpc_data[sku]),ROW(bhpc_data[sku])),""),ROWS($A$15:A97)+$B$3))),IF($EC$13="",INDEX(bhpc_data[description],SMALL(IF(ISNUMBER(MATCH(bhpc_data[sex],$EC$11,0)),MATCH(ROW(bhpc_data[sku]),ROW(bhpc_data[sku])),""),ROWS($A$15:A97)+$B$3)),INDEX(bhpc_data[description],SMALL(IF(ISNUMBER(MATCH(bhpc_data[sex],$EC$11,0)*MATCH(bhpc_data[size],$EC$13,0)),MATCH(ROW(bhpc_data[sku]),ROW(bhpc_data[sku])),""),ROWS($A$15:A97)+$B$3)))),IF($EC$11="",IF($EC$13="",INDEX(bhpc_data[description],SMALL(IF(ISNUMBER(MATCH(bhpc_data[category],$EC$9,0)),MATCH(ROW(bhpc_data[sku]),ROW(bhpc_data[sku])),""),ROWS($A$15:A97)+$B$3)),INDEX(bhpc_data[description],SMALL(IF(ISNUMBER(MATCH(bhpc_data[category],$EC$9,0)*MATCH(bhpc_data[size],$EC$13,0)),MATCH(ROW(bhpc_data[sku]),ROW(bhpc_data[sku])),""),ROWS($A$15:A97)+$B$3))),IF($EC$13="",INDEX(bhpc_data[description],SMALL(IF(ISNUMBER(MATCH(bhpc_data[category],$EC$9,0)*MATCH(bhpc_data[sex],$EC$11,0)),MATCH(ROW(bhpc_data[sku]),ROW(bhpc_data[sku])),""),ROWS($A$15:A97)+$B$3)),INDEX(bhpc_data[description],SMALL(IF(ISNUMBER(MATCH(bhpc_data[category],$EC$9,0)*MATCH(bhpc_data[sex],$EC$11,0)*MATCH(bhpc_data[size],$EC$13,0)),MATCH(ROW(bhpc_data[sku]),ROW(bhpc_data[sku])),""),ROWS($A$15:A97)+$B$3))))),"")</f>
        <v>BHPC BOX TROPHY+DEO300ML</v>
      </c>
      <c r="EG92" s="447">
        <f>IFERROR(IF('BHPC MANAGER'!$EE92="","",INDEX(inventory[ESISTENZA],MATCH('BHPC MANAGER'!$EE92,inventory[SKU],0))),0)</f>
        <v>2000</v>
      </c>
      <c r="EH92" s="448">
        <v>-1971</v>
      </c>
      <c r="EI92" s="448">
        <f t="shared" si="14"/>
        <v>29</v>
      </c>
      <c r="EJ92" s="449">
        <v>0</v>
      </c>
      <c r="EK92" s="450">
        <f t="shared" si="15"/>
        <v>29</v>
      </c>
    </row>
    <row r="93" spans="59:141" ht="15" customHeight="1" x14ac:dyDescent="0.35">
      <c r="BK93" s="296"/>
      <c r="BL93" s="297"/>
      <c r="BM93" s="298"/>
      <c r="BN93" s="297"/>
      <c r="BO93" s="298"/>
      <c r="BZ93" s="414"/>
      <c r="CA93" s="401" t="str">
        <f>IFERROR(IF(BZ93="","",INDEX(bhpc_data[description],MATCH(BZ93,bhpc_data[sku],0))),"")</f>
        <v/>
      </c>
      <c r="CB93" s="403"/>
      <c r="CC93" s="886"/>
      <c r="CD93" s="415"/>
      <c r="CE93" s="891"/>
      <c r="CF93" s="404"/>
      <c r="CG93" s="405" t="str">
        <f>IFERROR(ROUNDUP(CB93/INDEX(bhpc_data[units_per_carton],MATCH(BZ93,bhpc_data[sku],0)),0),"")</f>
        <v/>
      </c>
      <c r="CH93" s="406" t="str">
        <f>IFERROR(ROUNDUP(CD93/INDEX(bhpc_data[units_per_carton],MATCH(BZ93,bhpc_data[sku],0)),0),"")</f>
        <v/>
      </c>
      <c r="CI93" s="406" t="str">
        <f>IFERROR(ROUNDUP(CF93/INDEX(bhpc_data[units_per_carton],MATCH(BZ93,bhpc_data[sku])),0),"")</f>
        <v/>
      </c>
      <c r="CJ93" s="406" t="str">
        <f>IFERROR(((CB93+CD93+CF93)/INDEX(bhpc_data[units_per_carton],MATCH(BZ93,bhpc_data[sku],0)))*INDEX(bhpc_data[net_weight],MATCH(BZ93,bhpc_data[sku],0)),"")</f>
        <v/>
      </c>
      <c r="CK93" s="406" t="str">
        <f>IFERROR(((CB93+CD93+CF93)/INDEX(bhpc_data[units_per_carton],MATCH(BZ93,bhpc_data[sku],0)))*INDEX(bhpc_data[gross_weight],MATCH(BZ93,bhpc_data[sku],0)),"")</f>
        <v/>
      </c>
      <c r="CL93" s="602" t="str">
        <f>IFERROR((CB93+CD93+CF93)/INDEX(bhpc_data[units_per_carton],MATCH(BZ93,bhpc_data[sku],0))*INDEX(bhpc_data[length],MATCH(BZ93,bhpc_data[sku],0))*INDEX(bhpc_data[width],MATCH(BZ93,bhpc_data[sku],0))*INDEX(bhpc_data[height],MATCH(BZ93,bhpc_data[sku],0))/1000000000,"")</f>
        <v/>
      </c>
      <c r="CM93" s="407" t="str">
        <f>IFERROR(INDEX(bhpc_data[category],MATCH(BZ93,bhpc_data[sku],0)),"")</f>
        <v/>
      </c>
      <c r="CN93" s="407" t="str">
        <f>IFERROR(INDEX(bhpc_data[size],MATCH(BZ93,bhpc_data[sku],0)),"")</f>
        <v/>
      </c>
      <c r="CO93" s="408" t="str">
        <f>IFERROR(INDEX(bhpc_data[hs_code],MATCH(BZ93,bhpc_data[sku],0)),"")</f>
        <v/>
      </c>
      <c r="CP93" s="489" t="str">
        <f>IFERROR(INDEX(bhpc_data[sku_geko],MATCH(BZ93,bhpc_data[sku],0)),"")</f>
        <v/>
      </c>
      <c r="CQ93" s="404"/>
      <c r="CR93" s="517" t="str">
        <f>IFERROR(IF(BZ93="","",IF($BX$15="SALE",INDEX(inventory[COSTO UNITARIO],MATCH(BZ93,inventory[SKU],0)),IF($BX$15="SAMPLING",INDEX(inventory[COSTO UNITARIO],MATCH(BZ93,inventory[SKU],0)),""))),"")</f>
        <v/>
      </c>
      <c r="CS93" s="517" t="str">
        <f t="shared" si="11"/>
        <v/>
      </c>
      <c r="CT93" s="896" t="str">
        <f t="shared" si="12"/>
        <v/>
      </c>
      <c r="CU93" s="469" t="str">
        <f t="shared" si="13"/>
        <v/>
      </c>
      <c r="DB93" s="280" t="str">
        <f>IFERROR(VLOOKUP(BZ93,bhpc_data[],22,FALSE),"")</f>
        <v/>
      </c>
      <c r="EE93" s="439" t="str" cm="1">
        <f t="array" ref="EE93">IFERROR(IF($EC$9="",IF($EC$11="",IF($EC$13="",INDEX(bhpc_data[sku],SMALL(MATCH(ROW(bhpc_data[sku]),ROW(bhpc_data[sku])),ROWS($A$15:A98)+$B$3)),INDEX(bhpc_data[sku],SMALL(IF(ISNUMBER(MATCH(bhpc_data[size],$EC$13,0)),MATCH(ROW(bhpc_data[sku]),ROW(bhpc_data[sku])),""),ROWS($A$15:A98)+$B$3))),IF($EC$13="",INDEX(bhpc_data[sku],SMALL(IF(ISNUMBER(MATCH(bhpc_data[sex],$EC$11,0)),MATCH(ROW(bhpc_data[sku]),ROW(bhpc_data[sku])),""),ROWS($A$15:A98)+$B$3)),INDEX(bhpc_data[sku],SMALL(IF(ISNUMBER(MATCH(bhpc_data[sex],$EC$11,0)*MATCH(bhpc_data[size],$EC$13,0)),MATCH(ROW(bhpc_data[sku]),ROW(bhpc_data[sku])),""),ROWS($A$15:A98)+$B$3)))),IF($EC$11="",IF($EC$13="",INDEX(bhpc_data[sku],SMALL(IF(ISNUMBER(MATCH(bhpc_data[category],$EC$9,0)),MATCH(ROW(bhpc_data[sku]),ROW(bhpc_data[sku])),""),ROWS($A$15:A98)+$B$3)),INDEX(bhpc_data[sku],SMALL(IF(ISNUMBER(MATCH(bhpc_data[category],$EC$9,0)*MATCH(bhpc_data[size],$EC$13,0)),MATCH(ROW(bhpc_data[sku]),ROW(bhpc_data[sku])),""),ROWS($A$15:A98)+$B$3))),IF($EC$13="",INDEX(bhpc_data[sku],SMALL(IF(ISNUMBER(MATCH(bhpc_data[category],$EC$9,0)*MATCH(bhpc_data[sex],$EC$11,0)),MATCH(ROW(bhpc_data[sku]),ROW(bhpc_data[sku])),""),ROWS($A$15:A98)+$B$3)),INDEX(bhpc_data[sku],SMALL(IF(ISNUMBER(MATCH(bhpc_data[category],$EC$9,0)*MATCH(bhpc_data[sex],$EC$11,0)*MATCH(bhpc_data[size],$EC$13,0)),MATCH(ROW(bhpc_data[sku]),ROW(bhpc_data[sku])),""),ROWS($A$15:A98)+$B$3))))),"")</f>
        <v>X0SP4M</v>
      </c>
      <c r="EF93" s="440" t="str" cm="1">
        <f t="array" ref="EF93">IFERROR(IF($EC$9="",IF($EC$11="",IF($EC$13="",INDEX(bhpc_data[description],SMALL(MATCH(ROW(bhpc_data[sku]),ROW(bhpc_data[sku])),ROWS($A$15:A98)+$B$3)),INDEX(bhpc_data[description],SMALL(IF(ISNUMBER(MATCH(bhpc_data[size],$EC$13,0)),MATCH(ROW(bhpc_data[sku]),ROW(bhpc_data[sku])),""),ROWS($A$15:A98)+$B$3))),IF($EC$13="",INDEX(bhpc_data[description],SMALL(IF(ISNUMBER(MATCH(bhpc_data[sex],$EC$11,0)),MATCH(ROW(bhpc_data[sku]),ROW(bhpc_data[sku])),""),ROWS($A$15:A98)+$B$3)),INDEX(bhpc_data[description],SMALL(IF(ISNUMBER(MATCH(bhpc_data[sex],$EC$11,0)*MATCH(bhpc_data[size],$EC$13,0)),MATCH(ROW(bhpc_data[sku]),ROW(bhpc_data[sku])),""),ROWS($A$15:A98)+$B$3)))),IF($EC$11="",IF($EC$13="",INDEX(bhpc_data[description],SMALL(IF(ISNUMBER(MATCH(bhpc_data[category],$EC$9,0)),MATCH(ROW(bhpc_data[sku]),ROW(bhpc_data[sku])),""),ROWS($A$15:A98)+$B$3)),INDEX(bhpc_data[description],SMALL(IF(ISNUMBER(MATCH(bhpc_data[category],$EC$9,0)*MATCH(bhpc_data[size],$EC$13,0)),MATCH(ROW(bhpc_data[sku]),ROW(bhpc_data[sku])),""),ROWS($A$15:A98)+$B$3))),IF($EC$13="",INDEX(bhpc_data[description],SMALL(IF(ISNUMBER(MATCH(bhpc_data[category],$EC$9,0)*MATCH(bhpc_data[sex],$EC$11,0)),MATCH(ROW(bhpc_data[sku]),ROW(bhpc_data[sku])),""),ROWS($A$15:A98)+$B$3)),INDEX(bhpc_data[description],SMALL(IF(ISNUMBER(MATCH(bhpc_data[category],$EC$9,0)*MATCH(bhpc_data[sex],$EC$11,0)*MATCH(bhpc_data[size],$EC$13,0)),MATCH(ROW(bhpc_data[sku]),ROW(bhpc_data[sku])),""),ROWS($A$15:A98)+$B$3))))),"")</f>
        <v>BHPC BOX SERIES 4 DEO MEN</v>
      </c>
      <c r="EG93" s="441">
        <f>IFERROR(IF('BHPC MANAGER'!$EE93="","",INDEX(inventory[ESISTENZA],MATCH('BHPC MANAGER'!$EE93,inventory[SKU],0))),0)</f>
        <v>0</v>
      </c>
      <c r="EH93" s="442" t="s">
        <v>861</v>
      </c>
      <c r="EI93" s="442">
        <f t="shared" si="14"/>
        <v>0</v>
      </c>
      <c r="EJ93" s="443" t="s">
        <v>861</v>
      </c>
      <c r="EK93" s="444">
        <f t="shared" si="15"/>
        <v>0</v>
      </c>
    </row>
    <row r="94" spans="59:141" ht="15" customHeight="1" x14ac:dyDescent="0.35">
      <c r="BK94" s="296"/>
      <c r="BL94" s="297"/>
      <c r="BM94" s="298"/>
      <c r="BN94" s="297"/>
      <c r="BO94" s="298"/>
      <c r="BZ94" s="414"/>
      <c r="CA94" s="401" t="str">
        <f>IFERROR(IF(BZ94="","",INDEX(bhpc_data[description],MATCH(BZ94,bhpc_data[sku],0))),"")</f>
        <v/>
      </c>
      <c r="CB94" s="403"/>
      <c r="CC94" s="886"/>
      <c r="CD94" s="415"/>
      <c r="CE94" s="891"/>
      <c r="CF94" s="404"/>
      <c r="CG94" s="405" t="str">
        <f>IFERROR(ROUNDUP(CB94/INDEX(bhpc_data[units_per_carton],MATCH(BZ94,bhpc_data[sku],0)),0),"")</f>
        <v/>
      </c>
      <c r="CH94" s="406" t="str">
        <f>IFERROR(ROUNDUP(CD94/INDEX(bhpc_data[units_per_carton],MATCH(BZ94,bhpc_data[sku],0)),0),"")</f>
        <v/>
      </c>
      <c r="CI94" s="406" t="str">
        <f>IFERROR(ROUNDUP(CF94/INDEX(bhpc_data[units_per_carton],MATCH(BZ94,bhpc_data[sku])),0),"")</f>
        <v/>
      </c>
      <c r="CJ94" s="406" t="str">
        <f>IFERROR(((CB94+CD94+CF94)/INDEX(bhpc_data[units_per_carton],MATCH(BZ94,bhpc_data[sku],0)))*INDEX(bhpc_data[net_weight],MATCH(BZ94,bhpc_data[sku],0)),"")</f>
        <v/>
      </c>
      <c r="CK94" s="406" t="str">
        <f>IFERROR(((CB94+CD94+CF94)/INDEX(bhpc_data[units_per_carton],MATCH(BZ94,bhpc_data[sku],0)))*INDEX(bhpc_data[gross_weight],MATCH(BZ94,bhpc_data[sku],0)),"")</f>
        <v/>
      </c>
      <c r="CL94" s="602" t="str">
        <f>IFERROR((CB94+CD94+CF94)/INDEX(bhpc_data[units_per_carton],MATCH(BZ94,bhpc_data[sku],0))*INDEX(bhpc_data[length],MATCH(BZ94,bhpc_data[sku],0))*INDEX(bhpc_data[width],MATCH(BZ94,bhpc_data[sku],0))*INDEX(bhpc_data[height],MATCH(BZ94,bhpc_data[sku],0))/1000000000,"")</f>
        <v/>
      </c>
      <c r="CM94" s="407" t="str">
        <f>IFERROR(INDEX(bhpc_data[category],MATCH(BZ94,bhpc_data[sku],0)),"")</f>
        <v/>
      </c>
      <c r="CN94" s="407" t="str">
        <f>IFERROR(INDEX(bhpc_data[size],MATCH(BZ94,bhpc_data[sku],0)),"")</f>
        <v/>
      </c>
      <c r="CO94" s="408" t="str">
        <f>IFERROR(INDEX(bhpc_data[hs_code],MATCH(BZ94,bhpc_data[sku],0)),"")</f>
        <v/>
      </c>
      <c r="CP94" s="489" t="str">
        <f>IFERROR(INDEX(bhpc_data[sku_geko],MATCH(BZ94,bhpc_data[sku],0)),"")</f>
        <v/>
      </c>
      <c r="CQ94" s="404"/>
      <c r="CR94" s="517" t="str">
        <f>IFERROR(IF(BZ94="","",IF($BX$15="SALE",INDEX(inventory[COSTO UNITARIO],MATCH(BZ94,inventory[SKU],0)),IF($BX$15="SAMPLING",INDEX(inventory[COSTO UNITARIO],MATCH(BZ94,inventory[SKU],0)),""))),"")</f>
        <v/>
      </c>
      <c r="CS94" s="517" t="str">
        <f t="shared" si="11"/>
        <v/>
      </c>
      <c r="CT94" s="896" t="str">
        <f t="shared" si="12"/>
        <v/>
      </c>
      <c r="CU94" s="469" t="str">
        <f t="shared" si="13"/>
        <v/>
      </c>
      <c r="DB94" s="280" t="str">
        <f>IFERROR(VLOOKUP(BZ94,bhpc_data[],22,FALSE),"")</f>
        <v/>
      </c>
      <c r="EE94" s="445" t="str" cm="1">
        <f t="array" ref="EE94">IFERROR(IF($EC$9="",IF($EC$11="",IF($EC$13="",INDEX(bhpc_data[sku],SMALL(MATCH(ROW(bhpc_data[sku]),ROW(bhpc_data[sku])),ROWS($A$15:A99)+$B$3)),INDEX(bhpc_data[sku],SMALL(IF(ISNUMBER(MATCH(bhpc_data[size],$EC$13,0)),MATCH(ROW(bhpc_data[sku]),ROW(bhpc_data[sku])),""),ROWS($A$15:A99)+$B$3))),IF($EC$13="",INDEX(bhpc_data[sku],SMALL(IF(ISNUMBER(MATCH(bhpc_data[sex],$EC$11,0)),MATCH(ROW(bhpc_data[sku]),ROW(bhpc_data[sku])),""),ROWS($A$15:A99)+$B$3)),INDEX(bhpc_data[sku],SMALL(IF(ISNUMBER(MATCH(bhpc_data[sex],$EC$11,0)*MATCH(bhpc_data[size],$EC$13,0)),MATCH(ROW(bhpc_data[sku]),ROW(bhpc_data[sku])),""),ROWS($A$15:A99)+$B$3)))),IF($EC$11="",IF($EC$13="",INDEX(bhpc_data[sku],SMALL(IF(ISNUMBER(MATCH(bhpc_data[category],$EC$9,0)),MATCH(ROW(bhpc_data[sku]),ROW(bhpc_data[sku])),""),ROWS($A$15:A99)+$B$3)),INDEX(bhpc_data[sku],SMALL(IF(ISNUMBER(MATCH(bhpc_data[category],$EC$9,0)*MATCH(bhpc_data[size],$EC$13,0)),MATCH(ROW(bhpc_data[sku]),ROW(bhpc_data[sku])),""),ROWS($A$15:A99)+$B$3))),IF($EC$13="",INDEX(bhpc_data[sku],SMALL(IF(ISNUMBER(MATCH(bhpc_data[category],$EC$9,0)*MATCH(bhpc_data[sex],$EC$11,0)),MATCH(ROW(bhpc_data[sku]),ROW(bhpc_data[sku])),""),ROWS($A$15:A99)+$B$3)),INDEX(bhpc_data[sku],SMALL(IF(ISNUMBER(MATCH(bhpc_data[category],$EC$9,0)*MATCH(bhpc_data[sex],$EC$11,0)*MATCH(bhpc_data[size],$EC$13,0)),MATCH(ROW(bhpc_data[sku]),ROW(bhpc_data[sku])),""),ROWS($A$15:A99)+$B$3))))),"")</f>
        <v>X0SP4W</v>
      </c>
      <c r="EF94" s="446" t="str" cm="1">
        <f t="array" ref="EF94">IFERROR(IF($EC$9="",IF($EC$11="",IF($EC$13="",INDEX(bhpc_data[description],SMALL(MATCH(ROW(bhpc_data[sku]),ROW(bhpc_data[sku])),ROWS($A$15:A99)+$B$3)),INDEX(bhpc_data[description],SMALL(IF(ISNUMBER(MATCH(bhpc_data[size],$EC$13,0)),MATCH(ROW(bhpc_data[sku]),ROW(bhpc_data[sku])),""),ROWS($A$15:A99)+$B$3))),IF($EC$13="",INDEX(bhpc_data[description],SMALL(IF(ISNUMBER(MATCH(bhpc_data[sex],$EC$11,0)),MATCH(ROW(bhpc_data[sku]),ROW(bhpc_data[sku])),""),ROWS($A$15:A99)+$B$3)),INDEX(bhpc_data[description],SMALL(IF(ISNUMBER(MATCH(bhpc_data[sex],$EC$11,0)*MATCH(bhpc_data[size],$EC$13,0)),MATCH(ROW(bhpc_data[sku]),ROW(bhpc_data[sku])),""),ROWS($A$15:A99)+$B$3)))),IF($EC$11="",IF($EC$13="",INDEX(bhpc_data[description],SMALL(IF(ISNUMBER(MATCH(bhpc_data[category],$EC$9,0)),MATCH(ROW(bhpc_data[sku]),ROW(bhpc_data[sku])),""),ROWS($A$15:A99)+$B$3)),INDEX(bhpc_data[description],SMALL(IF(ISNUMBER(MATCH(bhpc_data[category],$EC$9,0)*MATCH(bhpc_data[size],$EC$13,0)),MATCH(ROW(bhpc_data[sku]),ROW(bhpc_data[sku])),""),ROWS($A$15:A99)+$B$3))),IF($EC$13="",INDEX(bhpc_data[description],SMALL(IF(ISNUMBER(MATCH(bhpc_data[category],$EC$9,0)*MATCH(bhpc_data[sex],$EC$11,0)),MATCH(ROW(bhpc_data[sku]),ROW(bhpc_data[sku])),""),ROWS($A$15:A99)+$B$3)),INDEX(bhpc_data[description],SMALL(IF(ISNUMBER(MATCH(bhpc_data[category],$EC$9,0)*MATCH(bhpc_data[sex],$EC$11,0)*MATCH(bhpc_data[size],$EC$13,0)),MATCH(ROW(bhpc_data[sku]),ROW(bhpc_data[sku])),""),ROWS($A$15:A99)+$B$3))))),"")</f>
        <v>BHPC BOX SERIES 4 DEO WOMEN</v>
      </c>
      <c r="EG94" s="447">
        <f>IFERROR(IF('BHPC MANAGER'!$EE94="","",INDEX(inventory[ESISTENZA],MATCH('BHPC MANAGER'!$EE94,inventory[SKU],0))),0)</f>
        <v>0</v>
      </c>
      <c r="EH94" s="448" t="s">
        <v>861</v>
      </c>
      <c r="EI94" s="448">
        <f t="shared" si="14"/>
        <v>0</v>
      </c>
      <c r="EJ94" s="449" t="s">
        <v>861</v>
      </c>
      <c r="EK94" s="450">
        <f t="shared" si="15"/>
        <v>0</v>
      </c>
    </row>
    <row r="95" spans="59:141" ht="15" customHeight="1" x14ac:dyDescent="0.35">
      <c r="BK95" s="296"/>
      <c r="BL95" s="297"/>
      <c r="BM95" s="298"/>
      <c r="BN95" s="297"/>
      <c r="BO95" s="298"/>
      <c r="BZ95" s="414"/>
      <c r="CA95" s="401" t="str">
        <f>IFERROR(IF(BZ95="","",INDEX(bhpc_data[description],MATCH(BZ95,bhpc_data[sku],0))),"")</f>
        <v/>
      </c>
      <c r="CB95" s="403"/>
      <c r="CC95" s="886"/>
      <c r="CD95" s="415"/>
      <c r="CE95" s="891"/>
      <c r="CF95" s="404"/>
      <c r="CG95" s="405" t="str">
        <f>IFERROR(ROUNDUP(CB95/INDEX(bhpc_data[units_per_carton],MATCH(BZ95,bhpc_data[sku],0)),0),"")</f>
        <v/>
      </c>
      <c r="CH95" s="406" t="str">
        <f>IFERROR(ROUNDUP(CD95/INDEX(bhpc_data[units_per_carton],MATCH(BZ95,bhpc_data[sku],0)),0),"")</f>
        <v/>
      </c>
      <c r="CI95" s="406" t="str">
        <f>IFERROR(ROUNDUP(CF95/INDEX(bhpc_data[units_per_carton],MATCH(BZ95,bhpc_data[sku])),0),"")</f>
        <v/>
      </c>
      <c r="CJ95" s="406" t="str">
        <f>IFERROR(((CB95+CD95+CF95)/INDEX(bhpc_data[units_per_carton],MATCH(BZ95,bhpc_data[sku],0)))*INDEX(bhpc_data[net_weight],MATCH(BZ95,bhpc_data[sku],0)),"")</f>
        <v/>
      </c>
      <c r="CK95" s="406" t="str">
        <f>IFERROR(((CB95+CD95+CF95)/INDEX(bhpc_data[units_per_carton],MATCH(BZ95,bhpc_data[sku],0)))*INDEX(bhpc_data[gross_weight],MATCH(BZ95,bhpc_data[sku],0)),"")</f>
        <v/>
      </c>
      <c r="CL95" s="602" t="str">
        <f>IFERROR((CB95+CD95+CF95)/INDEX(bhpc_data[units_per_carton],MATCH(BZ95,bhpc_data[sku],0))*INDEX(bhpc_data[length],MATCH(BZ95,bhpc_data[sku],0))*INDEX(bhpc_data[width],MATCH(BZ95,bhpc_data[sku],0))*INDEX(bhpc_data[height],MATCH(BZ95,bhpc_data[sku],0))/1000000000,"")</f>
        <v/>
      </c>
      <c r="CM95" s="407" t="str">
        <f>IFERROR(INDEX(bhpc_data[category],MATCH(BZ95,bhpc_data[sku],0)),"")</f>
        <v/>
      </c>
      <c r="CN95" s="407" t="str">
        <f>IFERROR(INDEX(bhpc_data[size],MATCH(BZ95,bhpc_data[sku],0)),"")</f>
        <v/>
      </c>
      <c r="CO95" s="408" t="str">
        <f>IFERROR(INDEX(bhpc_data[hs_code],MATCH(BZ95,bhpc_data[sku],0)),"")</f>
        <v/>
      </c>
      <c r="CP95" s="489" t="str">
        <f>IFERROR(INDEX(bhpc_data[sku_geko],MATCH(BZ95,bhpc_data[sku],0)),"")</f>
        <v/>
      </c>
      <c r="CQ95" s="404"/>
      <c r="CR95" s="517" t="str">
        <f>IFERROR(IF(BZ95="","",IF($BX$15="SALE",INDEX(inventory[COSTO UNITARIO],MATCH(BZ95,inventory[SKU],0)),IF($BX$15="SAMPLING",INDEX(inventory[COSTO UNITARIO],MATCH(BZ95,inventory[SKU],0)),""))),"")</f>
        <v/>
      </c>
      <c r="CS95" s="517" t="str">
        <f t="shared" si="11"/>
        <v/>
      </c>
      <c r="CT95" s="896" t="str">
        <f t="shared" si="12"/>
        <v/>
      </c>
      <c r="CU95" s="469" t="str">
        <f t="shared" si="13"/>
        <v/>
      </c>
      <c r="DB95" s="280" t="str">
        <f>IFERROR(VLOOKUP(BZ95,bhpc_data[],22,FALSE),"")</f>
        <v/>
      </c>
      <c r="EE95" s="439" t="str" cm="1">
        <f t="array" ref="EE95">IFERROR(IF($EC$9="",IF($EC$11="",IF($EC$13="",INDEX(bhpc_data[sku],SMALL(MATCH(ROW(bhpc_data[sku]),ROW(bhpc_data[sku])),ROWS($A$15:A100)+$B$3)),INDEX(bhpc_data[sku],SMALL(IF(ISNUMBER(MATCH(bhpc_data[size],$EC$13,0)),MATCH(ROW(bhpc_data[sku]),ROW(bhpc_data[sku])),""),ROWS($A$15:A100)+$B$3))),IF($EC$13="",INDEX(bhpc_data[sku],SMALL(IF(ISNUMBER(MATCH(bhpc_data[sex],$EC$11,0)),MATCH(ROW(bhpc_data[sku]),ROW(bhpc_data[sku])),""),ROWS($A$15:A100)+$B$3)),INDEX(bhpc_data[sku],SMALL(IF(ISNUMBER(MATCH(bhpc_data[sex],$EC$11,0)*MATCH(bhpc_data[size],$EC$13,0)),MATCH(ROW(bhpc_data[sku]),ROW(bhpc_data[sku])),""),ROWS($A$15:A100)+$B$3)))),IF($EC$11="",IF($EC$13="",INDEX(bhpc_data[sku],SMALL(IF(ISNUMBER(MATCH(bhpc_data[category],$EC$9,0)),MATCH(ROW(bhpc_data[sku]),ROW(bhpc_data[sku])),""),ROWS($A$15:A100)+$B$3)),INDEX(bhpc_data[sku],SMALL(IF(ISNUMBER(MATCH(bhpc_data[category],$EC$9,0)*MATCH(bhpc_data[size],$EC$13,0)),MATCH(ROW(bhpc_data[sku]),ROW(bhpc_data[sku])),""),ROWS($A$15:A100)+$B$3))),IF($EC$13="",INDEX(bhpc_data[sku],SMALL(IF(ISNUMBER(MATCH(bhpc_data[category],$EC$9,0)*MATCH(bhpc_data[sex],$EC$11,0)),MATCH(ROW(bhpc_data[sku]),ROW(bhpc_data[sku])),""),ROWS($A$15:A100)+$B$3)),INDEX(bhpc_data[sku],SMALL(IF(ISNUMBER(MATCH(bhpc_data[category],$EC$9,0)*MATCH(bhpc_data[sex],$EC$11,0)*MATCH(bhpc_data[size],$EC$13,0)),MATCH(ROW(bhpc_data[sku]),ROW(bhpc_data[sku])),""),ROWS($A$15:A100)+$B$3))))),"")</f>
        <v>P05024</v>
      </c>
      <c r="EF95" s="440" t="str" cm="1">
        <f t="array" ref="EF95">IFERROR(IF($EC$9="",IF($EC$11="",IF($EC$13="",INDEX(bhpc_data[description],SMALL(MATCH(ROW(bhpc_data[sku]),ROW(bhpc_data[sku])),ROWS($A$15:A100)+$B$3)),INDEX(bhpc_data[description],SMALL(IF(ISNUMBER(MATCH(bhpc_data[size],$EC$13,0)),MATCH(ROW(bhpc_data[sku]),ROW(bhpc_data[sku])),""),ROWS($A$15:A100)+$B$3))),IF($EC$13="",INDEX(bhpc_data[description],SMALL(IF(ISNUMBER(MATCH(bhpc_data[sex],$EC$11,0)),MATCH(ROW(bhpc_data[sku]),ROW(bhpc_data[sku])),""),ROWS($A$15:A100)+$B$3)),INDEX(bhpc_data[description],SMALL(IF(ISNUMBER(MATCH(bhpc_data[sex],$EC$11,0)*MATCH(bhpc_data[size],$EC$13,0)),MATCH(ROW(bhpc_data[sku]),ROW(bhpc_data[sku])),""),ROWS($A$15:A100)+$B$3)))),IF($EC$11="",IF($EC$13="",INDEX(bhpc_data[description],SMALL(IF(ISNUMBER(MATCH(bhpc_data[category],$EC$9,0)),MATCH(ROW(bhpc_data[sku]),ROW(bhpc_data[sku])),""),ROWS($A$15:A100)+$B$3)),INDEX(bhpc_data[description],SMALL(IF(ISNUMBER(MATCH(bhpc_data[category],$EC$9,0)*MATCH(bhpc_data[size],$EC$13,0)),MATCH(ROW(bhpc_data[sku]),ROW(bhpc_data[sku])),""),ROWS($A$15:A100)+$B$3))),IF($EC$13="",INDEX(bhpc_data[description],SMALL(IF(ISNUMBER(MATCH(bhpc_data[category],$EC$9,0)*MATCH(bhpc_data[sex],$EC$11,0)),MATCH(ROW(bhpc_data[sku]),ROW(bhpc_data[sku])),""),ROWS($A$15:A100)+$B$3)),INDEX(bhpc_data[description],SMALL(IF(ISNUMBER(MATCH(bhpc_data[category],$EC$9,0)*MATCH(bhpc_data[sex],$EC$11,0)*MATCH(bhpc_data[size],$EC$13,0)),MATCH(ROW(bhpc_data[sku]),ROW(bhpc_data[sku])),""),ROWS($A$15:A100)+$B$3))))),"")</f>
        <v>BHPC WOMEN 1 DEO 150ML</v>
      </c>
      <c r="EG95" s="441">
        <f>IFERROR(IF('BHPC MANAGER'!$EE95="","",INDEX(inventory[ESISTENZA],MATCH('BHPC MANAGER'!$EE95,inventory[SKU],0))),0)</f>
        <v>21194</v>
      </c>
      <c r="EH95" s="442">
        <v>-524</v>
      </c>
      <c r="EI95" s="442">
        <f t="shared" si="14"/>
        <v>20670</v>
      </c>
      <c r="EJ95" s="443">
        <v>0</v>
      </c>
      <c r="EK95" s="444">
        <f t="shared" si="15"/>
        <v>20670</v>
      </c>
    </row>
    <row r="96" spans="59:141" ht="15" customHeight="1" x14ac:dyDescent="0.35">
      <c r="BK96" s="296"/>
      <c r="BL96" s="297"/>
      <c r="BM96" s="298"/>
      <c r="BN96" s="297"/>
      <c r="BO96" s="298"/>
      <c r="BZ96" s="414"/>
      <c r="CA96" s="401" t="str">
        <f>IFERROR(IF(BZ96="","",INDEX(bhpc_data[description],MATCH(BZ96,bhpc_data[sku],0))),"")</f>
        <v/>
      </c>
      <c r="CB96" s="403"/>
      <c r="CC96" s="886"/>
      <c r="CD96" s="415"/>
      <c r="CE96" s="891"/>
      <c r="CF96" s="404"/>
      <c r="CG96" s="405" t="str">
        <f>IFERROR(ROUNDUP(CB96/INDEX(bhpc_data[units_per_carton],MATCH(BZ96,bhpc_data[sku],0)),0),"")</f>
        <v/>
      </c>
      <c r="CH96" s="406" t="str">
        <f>IFERROR(ROUNDUP(CD96/INDEX(bhpc_data[units_per_carton],MATCH(BZ96,bhpc_data[sku],0)),0),"")</f>
        <v/>
      </c>
      <c r="CI96" s="406" t="str">
        <f>IFERROR(ROUNDUP(CF96/INDEX(bhpc_data[units_per_carton],MATCH(BZ96,bhpc_data[sku])),0),"")</f>
        <v/>
      </c>
      <c r="CJ96" s="406" t="str">
        <f>IFERROR(((CB96+CD96+CF96)/INDEX(bhpc_data[units_per_carton],MATCH(BZ96,bhpc_data[sku],0)))*INDEX(bhpc_data[net_weight],MATCH(BZ96,bhpc_data[sku],0)),"")</f>
        <v/>
      </c>
      <c r="CK96" s="406" t="str">
        <f>IFERROR(((CB96+CD96+CF96)/INDEX(bhpc_data[units_per_carton],MATCH(BZ96,bhpc_data[sku],0)))*INDEX(bhpc_data[gross_weight],MATCH(BZ96,bhpc_data[sku],0)),"")</f>
        <v/>
      </c>
      <c r="CL96" s="602" t="str">
        <f>IFERROR((CB96+CD96+CF96)/INDEX(bhpc_data[units_per_carton],MATCH(BZ96,bhpc_data[sku],0))*INDEX(bhpc_data[length],MATCH(BZ96,bhpc_data[sku],0))*INDEX(bhpc_data[width],MATCH(BZ96,bhpc_data[sku],0))*INDEX(bhpc_data[height],MATCH(BZ96,bhpc_data[sku],0))/1000000000,"")</f>
        <v/>
      </c>
      <c r="CM96" s="407" t="str">
        <f>IFERROR(INDEX(bhpc_data[category],MATCH(BZ96,bhpc_data[sku],0)),"")</f>
        <v/>
      </c>
      <c r="CN96" s="407" t="str">
        <f>IFERROR(INDEX(bhpc_data[size],MATCH(BZ96,bhpc_data[sku],0)),"")</f>
        <v/>
      </c>
      <c r="CO96" s="408" t="str">
        <f>IFERROR(INDEX(bhpc_data[hs_code],MATCH(BZ96,bhpc_data[sku],0)),"")</f>
        <v/>
      </c>
      <c r="CP96" s="489" t="str">
        <f>IFERROR(INDEX(bhpc_data[sku_geko],MATCH(BZ96,bhpc_data[sku],0)),"")</f>
        <v/>
      </c>
      <c r="CQ96" s="404"/>
      <c r="CR96" s="517" t="str">
        <f>IFERROR(IF(BZ96="","",IF($BX$15="SALE",INDEX(inventory[COSTO UNITARIO],MATCH(BZ96,inventory[SKU],0)),IF($BX$15="SAMPLING",INDEX(inventory[COSTO UNITARIO],MATCH(BZ96,inventory[SKU],0)),""))),"")</f>
        <v/>
      </c>
      <c r="CS96" s="517" t="str">
        <f t="shared" si="11"/>
        <v/>
      </c>
      <c r="CT96" s="896" t="str">
        <f t="shared" si="12"/>
        <v/>
      </c>
      <c r="CU96" s="469" t="str">
        <f t="shared" si="13"/>
        <v/>
      </c>
      <c r="DB96" s="280" t="str">
        <f>IFERROR(VLOOKUP(BZ96,bhpc_data[],22,FALSE),"")</f>
        <v/>
      </c>
      <c r="EE96" s="445" t="str" cm="1">
        <f t="array" ref="EE96">IFERROR(IF($EC$9="",IF($EC$11="",IF($EC$13="",INDEX(bhpc_data[sku],SMALL(MATCH(ROW(bhpc_data[sku]),ROW(bhpc_data[sku])),ROWS($A$15:A101)+$B$3)),INDEX(bhpc_data[sku],SMALL(IF(ISNUMBER(MATCH(bhpc_data[size],$EC$13,0)),MATCH(ROW(bhpc_data[sku]),ROW(bhpc_data[sku])),""),ROWS($A$15:A101)+$B$3))),IF($EC$13="",INDEX(bhpc_data[sku],SMALL(IF(ISNUMBER(MATCH(bhpc_data[sex],$EC$11,0)),MATCH(ROW(bhpc_data[sku]),ROW(bhpc_data[sku])),""),ROWS($A$15:A101)+$B$3)),INDEX(bhpc_data[sku],SMALL(IF(ISNUMBER(MATCH(bhpc_data[sex],$EC$11,0)*MATCH(bhpc_data[size],$EC$13,0)),MATCH(ROW(bhpc_data[sku]),ROW(bhpc_data[sku])),""),ROWS($A$15:A101)+$B$3)))),IF($EC$11="",IF($EC$13="",INDEX(bhpc_data[sku],SMALL(IF(ISNUMBER(MATCH(bhpc_data[category],$EC$9,0)),MATCH(ROW(bhpc_data[sku]),ROW(bhpc_data[sku])),""),ROWS($A$15:A101)+$B$3)),INDEX(bhpc_data[sku],SMALL(IF(ISNUMBER(MATCH(bhpc_data[category],$EC$9,0)*MATCH(bhpc_data[size],$EC$13,0)),MATCH(ROW(bhpc_data[sku]),ROW(bhpc_data[sku])),""),ROWS($A$15:A101)+$B$3))),IF($EC$13="",INDEX(bhpc_data[sku],SMALL(IF(ISNUMBER(MATCH(bhpc_data[category],$EC$9,0)*MATCH(bhpc_data[sex],$EC$11,0)),MATCH(ROW(bhpc_data[sku]),ROW(bhpc_data[sku])),""),ROWS($A$15:A101)+$B$3)),INDEX(bhpc_data[sku],SMALL(IF(ISNUMBER(MATCH(bhpc_data[category],$EC$9,0)*MATCH(bhpc_data[sex],$EC$11,0)*MATCH(bhpc_data[size],$EC$13,0)),MATCH(ROW(bhpc_data[sku]),ROW(bhpc_data[sku])),""),ROWS($A$15:A101)+$B$3))))),"")</f>
        <v>P05025</v>
      </c>
      <c r="EF96" s="446" t="str" cm="1">
        <f t="array" ref="EF96">IFERROR(IF($EC$9="",IF($EC$11="",IF($EC$13="",INDEX(bhpc_data[description],SMALL(MATCH(ROW(bhpc_data[sku]),ROW(bhpc_data[sku])),ROWS($A$15:A101)+$B$3)),INDEX(bhpc_data[description],SMALL(IF(ISNUMBER(MATCH(bhpc_data[size],$EC$13,0)),MATCH(ROW(bhpc_data[sku]),ROW(bhpc_data[sku])),""),ROWS($A$15:A101)+$B$3))),IF($EC$13="",INDEX(bhpc_data[description],SMALL(IF(ISNUMBER(MATCH(bhpc_data[sex],$EC$11,0)),MATCH(ROW(bhpc_data[sku]),ROW(bhpc_data[sku])),""),ROWS($A$15:A101)+$B$3)),INDEX(bhpc_data[description],SMALL(IF(ISNUMBER(MATCH(bhpc_data[sex],$EC$11,0)*MATCH(bhpc_data[size],$EC$13,0)),MATCH(ROW(bhpc_data[sku]),ROW(bhpc_data[sku])),""),ROWS($A$15:A101)+$B$3)))),IF($EC$11="",IF($EC$13="",INDEX(bhpc_data[description],SMALL(IF(ISNUMBER(MATCH(bhpc_data[category],$EC$9,0)),MATCH(ROW(bhpc_data[sku]),ROW(bhpc_data[sku])),""),ROWS($A$15:A101)+$B$3)),INDEX(bhpc_data[description],SMALL(IF(ISNUMBER(MATCH(bhpc_data[category],$EC$9,0)*MATCH(bhpc_data[size],$EC$13,0)),MATCH(ROW(bhpc_data[sku]),ROW(bhpc_data[sku])),""),ROWS($A$15:A101)+$B$3))),IF($EC$13="",INDEX(bhpc_data[description],SMALL(IF(ISNUMBER(MATCH(bhpc_data[category],$EC$9,0)*MATCH(bhpc_data[sex],$EC$11,0)),MATCH(ROW(bhpc_data[sku]),ROW(bhpc_data[sku])),""),ROWS($A$15:A101)+$B$3)),INDEX(bhpc_data[description],SMALL(IF(ISNUMBER(MATCH(bhpc_data[category],$EC$9,0)*MATCH(bhpc_data[sex],$EC$11,0)*MATCH(bhpc_data[size],$EC$13,0)),MATCH(ROW(bhpc_data[sku]),ROW(bhpc_data[sku])),""),ROWS($A$15:A101)+$B$3))))),"")</f>
        <v>BHPC WOMEN 9 DEO 150ML</v>
      </c>
      <c r="EG96" s="447">
        <f>IFERROR(IF('BHPC MANAGER'!$EE96="","",INDEX(inventory[ESISTENZA],MATCH('BHPC MANAGER'!$EE96,inventory[SKU],0))),0)</f>
        <v>22442</v>
      </c>
      <c r="EH96" s="448">
        <v>-10572</v>
      </c>
      <c r="EI96" s="448">
        <f t="shared" si="14"/>
        <v>11870</v>
      </c>
      <c r="EJ96" s="449">
        <v>0</v>
      </c>
      <c r="EK96" s="450">
        <f t="shared" si="15"/>
        <v>11870</v>
      </c>
    </row>
    <row r="97" spans="63:141" ht="15" customHeight="1" x14ac:dyDescent="0.35">
      <c r="BK97" s="296"/>
      <c r="BL97" s="297"/>
      <c r="BM97" s="298"/>
      <c r="BN97" s="297"/>
      <c r="BO97" s="298"/>
      <c r="BZ97" s="414"/>
      <c r="CA97" s="401" t="str">
        <f>IFERROR(IF(BZ97="","",INDEX(bhpc_data[description],MATCH(BZ97,bhpc_data[sku],0))),"")</f>
        <v/>
      </c>
      <c r="CB97" s="403"/>
      <c r="CC97" s="886"/>
      <c r="CD97" s="415"/>
      <c r="CE97" s="891"/>
      <c r="CF97" s="404"/>
      <c r="CG97" s="405" t="str">
        <f>IFERROR(ROUNDUP(CB97/INDEX(bhpc_data[units_per_carton],MATCH(BZ97,bhpc_data[sku],0)),0),"")</f>
        <v/>
      </c>
      <c r="CH97" s="406" t="str">
        <f>IFERROR(ROUNDUP(CD97/INDEX(bhpc_data[units_per_carton],MATCH(BZ97,bhpc_data[sku],0)),0),"")</f>
        <v/>
      </c>
      <c r="CI97" s="406" t="str">
        <f>IFERROR(ROUNDUP(CF97/INDEX(bhpc_data[units_per_carton],MATCH(BZ97,bhpc_data[sku])),0),"")</f>
        <v/>
      </c>
      <c r="CJ97" s="406" t="str">
        <f>IFERROR(((CB97+CD97+CF97)/INDEX(bhpc_data[units_per_carton],MATCH(BZ97,bhpc_data[sku],0)))*INDEX(bhpc_data[net_weight],MATCH(BZ97,bhpc_data[sku],0)),"")</f>
        <v/>
      </c>
      <c r="CK97" s="406" t="str">
        <f>IFERROR(((CB97+CD97+CF97)/INDEX(bhpc_data[units_per_carton],MATCH(BZ97,bhpc_data[sku],0)))*INDEX(bhpc_data[gross_weight],MATCH(BZ97,bhpc_data[sku],0)),"")</f>
        <v/>
      </c>
      <c r="CL97" s="602" t="str">
        <f>IFERROR((CB97+CD97+CF97)/INDEX(bhpc_data[units_per_carton],MATCH(BZ97,bhpc_data[sku],0))*INDEX(bhpc_data[length],MATCH(BZ97,bhpc_data[sku],0))*INDEX(bhpc_data[width],MATCH(BZ97,bhpc_data[sku],0))*INDEX(bhpc_data[height],MATCH(BZ97,bhpc_data[sku],0))/1000000000,"")</f>
        <v/>
      </c>
      <c r="CM97" s="407" t="str">
        <f>IFERROR(INDEX(bhpc_data[category],MATCH(BZ97,bhpc_data[sku],0)),"")</f>
        <v/>
      </c>
      <c r="CN97" s="407" t="str">
        <f>IFERROR(INDEX(bhpc_data[size],MATCH(BZ97,bhpc_data[sku],0)),"")</f>
        <v/>
      </c>
      <c r="CO97" s="408" t="str">
        <f>IFERROR(INDEX(bhpc_data[hs_code],MATCH(BZ97,bhpc_data[sku],0)),"")</f>
        <v/>
      </c>
      <c r="CP97" s="489" t="str">
        <f>IFERROR(INDEX(bhpc_data[sku_geko],MATCH(BZ97,bhpc_data[sku],0)),"")</f>
        <v/>
      </c>
      <c r="CQ97" s="404"/>
      <c r="CR97" s="517" t="str">
        <f>IFERROR(IF(BZ97="","",IF($BX$15="SALE",INDEX(inventory[COSTO UNITARIO],MATCH(BZ97,inventory[SKU],0)),IF($BX$15="SAMPLING",INDEX(inventory[COSTO UNITARIO],MATCH(BZ97,inventory[SKU],0)),""))),"")</f>
        <v/>
      </c>
      <c r="CS97" s="517" t="str">
        <f t="shared" si="11"/>
        <v/>
      </c>
      <c r="CT97" s="896" t="str">
        <f t="shared" si="12"/>
        <v/>
      </c>
      <c r="CU97" s="469" t="str">
        <f t="shared" si="13"/>
        <v/>
      </c>
      <c r="DB97" s="280" t="str">
        <f>IFERROR(VLOOKUP(BZ97,bhpc_data[],22,FALSE),"")</f>
        <v/>
      </c>
      <c r="EE97" s="439" t="str" cm="1">
        <f t="array" ref="EE97">IFERROR(IF($EC$9="",IF($EC$11="",IF($EC$13="",INDEX(bhpc_data[sku],SMALL(MATCH(ROW(bhpc_data[sku]),ROW(bhpc_data[sku])),ROWS($A$15:A102)+$B$3)),INDEX(bhpc_data[sku],SMALL(IF(ISNUMBER(MATCH(bhpc_data[size],$EC$13,0)),MATCH(ROW(bhpc_data[sku]),ROW(bhpc_data[sku])),""),ROWS($A$15:A102)+$B$3))),IF($EC$13="",INDEX(bhpc_data[sku],SMALL(IF(ISNUMBER(MATCH(bhpc_data[sex],$EC$11,0)),MATCH(ROW(bhpc_data[sku]),ROW(bhpc_data[sku])),""),ROWS($A$15:A102)+$B$3)),INDEX(bhpc_data[sku],SMALL(IF(ISNUMBER(MATCH(bhpc_data[sex],$EC$11,0)*MATCH(bhpc_data[size],$EC$13,0)),MATCH(ROW(bhpc_data[sku]),ROW(bhpc_data[sku])),""),ROWS($A$15:A102)+$B$3)))),IF($EC$11="",IF($EC$13="",INDEX(bhpc_data[sku],SMALL(IF(ISNUMBER(MATCH(bhpc_data[category],$EC$9,0)),MATCH(ROW(bhpc_data[sku]),ROW(bhpc_data[sku])),""),ROWS($A$15:A102)+$B$3)),INDEX(bhpc_data[sku],SMALL(IF(ISNUMBER(MATCH(bhpc_data[category],$EC$9,0)*MATCH(bhpc_data[size],$EC$13,0)),MATCH(ROW(bhpc_data[sku]),ROW(bhpc_data[sku])),""),ROWS($A$15:A102)+$B$3))),IF($EC$13="",INDEX(bhpc_data[sku],SMALL(IF(ISNUMBER(MATCH(bhpc_data[category],$EC$9,0)*MATCH(bhpc_data[sex],$EC$11,0)),MATCH(ROW(bhpc_data[sku]),ROW(bhpc_data[sku])),""),ROWS($A$15:A102)+$B$3)),INDEX(bhpc_data[sku],SMALL(IF(ISNUMBER(MATCH(bhpc_data[category],$EC$9,0)*MATCH(bhpc_data[sex],$EC$11,0)*MATCH(bhpc_data[size],$EC$13,0)),MATCH(ROW(bhpc_data[sku]),ROW(bhpc_data[sku])),""),ROWS($A$15:A102)+$B$3))))),"")</f>
        <v>P05026</v>
      </c>
      <c r="EF97" s="440" t="str" cm="1">
        <f t="array" ref="EF97">IFERROR(IF($EC$9="",IF($EC$11="",IF($EC$13="",INDEX(bhpc_data[description],SMALL(MATCH(ROW(bhpc_data[sku]),ROW(bhpc_data[sku])),ROWS($A$15:A102)+$B$3)),INDEX(bhpc_data[description],SMALL(IF(ISNUMBER(MATCH(bhpc_data[size],$EC$13,0)),MATCH(ROW(bhpc_data[sku]),ROW(bhpc_data[sku])),""),ROWS($A$15:A102)+$B$3))),IF($EC$13="",INDEX(bhpc_data[description],SMALL(IF(ISNUMBER(MATCH(bhpc_data[sex],$EC$11,0)),MATCH(ROW(bhpc_data[sku]),ROW(bhpc_data[sku])),""),ROWS($A$15:A102)+$B$3)),INDEX(bhpc_data[description],SMALL(IF(ISNUMBER(MATCH(bhpc_data[sex],$EC$11,0)*MATCH(bhpc_data[size],$EC$13,0)),MATCH(ROW(bhpc_data[sku]),ROW(bhpc_data[sku])),""),ROWS($A$15:A102)+$B$3)))),IF($EC$11="",IF($EC$13="",INDEX(bhpc_data[description],SMALL(IF(ISNUMBER(MATCH(bhpc_data[category],$EC$9,0)),MATCH(ROW(bhpc_data[sku]),ROW(bhpc_data[sku])),""),ROWS($A$15:A102)+$B$3)),INDEX(bhpc_data[description],SMALL(IF(ISNUMBER(MATCH(bhpc_data[category],$EC$9,0)*MATCH(bhpc_data[size],$EC$13,0)),MATCH(ROW(bhpc_data[sku]),ROW(bhpc_data[sku])),""),ROWS($A$15:A102)+$B$3))),IF($EC$13="",INDEX(bhpc_data[description],SMALL(IF(ISNUMBER(MATCH(bhpc_data[category],$EC$9,0)*MATCH(bhpc_data[sex],$EC$11,0)),MATCH(ROW(bhpc_data[sku]),ROW(bhpc_data[sku])),""),ROWS($A$15:A102)+$B$3)),INDEX(bhpc_data[description],SMALL(IF(ISNUMBER(MATCH(bhpc_data[category],$EC$9,0)*MATCH(bhpc_data[sex],$EC$11,0)*MATCH(bhpc_data[size],$EC$13,0)),MATCH(ROW(bhpc_data[sku]),ROW(bhpc_data[sku])),""),ROWS($A$15:A102)+$B$3))))),"")</f>
        <v>BHPC WOMEN 8 DEO 150ML</v>
      </c>
      <c r="EG97" s="441">
        <f>IFERROR(IF('BHPC MANAGER'!$EE97="","",INDEX(inventory[ESISTENZA],MATCH('BHPC MANAGER'!$EE97,inventory[SKU],0))),0)</f>
        <v>11058</v>
      </c>
      <c r="EH97" s="442">
        <v>-507</v>
      </c>
      <c r="EI97" s="442">
        <f t="shared" si="14"/>
        <v>10551</v>
      </c>
      <c r="EJ97" s="443">
        <v>0</v>
      </c>
      <c r="EK97" s="444">
        <f t="shared" si="15"/>
        <v>10551</v>
      </c>
    </row>
    <row r="98" spans="63:141" ht="15" customHeight="1" x14ac:dyDescent="0.35">
      <c r="BK98" s="296"/>
      <c r="BL98" s="297"/>
      <c r="BM98" s="298"/>
      <c r="BN98" s="297"/>
      <c r="BO98" s="298"/>
      <c r="BZ98" s="414"/>
      <c r="CA98" s="401" t="str">
        <f>IFERROR(IF(BZ98="","",INDEX(bhpc_data[description],MATCH(BZ98,bhpc_data[sku],0))),"")</f>
        <v/>
      </c>
      <c r="CB98" s="403"/>
      <c r="CC98" s="886"/>
      <c r="CD98" s="415"/>
      <c r="CE98" s="891"/>
      <c r="CF98" s="404"/>
      <c r="CG98" s="405" t="str">
        <f>IFERROR(ROUNDUP(CB98/INDEX(bhpc_data[units_per_carton],MATCH(BZ98,bhpc_data[sku],0)),0),"")</f>
        <v/>
      </c>
      <c r="CH98" s="406" t="str">
        <f>IFERROR(ROUNDUP(CD98/INDEX(bhpc_data[units_per_carton],MATCH(BZ98,bhpc_data[sku],0)),0),"")</f>
        <v/>
      </c>
      <c r="CI98" s="406" t="str">
        <f>IFERROR(ROUNDUP(CF98/INDEX(bhpc_data[units_per_carton],MATCH(BZ98,bhpc_data[sku])),0),"")</f>
        <v/>
      </c>
      <c r="CJ98" s="406" t="str">
        <f>IFERROR(((CB98+CD98+CF98)/INDEX(bhpc_data[units_per_carton],MATCH(BZ98,bhpc_data[sku],0)))*INDEX(bhpc_data[net_weight],MATCH(BZ98,bhpc_data[sku],0)),"")</f>
        <v/>
      </c>
      <c r="CK98" s="406" t="str">
        <f>IFERROR(((CB98+CD98+CF98)/INDEX(bhpc_data[units_per_carton],MATCH(BZ98,bhpc_data[sku],0)))*INDEX(bhpc_data[gross_weight],MATCH(BZ98,bhpc_data[sku],0)),"")</f>
        <v/>
      </c>
      <c r="CL98" s="602" t="str">
        <f>IFERROR((CB98+CD98+CF98)/INDEX(bhpc_data[units_per_carton],MATCH(BZ98,bhpc_data[sku],0))*INDEX(bhpc_data[length],MATCH(BZ98,bhpc_data[sku],0))*INDEX(bhpc_data[width],MATCH(BZ98,bhpc_data[sku],0))*INDEX(bhpc_data[height],MATCH(BZ98,bhpc_data[sku],0))/1000000000,"")</f>
        <v/>
      </c>
      <c r="CM98" s="407" t="str">
        <f>IFERROR(INDEX(bhpc_data[category],MATCH(BZ98,bhpc_data[sku],0)),"")</f>
        <v/>
      </c>
      <c r="CN98" s="407" t="str">
        <f>IFERROR(INDEX(bhpc_data[size],MATCH(BZ98,bhpc_data[sku],0)),"")</f>
        <v/>
      </c>
      <c r="CO98" s="408" t="str">
        <f>IFERROR(INDEX(bhpc_data[hs_code],MATCH(BZ98,bhpc_data[sku],0)),"")</f>
        <v/>
      </c>
      <c r="CP98" s="489" t="str">
        <f>IFERROR(INDEX(bhpc_data[sku_geko],MATCH(BZ98,bhpc_data[sku],0)),"")</f>
        <v/>
      </c>
      <c r="CQ98" s="404"/>
      <c r="CR98" s="517" t="str">
        <f>IFERROR(IF(BZ98="","",IF($BX$15="SALE",INDEX(inventory[COSTO UNITARIO],MATCH(BZ98,inventory[SKU],0)),IF($BX$15="SAMPLING",INDEX(inventory[COSTO UNITARIO],MATCH(BZ98,inventory[SKU],0)),""))),"")</f>
        <v/>
      </c>
      <c r="CS98" s="517" t="str">
        <f t="shared" si="11"/>
        <v/>
      </c>
      <c r="CT98" s="896" t="str">
        <f t="shared" si="12"/>
        <v/>
      </c>
      <c r="CU98" s="469" t="str">
        <f t="shared" si="13"/>
        <v/>
      </c>
      <c r="DB98" s="280" t="str">
        <f>IFERROR(VLOOKUP(BZ98,bhpc_data[],22,FALSE),"")</f>
        <v/>
      </c>
      <c r="EE98" s="445" t="str" cm="1">
        <f t="array" ref="EE98">IFERROR(IF($EC$9="",IF($EC$11="",IF($EC$13="",INDEX(bhpc_data[sku],SMALL(MATCH(ROW(bhpc_data[sku]),ROW(bhpc_data[sku])),ROWS($A$15:A103)+$B$3)),INDEX(bhpc_data[sku],SMALL(IF(ISNUMBER(MATCH(bhpc_data[size],$EC$13,0)),MATCH(ROW(bhpc_data[sku]),ROW(bhpc_data[sku])),""),ROWS($A$15:A103)+$B$3))),IF($EC$13="",INDEX(bhpc_data[sku],SMALL(IF(ISNUMBER(MATCH(bhpc_data[sex],$EC$11,0)),MATCH(ROW(bhpc_data[sku]),ROW(bhpc_data[sku])),""),ROWS($A$15:A103)+$B$3)),INDEX(bhpc_data[sku],SMALL(IF(ISNUMBER(MATCH(bhpc_data[sex],$EC$11,0)*MATCH(bhpc_data[size],$EC$13,0)),MATCH(ROW(bhpc_data[sku]),ROW(bhpc_data[sku])),""),ROWS($A$15:A103)+$B$3)))),IF($EC$11="",IF($EC$13="",INDEX(bhpc_data[sku],SMALL(IF(ISNUMBER(MATCH(bhpc_data[category],$EC$9,0)),MATCH(ROW(bhpc_data[sku]),ROW(bhpc_data[sku])),""),ROWS($A$15:A103)+$B$3)),INDEX(bhpc_data[sku],SMALL(IF(ISNUMBER(MATCH(bhpc_data[category],$EC$9,0)*MATCH(bhpc_data[size],$EC$13,0)),MATCH(ROW(bhpc_data[sku]),ROW(bhpc_data[sku])),""),ROWS($A$15:A103)+$B$3))),IF($EC$13="",INDEX(bhpc_data[sku],SMALL(IF(ISNUMBER(MATCH(bhpc_data[category],$EC$9,0)*MATCH(bhpc_data[sex],$EC$11,0)),MATCH(ROW(bhpc_data[sku]),ROW(bhpc_data[sku])),""),ROWS($A$15:A103)+$B$3)),INDEX(bhpc_data[sku],SMALL(IF(ISNUMBER(MATCH(bhpc_data[category],$EC$9,0)*MATCH(bhpc_data[sex],$EC$11,0)*MATCH(bhpc_data[size],$EC$13,0)),MATCH(ROW(bhpc_data[sku]),ROW(bhpc_data[sku])),""),ROWS($A$15:A103)+$B$3))))),"")</f>
        <v>P05027</v>
      </c>
      <c r="EF98" s="446" t="str" cm="1">
        <f t="array" ref="EF98">IFERROR(IF($EC$9="",IF($EC$11="",IF($EC$13="",INDEX(bhpc_data[description],SMALL(MATCH(ROW(bhpc_data[sku]),ROW(bhpc_data[sku])),ROWS($A$15:A103)+$B$3)),INDEX(bhpc_data[description],SMALL(IF(ISNUMBER(MATCH(bhpc_data[size],$EC$13,0)),MATCH(ROW(bhpc_data[sku]),ROW(bhpc_data[sku])),""),ROWS($A$15:A103)+$B$3))),IF($EC$13="",INDEX(bhpc_data[description],SMALL(IF(ISNUMBER(MATCH(bhpc_data[sex],$EC$11,0)),MATCH(ROW(bhpc_data[sku]),ROW(bhpc_data[sku])),""),ROWS($A$15:A103)+$B$3)),INDEX(bhpc_data[description],SMALL(IF(ISNUMBER(MATCH(bhpc_data[sex],$EC$11,0)*MATCH(bhpc_data[size],$EC$13,0)),MATCH(ROW(bhpc_data[sku]),ROW(bhpc_data[sku])),""),ROWS($A$15:A103)+$B$3)))),IF($EC$11="",IF($EC$13="",INDEX(bhpc_data[description],SMALL(IF(ISNUMBER(MATCH(bhpc_data[category],$EC$9,0)),MATCH(ROW(bhpc_data[sku]),ROW(bhpc_data[sku])),""),ROWS($A$15:A103)+$B$3)),INDEX(bhpc_data[description],SMALL(IF(ISNUMBER(MATCH(bhpc_data[category],$EC$9,0)*MATCH(bhpc_data[size],$EC$13,0)),MATCH(ROW(bhpc_data[sku]),ROW(bhpc_data[sku])),""),ROWS($A$15:A103)+$B$3))),IF($EC$13="",INDEX(bhpc_data[description],SMALL(IF(ISNUMBER(MATCH(bhpc_data[category],$EC$9,0)*MATCH(bhpc_data[sex],$EC$11,0)),MATCH(ROW(bhpc_data[sku]),ROW(bhpc_data[sku])),""),ROWS($A$15:A103)+$B$3)),INDEX(bhpc_data[description],SMALL(IF(ISNUMBER(MATCH(bhpc_data[category],$EC$9,0)*MATCH(bhpc_data[sex],$EC$11,0)*MATCH(bhpc_data[size],$EC$13,0)),MATCH(ROW(bhpc_data[sku]),ROW(bhpc_data[sku])),""),ROWS($A$15:A103)+$B$3))))),"")</f>
        <v>BHPC WOMEN 2 DEO 150ML</v>
      </c>
      <c r="EG98" s="447">
        <f>IFERROR(IF('BHPC MANAGER'!$EE98="","",INDEX(inventory[ESISTENZA],MATCH('BHPC MANAGER'!$EE98,inventory[SKU],0))),0)</f>
        <v>11202</v>
      </c>
      <c r="EH98" s="448">
        <v>-513</v>
      </c>
      <c r="EI98" s="448">
        <f t="shared" si="14"/>
        <v>10689</v>
      </c>
      <c r="EJ98" s="449">
        <v>0</v>
      </c>
      <c r="EK98" s="450">
        <f t="shared" si="15"/>
        <v>10689</v>
      </c>
    </row>
    <row r="99" spans="63:141" ht="15" customHeight="1" x14ac:dyDescent="0.35">
      <c r="BK99" s="296"/>
      <c r="BL99" s="297"/>
      <c r="BM99" s="298"/>
      <c r="BN99" s="297"/>
      <c r="BO99" s="298"/>
      <c r="BZ99" s="414"/>
      <c r="CA99" s="401" t="str">
        <f>IFERROR(IF(BZ99="","",INDEX(bhpc_data[description],MATCH(BZ99,bhpc_data[sku],0))),"")</f>
        <v/>
      </c>
      <c r="CB99" s="403"/>
      <c r="CC99" s="886"/>
      <c r="CD99" s="415"/>
      <c r="CE99" s="891"/>
      <c r="CF99" s="404"/>
      <c r="CG99" s="405" t="str">
        <f>IFERROR(ROUNDUP(CB99/INDEX(bhpc_data[units_per_carton],MATCH(BZ99,bhpc_data[sku],0)),0),"")</f>
        <v/>
      </c>
      <c r="CH99" s="406" t="str">
        <f>IFERROR(ROUNDUP(CD99/INDEX(bhpc_data[units_per_carton],MATCH(BZ99,bhpc_data[sku],0)),0),"")</f>
        <v/>
      </c>
      <c r="CI99" s="406" t="str">
        <f>IFERROR(ROUNDUP(CF99/INDEX(bhpc_data[units_per_carton],MATCH(BZ99,bhpc_data[sku])),0),"")</f>
        <v/>
      </c>
      <c r="CJ99" s="406" t="str">
        <f>IFERROR(((CB99+CD99+CF99)/INDEX(bhpc_data[units_per_carton],MATCH(BZ99,bhpc_data[sku],0)))*INDEX(bhpc_data[net_weight],MATCH(BZ99,bhpc_data[sku],0)),"")</f>
        <v/>
      </c>
      <c r="CK99" s="406" t="str">
        <f>IFERROR(((CB99+CD99+CF99)/INDEX(bhpc_data[units_per_carton],MATCH(BZ99,bhpc_data[sku],0)))*INDEX(bhpc_data[gross_weight],MATCH(BZ99,bhpc_data[sku],0)),"")</f>
        <v/>
      </c>
      <c r="CL99" s="602" t="str">
        <f>IFERROR((CB99+CD99+CF99)/INDEX(bhpc_data[units_per_carton],MATCH(BZ99,bhpc_data[sku],0))*INDEX(bhpc_data[length],MATCH(BZ99,bhpc_data[sku],0))*INDEX(bhpc_data[width],MATCH(BZ99,bhpc_data[sku],0))*INDEX(bhpc_data[height],MATCH(BZ99,bhpc_data[sku],0))/1000000000,"")</f>
        <v/>
      </c>
      <c r="CM99" s="407" t="str">
        <f>IFERROR(INDEX(bhpc_data[category],MATCH(BZ99,bhpc_data[sku],0)),"")</f>
        <v/>
      </c>
      <c r="CN99" s="407" t="str">
        <f>IFERROR(INDEX(bhpc_data[size],MATCH(BZ99,bhpc_data[sku],0)),"")</f>
        <v/>
      </c>
      <c r="CO99" s="408" t="str">
        <f>IFERROR(INDEX(bhpc_data[hs_code],MATCH(BZ99,bhpc_data[sku],0)),"")</f>
        <v/>
      </c>
      <c r="CP99" s="489" t="str">
        <f>IFERROR(INDEX(bhpc_data[sku_geko],MATCH(BZ99,bhpc_data[sku],0)),"")</f>
        <v/>
      </c>
      <c r="CQ99" s="404"/>
      <c r="CR99" s="517" t="str">
        <f>IFERROR(IF(BZ99="","",IF($BX$15="SALE",INDEX(inventory[COSTO UNITARIO],MATCH(BZ99,inventory[SKU],0)),IF($BX$15="SAMPLING",INDEX(inventory[COSTO UNITARIO],MATCH(BZ99,inventory[SKU],0)),""))),"")</f>
        <v/>
      </c>
      <c r="CS99" s="517" t="str">
        <f t="shared" si="11"/>
        <v/>
      </c>
      <c r="CT99" s="896" t="str">
        <f t="shared" si="12"/>
        <v/>
      </c>
      <c r="CU99" s="469" t="str">
        <f t="shared" si="13"/>
        <v/>
      </c>
      <c r="DB99" s="280" t="str">
        <f>IFERROR(VLOOKUP(BZ99,bhpc_data[],22,FALSE),"")</f>
        <v/>
      </c>
      <c r="EE99" s="439" t="str" cm="1">
        <f t="array" ref="EE99">IFERROR(IF($EC$9="",IF($EC$11="",IF($EC$13="",INDEX(bhpc_data[sku],SMALL(MATCH(ROW(bhpc_data[sku]),ROW(bhpc_data[sku])),ROWS($A$15:A104)+$B$3)),INDEX(bhpc_data[sku],SMALL(IF(ISNUMBER(MATCH(bhpc_data[size],$EC$13,0)),MATCH(ROW(bhpc_data[sku]),ROW(bhpc_data[sku])),""),ROWS($A$15:A104)+$B$3))),IF($EC$13="",INDEX(bhpc_data[sku],SMALL(IF(ISNUMBER(MATCH(bhpc_data[sex],$EC$11,0)),MATCH(ROW(bhpc_data[sku]),ROW(bhpc_data[sku])),""),ROWS($A$15:A104)+$B$3)),INDEX(bhpc_data[sku],SMALL(IF(ISNUMBER(MATCH(bhpc_data[sex],$EC$11,0)*MATCH(bhpc_data[size],$EC$13,0)),MATCH(ROW(bhpc_data[sku]),ROW(bhpc_data[sku])),""),ROWS($A$15:A104)+$B$3)))),IF($EC$11="",IF($EC$13="",INDEX(bhpc_data[sku],SMALL(IF(ISNUMBER(MATCH(bhpc_data[category],$EC$9,0)),MATCH(ROW(bhpc_data[sku]),ROW(bhpc_data[sku])),""),ROWS($A$15:A104)+$B$3)),INDEX(bhpc_data[sku],SMALL(IF(ISNUMBER(MATCH(bhpc_data[category],$EC$9,0)*MATCH(bhpc_data[size],$EC$13,0)),MATCH(ROW(bhpc_data[sku]),ROW(bhpc_data[sku])),""),ROWS($A$15:A104)+$B$3))),IF($EC$13="",INDEX(bhpc_data[sku],SMALL(IF(ISNUMBER(MATCH(bhpc_data[category],$EC$9,0)*MATCH(bhpc_data[sex],$EC$11,0)),MATCH(ROW(bhpc_data[sku]),ROW(bhpc_data[sku])),""),ROWS($A$15:A104)+$B$3)),INDEX(bhpc_data[sku],SMALL(IF(ISNUMBER(MATCH(bhpc_data[category],$EC$9,0)*MATCH(bhpc_data[sex],$EC$11,0)*MATCH(bhpc_data[size],$EC$13,0)),MATCH(ROW(bhpc_data[sku]),ROW(bhpc_data[sku])),""),ROWS($A$15:A104)+$B$3))))),"")</f>
        <v>P05000</v>
      </c>
      <c r="EF99" s="440" t="str" cm="1">
        <f t="array" ref="EF99">IFERROR(IF($EC$9="",IF($EC$11="",IF($EC$13="",INDEX(bhpc_data[description],SMALL(MATCH(ROW(bhpc_data[sku]),ROW(bhpc_data[sku])),ROWS($A$15:A104)+$B$3)),INDEX(bhpc_data[description],SMALL(IF(ISNUMBER(MATCH(bhpc_data[size],$EC$13,0)),MATCH(ROW(bhpc_data[sku]),ROW(bhpc_data[sku])),""),ROWS($A$15:A104)+$B$3))),IF($EC$13="",INDEX(bhpc_data[description],SMALL(IF(ISNUMBER(MATCH(bhpc_data[sex],$EC$11,0)),MATCH(ROW(bhpc_data[sku]),ROW(bhpc_data[sku])),""),ROWS($A$15:A104)+$B$3)),INDEX(bhpc_data[description],SMALL(IF(ISNUMBER(MATCH(bhpc_data[sex],$EC$11,0)*MATCH(bhpc_data[size],$EC$13,0)),MATCH(ROW(bhpc_data[sku]),ROW(bhpc_data[sku])),""),ROWS($A$15:A104)+$B$3)))),IF($EC$11="",IF($EC$13="",INDEX(bhpc_data[description],SMALL(IF(ISNUMBER(MATCH(bhpc_data[category],$EC$9,0)),MATCH(ROW(bhpc_data[sku]),ROW(bhpc_data[sku])),""),ROWS($A$15:A104)+$B$3)),INDEX(bhpc_data[description],SMALL(IF(ISNUMBER(MATCH(bhpc_data[category],$EC$9,0)*MATCH(bhpc_data[size],$EC$13,0)),MATCH(ROW(bhpc_data[sku]),ROW(bhpc_data[sku])),""),ROWS($A$15:A104)+$B$3))),IF($EC$13="",INDEX(bhpc_data[description],SMALL(IF(ISNUMBER(MATCH(bhpc_data[category],$EC$9,0)*MATCH(bhpc_data[sex],$EC$11,0)),MATCH(ROW(bhpc_data[sku]),ROW(bhpc_data[sku])),""),ROWS($A$15:A104)+$B$3)),INDEX(bhpc_data[description],SMALL(IF(ISNUMBER(MATCH(bhpc_data[category],$EC$9,0)*MATCH(bhpc_data[sex],$EC$11,0)*MATCH(bhpc_data[size],$EC$13,0)),MATCH(ROW(bhpc_data[sku]),ROW(bhpc_data[sku])),""),ROWS($A$15:A104)+$B$3))))),"")</f>
        <v>BHPC SPORT MEN 1 DEO 175ML</v>
      </c>
      <c r="EG99" s="441">
        <f>IFERROR(IF('BHPC MANAGER'!$EE99="","",INDEX(inventory[ESISTENZA],MATCH('BHPC MANAGER'!$EE99,inventory[SKU],0))),0)</f>
        <v>34</v>
      </c>
      <c r="EH99" s="442">
        <v>-32</v>
      </c>
      <c r="EI99" s="442">
        <f t="shared" si="14"/>
        <v>2</v>
      </c>
      <c r="EJ99" s="443">
        <v>0</v>
      </c>
      <c r="EK99" s="444">
        <f t="shared" si="15"/>
        <v>2</v>
      </c>
    </row>
    <row r="100" spans="63:141" ht="15" customHeight="1" x14ac:dyDescent="0.35">
      <c r="BK100" s="296"/>
      <c r="BL100" s="297"/>
      <c r="BM100" s="298"/>
      <c r="BN100" s="297"/>
      <c r="BO100" s="298"/>
      <c r="BZ100" s="414"/>
      <c r="CA100" s="401" t="str">
        <f>IFERROR(IF(BZ100="","",INDEX(bhpc_data[description],MATCH(BZ100,bhpc_data[sku],0))),"")</f>
        <v/>
      </c>
      <c r="CB100" s="403"/>
      <c r="CC100" s="886"/>
      <c r="CD100" s="415"/>
      <c r="CE100" s="891"/>
      <c r="CF100" s="404"/>
      <c r="CG100" s="405" t="str">
        <f>IFERROR(ROUNDUP(CB100/INDEX(bhpc_data[units_per_carton],MATCH(BZ100,bhpc_data[sku],0)),0),"")</f>
        <v/>
      </c>
      <c r="CH100" s="406" t="str">
        <f>IFERROR(ROUNDUP(CD100/INDEX(bhpc_data[units_per_carton],MATCH(BZ100,bhpc_data[sku],0)),0),"")</f>
        <v/>
      </c>
      <c r="CI100" s="406" t="str">
        <f>IFERROR(ROUNDUP(CF100/INDEX(bhpc_data[units_per_carton],MATCH(BZ100,bhpc_data[sku])),0),"")</f>
        <v/>
      </c>
      <c r="CJ100" s="406" t="str">
        <f>IFERROR(((CB100+CD100+CF100)/INDEX(bhpc_data[units_per_carton],MATCH(BZ100,bhpc_data[sku],0)))*INDEX(bhpc_data[net_weight],MATCH(BZ100,bhpc_data[sku],0)),"")</f>
        <v/>
      </c>
      <c r="CK100" s="406" t="str">
        <f>IFERROR(((CB100+CD100+CF100)/INDEX(bhpc_data[units_per_carton],MATCH(BZ100,bhpc_data[sku],0)))*INDEX(bhpc_data[gross_weight],MATCH(BZ100,bhpc_data[sku],0)),"")</f>
        <v/>
      </c>
      <c r="CL100" s="602" t="str">
        <f>IFERROR((CB100+CD100+CF100)/INDEX(bhpc_data[units_per_carton],MATCH(BZ100,bhpc_data[sku],0))*INDEX(bhpc_data[length],MATCH(BZ100,bhpc_data[sku],0))*INDEX(bhpc_data[width],MATCH(BZ100,bhpc_data[sku],0))*INDEX(bhpc_data[height],MATCH(BZ100,bhpc_data[sku],0))/1000000000,"")</f>
        <v/>
      </c>
      <c r="CM100" s="407" t="str">
        <f>IFERROR(INDEX(bhpc_data[category],MATCH(BZ100,bhpc_data[sku],0)),"")</f>
        <v/>
      </c>
      <c r="CN100" s="407" t="str">
        <f>IFERROR(INDEX(bhpc_data[size],MATCH(BZ100,bhpc_data[sku],0)),"")</f>
        <v/>
      </c>
      <c r="CO100" s="408" t="str">
        <f>IFERROR(INDEX(bhpc_data[hs_code],MATCH(BZ100,bhpc_data[sku],0)),"")</f>
        <v/>
      </c>
      <c r="CP100" s="489" t="str">
        <f>IFERROR(INDEX(bhpc_data[sku_geko],MATCH(BZ100,bhpc_data[sku],0)),"")</f>
        <v/>
      </c>
      <c r="CQ100" s="404"/>
      <c r="CR100" s="517" t="str">
        <f>IFERROR(IF(BZ100="","",IF($BX$15="SALE",INDEX(inventory[COSTO UNITARIO],MATCH(BZ100,inventory[SKU],0)),IF($BX$15="SAMPLING",INDEX(inventory[COSTO UNITARIO],MATCH(BZ100,inventory[SKU],0)),""))),"")</f>
        <v/>
      </c>
      <c r="CS100" s="517" t="str">
        <f t="shared" si="11"/>
        <v/>
      </c>
      <c r="CT100" s="896" t="str">
        <f t="shared" si="12"/>
        <v/>
      </c>
      <c r="CU100" s="469" t="str">
        <f t="shared" si="13"/>
        <v/>
      </c>
      <c r="DB100" s="280" t="str">
        <f>IFERROR(VLOOKUP(BZ100,bhpc_data[],22,FALSE),"")</f>
        <v/>
      </c>
      <c r="EE100" s="445" t="str" cm="1">
        <f t="array" ref="EE100">IFERROR(IF($EC$9="",IF($EC$11="",IF($EC$13="",INDEX(bhpc_data[sku],SMALL(MATCH(ROW(bhpc_data[sku]),ROW(bhpc_data[sku])),ROWS($A$15:A105)+$B$3)),INDEX(bhpc_data[sku],SMALL(IF(ISNUMBER(MATCH(bhpc_data[size],$EC$13,0)),MATCH(ROW(bhpc_data[sku]),ROW(bhpc_data[sku])),""),ROWS($A$15:A105)+$B$3))),IF($EC$13="",INDEX(bhpc_data[sku],SMALL(IF(ISNUMBER(MATCH(bhpc_data[sex],$EC$11,0)),MATCH(ROW(bhpc_data[sku]),ROW(bhpc_data[sku])),""),ROWS($A$15:A105)+$B$3)),INDEX(bhpc_data[sku],SMALL(IF(ISNUMBER(MATCH(bhpc_data[sex],$EC$11,0)*MATCH(bhpc_data[size],$EC$13,0)),MATCH(ROW(bhpc_data[sku]),ROW(bhpc_data[sku])),""),ROWS($A$15:A105)+$B$3)))),IF($EC$11="",IF($EC$13="",INDEX(bhpc_data[sku],SMALL(IF(ISNUMBER(MATCH(bhpc_data[category],$EC$9,0)),MATCH(ROW(bhpc_data[sku]),ROW(bhpc_data[sku])),""),ROWS($A$15:A105)+$B$3)),INDEX(bhpc_data[sku],SMALL(IF(ISNUMBER(MATCH(bhpc_data[category],$EC$9,0)*MATCH(bhpc_data[size],$EC$13,0)),MATCH(ROW(bhpc_data[sku]),ROW(bhpc_data[sku])),""),ROWS($A$15:A105)+$B$3))),IF($EC$13="",INDEX(bhpc_data[sku],SMALL(IF(ISNUMBER(MATCH(bhpc_data[category],$EC$9,0)*MATCH(bhpc_data[sex],$EC$11,0)),MATCH(ROW(bhpc_data[sku]),ROW(bhpc_data[sku])),""),ROWS($A$15:A105)+$B$3)),INDEX(bhpc_data[sku],SMALL(IF(ISNUMBER(MATCH(bhpc_data[category],$EC$9,0)*MATCH(bhpc_data[sex],$EC$11,0)*MATCH(bhpc_data[size],$EC$13,0)),MATCH(ROW(bhpc_data[sku]),ROW(bhpc_data[sku])),""),ROWS($A$15:A105)+$B$3))))),"")</f>
        <v>P05001</v>
      </c>
      <c r="EF100" s="446" t="str" cm="1">
        <f t="array" ref="EF100">IFERROR(IF($EC$9="",IF($EC$11="",IF($EC$13="",INDEX(bhpc_data[description],SMALL(MATCH(ROW(bhpc_data[sku]),ROW(bhpc_data[sku])),ROWS($A$15:A105)+$B$3)),INDEX(bhpc_data[description],SMALL(IF(ISNUMBER(MATCH(bhpc_data[size],$EC$13,0)),MATCH(ROW(bhpc_data[sku]),ROW(bhpc_data[sku])),""),ROWS($A$15:A105)+$B$3))),IF($EC$13="",INDEX(bhpc_data[description],SMALL(IF(ISNUMBER(MATCH(bhpc_data[sex],$EC$11,0)),MATCH(ROW(bhpc_data[sku]),ROW(bhpc_data[sku])),""),ROWS($A$15:A105)+$B$3)),INDEX(bhpc_data[description],SMALL(IF(ISNUMBER(MATCH(bhpc_data[sex],$EC$11,0)*MATCH(bhpc_data[size],$EC$13,0)),MATCH(ROW(bhpc_data[sku]),ROW(bhpc_data[sku])),""),ROWS($A$15:A105)+$B$3)))),IF($EC$11="",IF($EC$13="",INDEX(bhpc_data[description],SMALL(IF(ISNUMBER(MATCH(bhpc_data[category],$EC$9,0)),MATCH(ROW(bhpc_data[sku]),ROW(bhpc_data[sku])),""),ROWS($A$15:A105)+$B$3)),INDEX(bhpc_data[description],SMALL(IF(ISNUMBER(MATCH(bhpc_data[category],$EC$9,0)*MATCH(bhpc_data[size],$EC$13,0)),MATCH(ROW(bhpc_data[sku]),ROW(bhpc_data[sku])),""),ROWS($A$15:A105)+$B$3))),IF($EC$13="",INDEX(bhpc_data[description],SMALL(IF(ISNUMBER(MATCH(bhpc_data[category],$EC$9,0)*MATCH(bhpc_data[sex],$EC$11,0)),MATCH(ROW(bhpc_data[sku]),ROW(bhpc_data[sku])),""),ROWS($A$15:A105)+$B$3)),INDEX(bhpc_data[description],SMALL(IF(ISNUMBER(MATCH(bhpc_data[category],$EC$9,0)*MATCH(bhpc_data[sex],$EC$11,0)*MATCH(bhpc_data[size],$EC$13,0)),MATCH(ROW(bhpc_data[sku]),ROW(bhpc_data[sku])),""),ROWS($A$15:A105)+$B$3))))),"")</f>
        <v>BHPC SPORT MEN 9 DEO 175ML</v>
      </c>
      <c r="EG100" s="447">
        <f>IFERROR(IF('BHPC MANAGER'!$EE100="","",INDEX(inventory[ESISTENZA],MATCH('BHPC MANAGER'!$EE100,inventory[SKU],0))),0)</f>
        <v>311</v>
      </c>
      <c r="EH100" s="448">
        <v>-54</v>
      </c>
      <c r="EI100" s="448">
        <f t="shared" si="14"/>
        <v>257</v>
      </c>
      <c r="EJ100" s="449">
        <v>0</v>
      </c>
      <c r="EK100" s="450">
        <f t="shared" si="15"/>
        <v>257</v>
      </c>
    </row>
    <row r="101" spans="63:141" ht="15" customHeight="1" x14ac:dyDescent="0.35">
      <c r="BK101" s="296"/>
      <c r="BL101" s="297"/>
      <c r="BM101" s="298"/>
      <c r="BN101" s="297"/>
      <c r="BO101" s="298"/>
      <c r="BZ101" s="414"/>
      <c r="CA101" s="401" t="str">
        <f>IFERROR(IF(BZ101="","",INDEX(bhpc_data[description],MATCH(BZ101,bhpc_data[sku],0))),"")</f>
        <v/>
      </c>
      <c r="CB101" s="403"/>
      <c r="CC101" s="886"/>
      <c r="CD101" s="415"/>
      <c r="CE101" s="891"/>
      <c r="CF101" s="404"/>
      <c r="CG101" s="405" t="str">
        <f>IFERROR(ROUNDUP(CB101/INDEX(bhpc_data[units_per_carton],MATCH(BZ101,bhpc_data[sku],0)),0),"")</f>
        <v/>
      </c>
      <c r="CH101" s="406" t="str">
        <f>IFERROR(ROUNDUP(CD101/INDEX(bhpc_data[units_per_carton],MATCH(BZ101,bhpc_data[sku],0)),0),"")</f>
        <v/>
      </c>
      <c r="CI101" s="406" t="str">
        <f>IFERROR(ROUNDUP(CF101/INDEX(bhpc_data[units_per_carton],MATCH(BZ101,bhpc_data[sku])),0),"")</f>
        <v/>
      </c>
      <c r="CJ101" s="406" t="str">
        <f>IFERROR(((CB101+CD101+CF101)/INDEX(bhpc_data[units_per_carton],MATCH(BZ101,bhpc_data[sku],0)))*INDEX(bhpc_data[net_weight],MATCH(BZ101,bhpc_data[sku],0)),"")</f>
        <v/>
      </c>
      <c r="CK101" s="406" t="str">
        <f>IFERROR(((CB101+CD101+CF101)/INDEX(bhpc_data[units_per_carton],MATCH(BZ101,bhpc_data[sku],0)))*INDEX(bhpc_data[gross_weight],MATCH(BZ101,bhpc_data[sku],0)),"")</f>
        <v/>
      </c>
      <c r="CL101" s="602" t="str">
        <f>IFERROR((CB101+CD101+CF101)/INDEX(bhpc_data[units_per_carton],MATCH(BZ101,bhpc_data[sku],0))*INDEX(bhpc_data[length],MATCH(BZ101,bhpc_data[sku],0))*INDEX(bhpc_data[width],MATCH(BZ101,bhpc_data[sku],0))*INDEX(bhpc_data[height],MATCH(BZ101,bhpc_data[sku],0))/1000000000,"")</f>
        <v/>
      </c>
      <c r="CM101" s="407" t="str">
        <f>IFERROR(INDEX(bhpc_data[category],MATCH(BZ101,bhpc_data[sku],0)),"")</f>
        <v/>
      </c>
      <c r="CN101" s="407" t="str">
        <f>IFERROR(INDEX(bhpc_data[size],MATCH(BZ101,bhpc_data[sku],0)),"")</f>
        <v/>
      </c>
      <c r="CO101" s="408" t="str">
        <f>IFERROR(INDEX(bhpc_data[hs_code],MATCH(BZ101,bhpc_data[sku],0)),"")</f>
        <v/>
      </c>
      <c r="CP101" s="489" t="str">
        <f>IFERROR(INDEX(bhpc_data[sku_geko],MATCH(BZ101,bhpc_data[sku],0)),"")</f>
        <v/>
      </c>
      <c r="CQ101" s="404"/>
      <c r="CR101" s="517" t="str">
        <f>IFERROR(IF(BZ101="","",IF($BX$15="SALE",INDEX(inventory[COSTO UNITARIO],MATCH(BZ101,inventory[SKU],0)),IF($BX$15="SAMPLING",INDEX(inventory[COSTO UNITARIO],MATCH(BZ101,inventory[SKU],0)),""))),"")</f>
        <v/>
      </c>
      <c r="CS101" s="517" t="str">
        <f t="shared" si="11"/>
        <v/>
      </c>
      <c r="CT101" s="896" t="str">
        <f t="shared" si="12"/>
        <v/>
      </c>
      <c r="CU101" s="469" t="str">
        <f t="shared" si="13"/>
        <v/>
      </c>
      <c r="DB101" s="280" t="str">
        <f>IFERROR(VLOOKUP(BZ101,bhpc_data[],22,FALSE),"")</f>
        <v/>
      </c>
      <c r="EE101" s="439" t="str" cm="1">
        <f t="array" ref="EE101">IFERROR(IF($EC$9="",IF($EC$11="",IF($EC$13="",INDEX(bhpc_data[sku],SMALL(MATCH(ROW(bhpc_data[sku]),ROW(bhpc_data[sku])),ROWS($A$15:A106)+$B$3)),INDEX(bhpc_data[sku],SMALL(IF(ISNUMBER(MATCH(bhpc_data[size],$EC$13,0)),MATCH(ROW(bhpc_data[sku]),ROW(bhpc_data[sku])),""),ROWS($A$15:A106)+$B$3))),IF($EC$13="",INDEX(bhpc_data[sku],SMALL(IF(ISNUMBER(MATCH(bhpc_data[sex],$EC$11,0)),MATCH(ROW(bhpc_data[sku]),ROW(bhpc_data[sku])),""),ROWS($A$15:A106)+$B$3)),INDEX(bhpc_data[sku],SMALL(IF(ISNUMBER(MATCH(bhpc_data[sex],$EC$11,0)*MATCH(bhpc_data[size],$EC$13,0)),MATCH(ROW(bhpc_data[sku]),ROW(bhpc_data[sku])),""),ROWS($A$15:A106)+$B$3)))),IF($EC$11="",IF($EC$13="",INDEX(bhpc_data[sku],SMALL(IF(ISNUMBER(MATCH(bhpc_data[category],$EC$9,0)),MATCH(ROW(bhpc_data[sku]),ROW(bhpc_data[sku])),""),ROWS($A$15:A106)+$B$3)),INDEX(bhpc_data[sku],SMALL(IF(ISNUMBER(MATCH(bhpc_data[category],$EC$9,0)*MATCH(bhpc_data[size],$EC$13,0)),MATCH(ROW(bhpc_data[sku]),ROW(bhpc_data[sku])),""),ROWS($A$15:A106)+$B$3))),IF($EC$13="",INDEX(bhpc_data[sku],SMALL(IF(ISNUMBER(MATCH(bhpc_data[category],$EC$9,0)*MATCH(bhpc_data[sex],$EC$11,0)),MATCH(ROW(bhpc_data[sku]),ROW(bhpc_data[sku])),""),ROWS($A$15:A106)+$B$3)),INDEX(bhpc_data[sku],SMALL(IF(ISNUMBER(MATCH(bhpc_data[category],$EC$9,0)*MATCH(bhpc_data[sex],$EC$11,0)*MATCH(bhpc_data[size],$EC$13,0)),MATCH(ROW(bhpc_data[sku]),ROW(bhpc_data[sku])),""),ROWS($A$15:A106)+$B$3))))),"")</f>
        <v>P05002</v>
      </c>
      <c r="EF101" s="440" t="str" cm="1">
        <f t="array" ref="EF101">IFERROR(IF($EC$9="",IF($EC$11="",IF($EC$13="",INDEX(bhpc_data[description],SMALL(MATCH(ROW(bhpc_data[sku]),ROW(bhpc_data[sku])),ROWS($A$15:A106)+$B$3)),INDEX(bhpc_data[description],SMALL(IF(ISNUMBER(MATCH(bhpc_data[size],$EC$13,0)),MATCH(ROW(bhpc_data[sku]),ROW(bhpc_data[sku])),""),ROWS($A$15:A106)+$B$3))),IF($EC$13="",INDEX(bhpc_data[description],SMALL(IF(ISNUMBER(MATCH(bhpc_data[sex],$EC$11,0)),MATCH(ROW(bhpc_data[sku]),ROW(bhpc_data[sku])),""),ROWS($A$15:A106)+$B$3)),INDEX(bhpc_data[description],SMALL(IF(ISNUMBER(MATCH(bhpc_data[sex],$EC$11,0)*MATCH(bhpc_data[size],$EC$13,0)),MATCH(ROW(bhpc_data[sku]),ROW(bhpc_data[sku])),""),ROWS($A$15:A106)+$B$3)))),IF($EC$11="",IF($EC$13="",INDEX(bhpc_data[description],SMALL(IF(ISNUMBER(MATCH(bhpc_data[category],$EC$9,0)),MATCH(ROW(bhpc_data[sku]),ROW(bhpc_data[sku])),""),ROWS($A$15:A106)+$B$3)),INDEX(bhpc_data[description],SMALL(IF(ISNUMBER(MATCH(bhpc_data[category],$EC$9,0)*MATCH(bhpc_data[size],$EC$13,0)),MATCH(ROW(bhpc_data[sku]),ROW(bhpc_data[sku])),""),ROWS($A$15:A106)+$B$3))),IF($EC$13="",INDEX(bhpc_data[description],SMALL(IF(ISNUMBER(MATCH(bhpc_data[category],$EC$9,0)*MATCH(bhpc_data[sex],$EC$11,0)),MATCH(ROW(bhpc_data[sku]),ROW(bhpc_data[sku])),""),ROWS($A$15:A106)+$B$3)),INDEX(bhpc_data[description],SMALL(IF(ISNUMBER(MATCH(bhpc_data[category],$EC$9,0)*MATCH(bhpc_data[sex],$EC$11,0)*MATCH(bhpc_data[size],$EC$13,0)),MATCH(ROW(bhpc_data[sku]),ROW(bhpc_data[sku])),""),ROWS($A$15:A106)+$B$3))))),"")</f>
        <v>BHPC SPORT MEN 8 DEO 175ML</v>
      </c>
      <c r="EG101" s="441">
        <f>IFERROR(IF('BHPC MANAGER'!$EE101="","",INDEX(inventory[ESISTENZA],MATCH('BHPC MANAGER'!$EE101,inventory[SKU],0))),0)</f>
        <v>646</v>
      </c>
      <c r="EH101" s="442">
        <v>-582</v>
      </c>
      <c r="EI101" s="442">
        <f t="shared" si="14"/>
        <v>64</v>
      </c>
      <c r="EJ101" s="443">
        <v>0</v>
      </c>
      <c r="EK101" s="444">
        <f t="shared" si="15"/>
        <v>64</v>
      </c>
    </row>
    <row r="102" spans="63:141" ht="15" customHeight="1" x14ac:dyDescent="0.35">
      <c r="BK102" s="296"/>
      <c r="BL102" s="297"/>
      <c r="BM102" s="298"/>
      <c r="BN102" s="297"/>
      <c r="BO102" s="298"/>
      <c r="BZ102" s="414"/>
      <c r="CA102" s="401" t="str">
        <f>IFERROR(IF(BZ102="","",INDEX(bhpc_data[description],MATCH(BZ102,bhpc_data[sku],0))),"")</f>
        <v/>
      </c>
      <c r="CB102" s="403"/>
      <c r="CC102" s="886"/>
      <c r="CD102" s="415"/>
      <c r="CE102" s="891"/>
      <c r="CF102" s="404"/>
      <c r="CG102" s="405" t="str">
        <f>IFERROR(ROUNDUP(CB102/INDEX(bhpc_data[units_per_carton],MATCH(BZ102,bhpc_data[sku],0)),0),"")</f>
        <v/>
      </c>
      <c r="CH102" s="406" t="str">
        <f>IFERROR(ROUNDUP(CD102/INDEX(bhpc_data[units_per_carton],MATCH(BZ102,bhpc_data[sku],0)),0),"")</f>
        <v/>
      </c>
      <c r="CI102" s="406" t="str">
        <f>IFERROR(ROUNDUP(CF102/INDEX(bhpc_data[units_per_carton],MATCH(BZ102,bhpc_data[sku])),0),"")</f>
        <v/>
      </c>
      <c r="CJ102" s="406" t="str">
        <f>IFERROR(((CB102+CD102+CF102)/INDEX(bhpc_data[units_per_carton],MATCH(BZ102,bhpc_data[sku],0)))*INDEX(bhpc_data[net_weight],MATCH(BZ102,bhpc_data[sku],0)),"")</f>
        <v/>
      </c>
      <c r="CK102" s="406" t="str">
        <f>IFERROR(((CB102+CD102+CF102)/INDEX(bhpc_data[units_per_carton],MATCH(BZ102,bhpc_data[sku],0)))*INDEX(bhpc_data[gross_weight],MATCH(BZ102,bhpc_data[sku],0)),"")</f>
        <v/>
      </c>
      <c r="CL102" s="602" t="str">
        <f>IFERROR((CB102+CD102+CF102)/INDEX(bhpc_data[units_per_carton],MATCH(BZ102,bhpc_data[sku],0))*INDEX(bhpc_data[length],MATCH(BZ102,bhpc_data[sku],0))*INDEX(bhpc_data[width],MATCH(BZ102,bhpc_data[sku],0))*INDEX(bhpc_data[height],MATCH(BZ102,bhpc_data[sku],0))/1000000000,"")</f>
        <v/>
      </c>
      <c r="CM102" s="407" t="str">
        <f>IFERROR(INDEX(bhpc_data[category],MATCH(BZ102,bhpc_data[sku],0)),"")</f>
        <v/>
      </c>
      <c r="CN102" s="407" t="str">
        <f>IFERROR(INDEX(bhpc_data[size],MATCH(BZ102,bhpc_data[sku],0)),"")</f>
        <v/>
      </c>
      <c r="CO102" s="408" t="str">
        <f>IFERROR(INDEX(bhpc_data[hs_code],MATCH(BZ102,bhpc_data[sku],0)),"")</f>
        <v/>
      </c>
      <c r="CP102" s="489" t="str">
        <f>IFERROR(INDEX(bhpc_data[sku_geko],MATCH(BZ102,bhpc_data[sku],0)),"")</f>
        <v/>
      </c>
      <c r="CQ102" s="404"/>
      <c r="CR102" s="517" t="str">
        <f>IFERROR(IF(BZ102="","",IF($BX$15="SALE",INDEX(inventory[COSTO UNITARIO],MATCH(BZ102,inventory[SKU],0)),IF($BX$15="SAMPLING",INDEX(inventory[COSTO UNITARIO],MATCH(BZ102,inventory[SKU],0)),""))),"")</f>
        <v/>
      </c>
      <c r="CS102" s="517" t="str">
        <f t="shared" si="11"/>
        <v/>
      </c>
      <c r="CT102" s="896" t="str">
        <f t="shared" si="12"/>
        <v/>
      </c>
      <c r="CU102" s="469" t="str">
        <f t="shared" si="13"/>
        <v/>
      </c>
      <c r="DB102" s="280" t="str">
        <f>IFERROR(VLOOKUP(BZ102,bhpc_data[],22,FALSE),"")</f>
        <v/>
      </c>
      <c r="EE102" s="445" t="str" cm="1">
        <f t="array" ref="EE102">IFERROR(IF($EC$9="",IF($EC$11="",IF($EC$13="",INDEX(bhpc_data[sku],SMALL(MATCH(ROW(bhpc_data[sku]),ROW(bhpc_data[sku])),ROWS($A$15:A107)+$B$3)),INDEX(bhpc_data[sku],SMALL(IF(ISNUMBER(MATCH(bhpc_data[size],$EC$13,0)),MATCH(ROW(bhpc_data[sku]),ROW(bhpc_data[sku])),""),ROWS($A$15:A107)+$B$3))),IF($EC$13="",INDEX(bhpc_data[sku],SMALL(IF(ISNUMBER(MATCH(bhpc_data[sex],$EC$11,0)),MATCH(ROW(bhpc_data[sku]),ROW(bhpc_data[sku])),""),ROWS($A$15:A107)+$B$3)),INDEX(bhpc_data[sku],SMALL(IF(ISNUMBER(MATCH(bhpc_data[sex],$EC$11,0)*MATCH(bhpc_data[size],$EC$13,0)),MATCH(ROW(bhpc_data[sku]),ROW(bhpc_data[sku])),""),ROWS($A$15:A107)+$B$3)))),IF($EC$11="",IF($EC$13="",INDEX(bhpc_data[sku],SMALL(IF(ISNUMBER(MATCH(bhpc_data[category],$EC$9,0)),MATCH(ROW(bhpc_data[sku]),ROW(bhpc_data[sku])),""),ROWS($A$15:A107)+$B$3)),INDEX(bhpc_data[sku],SMALL(IF(ISNUMBER(MATCH(bhpc_data[category],$EC$9,0)*MATCH(bhpc_data[size],$EC$13,0)),MATCH(ROW(bhpc_data[sku]),ROW(bhpc_data[sku])),""),ROWS($A$15:A107)+$B$3))),IF($EC$13="",INDEX(bhpc_data[sku],SMALL(IF(ISNUMBER(MATCH(bhpc_data[category],$EC$9,0)*MATCH(bhpc_data[sex],$EC$11,0)),MATCH(ROW(bhpc_data[sku]),ROW(bhpc_data[sku])),""),ROWS($A$15:A107)+$B$3)),INDEX(bhpc_data[sku],SMALL(IF(ISNUMBER(MATCH(bhpc_data[category],$EC$9,0)*MATCH(bhpc_data[sex],$EC$11,0)*MATCH(bhpc_data[size],$EC$13,0)),MATCH(ROW(bhpc_data[sku]),ROW(bhpc_data[sku])),""),ROWS($A$15:A107)+$B$3))))),"")</f>
        <v>P05003</v>
      </c>
      <c r="EF102" s="446" t="str" cm="1">
        <f t="array" ref="EF102">IFERROR(IF($EC$9="",IF($EC$11="",IF($EC$13="",INDEX(bhpc_data[description],SMALL(MATCH(ROW(bhpc_data[sku]),ROW(bhpc_data[sku])),ROWS($A$15:A107)+$B$3)),INDEX(bhpc_data[description],SMALL(IF(ISNUMBER(MATCH(bhpc_data[size],$EC$13,0)),MATCH(ROW(bhpc_data[sku]),ROW(bhpc_data[sku])),""),ROWS($A$15:A107)+$B$3))),IF($EC$13="",INDEX(bhpc_data[description],SMALL(IF(ISNUMBER(MATCH(bhpc_data[sex],$EC$11,0)),MATCH(ROW(bhpc_data[sku]),ROW(bhpc_data[sku])),""),ROWS($A$15:A107)+$B$3)),INDEX(bhpc_data[description],SMALL(IF(ISNUMBER(MATCH(bhpc_data[sex],$EC$11,0)*MATCH(bhpc_data[size],$EC$13,0)),MATCH(ROW(bhpc_data[sku]),ROW(bhpc_data[sku])),""),ROWS($A$15:A107)+$B$3)))),IF($EC$11="",IF($EC$13="",INDEX(bhpc_data[description],SMALL(IF(ISNUMBER(MATCH(bhpc_data[category],$EC$9,0)),MATCH(ROW(bhpc_data[sku]),ROW(bhpc_data[sku])),""),ROWS($A$15:A107)+$B$3)),INDEX(bhpc_data[description],SMALL(IF(ISNUMBER(MATCH(bhpc_data[category],$EC$9,0)*MATCH(bhpc_data[size],$EC$13,0)),MATCH(ROW(bhpc_data[sku]),ROW(bhpc_data[sku])),""),ROWS($A$15:A107)+$B$3))),IF($EC$13="",INDEX(bhpc_data[description],SMALL(IF(ISNUMBER(MATCH(bhpc_data[category],$EC$9,0)*MATCH(bhpc_data[sex],$EC$11,0)),MATCH(ROW(bhpc_data[sku]),ROW(bhpc_data[sku])),""),ROWS($A$15:A107)+$B$3)),INDEX(bhpc_data[description],SMALL(IF(ISNUMBER(MATCH(bhpc_data[category],$EC$9,0)*MATCH(bhpc_data[sex],$EC$11,0)*MATCH(bhpc_data[size],$EC$13,0)),MATCH(ROW(bhpc_data[sku]),ROW(bhpc_data[sku])),""),ROWS($A$15:A107)+$B$3))))),"")</f>
        <v>BHPC SPORT MEN 2 DEO 175ML</v>
      </c>
      <c r="EG102" s="447">
        <f>IFERROR(IF('BHPC MANAGER'!$EE102="","",INDEX(inventory[ESISTENZA],MATCH('BHPC MANAGER'!$EE102,inventory[SKU],0))),0)</f>
        <v>1334</v>
      </c>
      <c r="EH102" s="448">
        <v>-582</v>
      </c>
      <c r="EI102" s="448">
        <f t="shared" si="14"/>
        <v>752</v>
      </c>
      <c r="EJ102" s="449">
        <v>0</v>
      </c>
      <c r="EK102" s="450">
        <f t="shared" si="15"/>
        <v>752</v>
      </c>
    </row>
    <row r="103" spans="63:141" ht="15" customHeight="1" x14ac:dyDescent="0.35">
      <c r="BK103" s="296"/>
      <c r="BL103" s="297"/>
      <c r="BM103" s="298"/>
      <c r="BN103" s="297"/>
      <c r="BO103" s="298"/>
      <c r="BZ103" s="414"/>
      <c r="CA103" s="401" t="str">
        <f>IFERROR(IF(BZ103="","",INDEX(bhpc_data[description],MATCH(BZ103,bhpc_data[sku],0))),"")</f>
        <v/>
      </c>
      <c r="CB103" s="403"/>
      <c r="CC103" s="886"/>
      <c r="CD103" s="415"/>
      <c r="CE103" s="891"/>
      <c r="CF103" s="404"/>
      <c r="CG103" s="405" t="str">
        <f>IFERROR(ROUNDUP(CB103/INDEX(bhpc_data[units_per_carton],MATCH(BZ103,bhpc_data[sku],0)),0),"")</f>
        <v/>
      </c>
      <c r="CH103" s="406" t="str">
        <f>IFERROR(ROUNDUP(CD103/INDEX(bhpc_data[units_per_carton],MATCH(BZ103,bhpc_data[sku],0)),0),"")</f>
        <v/>
      </c>
      <c r="CI103" s="406" t="str">
        <f>IFERROR(ROUNDUP(CF103/INDEX(bhpc_data[units_per_carton],MATCH(BZ103,bhpc_data[sku])),0),"")</f>
        <v/>
      </c>
      <c r="CJ103" s="406" t="str">
        <f>IFERROR(((CB103+CD103+CF103)/INDEX(bhpc_data[units_per_carton],MATCH(BZ103,bhpc_data[sku],0)))*INDEX(bhpc_data[net_weight],MATCH(BZ103,bhpc_data[sku],0)),"")</f>
        <v/>
      </c>
      <c r="CK103" s="406" t="str">
        <f>IFERROR(((CB103+CD103+CF103)/INDEX(bhpc_data[units_per_carton],MATCH(BZ103,bhpc_data[sku],0)))*INDEX(bhpc_data[gross_weight],MATCH(BZ103,bhpc_data[sku],0)),"")</f>
        <v/>
      </c>
      <c r="CL103" s="602" t="str">
        <f>IFERROR((CB103+CD103+CF103)/INDEX(bhpc_data[units_per_carton],MATCH(BZ103,bhpc_data[sku],0))*INDEX(bhpc_data[length],MATCH(BZ103,bhpc_data[sku],0))*INDEX(bhpc_data[width],MATCH(BZ103,bhpc_data[sku],0))*INDEX(bhpc_data[height],MATCH(BZ103,bhpc_data[sku],0))/1000000000,"")</f>
        <v/>
      </c>
      <c r="CM103" s="407" t="str">
        <f>IFERROR(INDEX(bhpc_data[category],MATCH(BZ103,bhpc_data[sku],0)),"")</f>
        <v/>
      </c>
      <c r="CN103" s="407" t="str">
        <f>IFERROR(INDEX(bhpc_data[size],MATCH(BZ103,bhpc_data[sku],0)),"")</f>
        <v/>
      </c>
      <c r="CO103" s="408" t="str">
        <f>IFERROR(INDEX(bhpc_data[hs_code],MATCH(BZ103,bhpc_data[sku],0)),"")</f>
        <v/>
      </c>
      <c r="CP103" s="489" t="str">
        <f>IFERROR(INDEX(bhpc_data[sku_geko],MATCH(BZ103,bhpc_data[sku],0)),"")</f>
        <v/>
      </c>
      <c r="CQ103" s="404"/>
      <c r="CR103" s="517" t="str">
        <f>IFERROR(IF(BZ103="","",IF($BX$15="SALE",INDEX(inventory[COSTO UNITARIO],MATCH(BZ103,inventory[SKU],0)),IF($BX$15="SAMPLING",INDEX(inventory[COSTO UNITARIO],MATCH(BZ103,inventory[SKU],0)),""))),"")</f>
        <v/>
      </c>
      <c r="CS103" s="517" t="str">
        <f t="shared" si="11"/>
        <v/>
      </c>
      <c r="CT103" s="896" t="str">
        <f t="shared" si="12"/>
        <v/>
      </c>
      <c r="CU103" s="469" t="str">
        <f t="shared" si="13"/>
        <v/>
      </c>
      <c r="DB103" s="280" t="str">
        <f>IFERROR(VLOOKUP(BZ103,bhpc_data[],22,FALSE),"")</f>
        <v/>
      </c>
      <c r="EE103" s="439" t="str" cm="1">
        <f t="array" ref="EE103">IFERROR(IF($EC$9="",IF($EC$11="",IF($EC$13="",INDEX(bhpc_data[sku],SMALL(MATCH(ROW(bhpc_data[sku]),ROW(bhpc_data[sku])),ROWS($A$15:A108)+$B$3)),INDEX(bhpc_data[sku],SMALL(IF(ISNUMBER(MATCH(bhpc_data[size],$EC$13,0)),MATCH(ROW(bhpc_data[sku]),ROW(bhpc_data[sku])),""),ROWS($A$15:A108)+$B$3))),IF($EC$13="",INDEX(bhpc_data[sku],SMALL(IF(ISNUMBER(MATCH(bhpc_data[sex],$EC$11,0)),MATCH(ROW(bhpc_data[sku]),ROW(bhpc_data[sku])),""),ROWS($A$15:A108)+$B$3)),INDEX(bhpc_data[sku],SMALL(IF(ISNUMBER(MATCH(bhpc_data[sex],$EC$11,0)*MATCH(bhpc_data[size],$EC$13,0)),MATCH(ROW(bhpc_data[sku]),ROW(bhpc_data[sku])),""),ROWS($A$15:A108)+$B$3)))),IF($EC$11="",IF($EC$13="",INDEX(bhpc_data[sku],SMALL(IF(ISNUMBER(MATCH(bhpc_data[category],$EC$9,0)),MATCH(ROW(bhpc_data[sku]),ROW(bhpc_data[sku])),""),ROWS($A$15:A108)+$B$3)),INDEX(bhpc_data[sku],SMALL(IF(ISNUMBER(MATCH(bhpc_data[category],$EC$9,0)*MATCH(bhpc_data[size],$EC$13,0)),MATCH(ROW(bhpc_data[sku]),ROW(bhpc_data[sku])),""),ROWS($A$15:A108)+$B$3))),IF($EC$13="",INDEX(bhpc_data[sku],SMALL(IF(ISNUMBER(MATCH(bhpc_data[category],$EC$9,0)*MATCH(bhpc_data[sex],$EC$11,0)),MATCH(ROW(bhpc_data[sku]),ROW(bhpc_data[sku])),""),ROWS($A$15:A108)+$B$3)),INDEX(bhpc_data[sku],SMALL(IF(ISNUMBER(MATCH(bhpc_data[category],$EC$9,0)*MATCH(bhpc_data[sex],$EC$11,0)*MATCH(bhpc_data[size],$EC$13,0)),MATCH(ROW(bhpc_data[sku]),ROW(bhpc_data[sku])),""),ROWS($A$15:A108)+$B$3))))),"")</f>
        <v>P06008</v>
      </c>
      <c r="EF103" s="440" t="str" cm="1">
        <f t="array" ref="EF103">IFERROR(IF($EC$9="",IF($EC$11="",IF($EC$13="",INDEX(bhpc_data[description],SMALL(MATCH(ROW(bhpc_data[sku]),ROW(bhpc_data[sku])),ROWS($A$15:A108)+$B$3)),INDEX(bhpc_data[description],SMALL(IF(ISNUMBER(MATCH(bhpc_data[size],$EC$13,0)),MATCH(ROW(bhpc_data[sku]),ROW(bhpc_data[sku])),""),ROWS($A$15:A108)+$B$3))),IF($EC$13="",INDEX(bhpc_data[description],SMALL(IF(ISNUMBER(MATCH(bhpc_data[sex],$EC$11,0)),MATCH(ROW(bhpc_data[sku]),ROW(bhpc_data[sku])),""),ROWS($A$15:A108)+$B$3)),INDEX(bhpc_data[description],SMALL(IF(ISNUMBER(MATCH(bhpc_data[sex],$EC$11,0)*MATCH(bhpc_data[size],$EC$13,0)),MATCH(ROW(bhpc_data[sku]),ROW(bhpc_data[sku])),""),ROWS($A$15:A108)+$B$3)))),IF($EC$11="",IF($EC$13="",INDEX(bhpc_data[description],SMALL(IF(ISNUMBER(MATCH(bhpc_data[category],$EC$9,0)),MATCH(ROW(bhpc_data[sku]),ROW(bhpc_data[sku])),""),ROWS($A$15:A108)+$B$3)),INDEX(bhpc_data[description],SMALL(IF(ISNUMBER(MATCH(bhpc_data[category],$EC$9,0)*MATCH(bhpc_data[size],$EC$13,0)),MATCH(ROW(bhpc_data[sku]),ROW(bhpc_data[sku])),""),ROWS($A$15:A108)+$B$3))),IF($EC$13="",INDEX(bhpc_data[description],SMALL(IF(ISNUMBER(MATCH(bhpc_data[category],$EC$9,0)*MATCH(bhpc_data[sex],$EC$11,0)),MATCH(ROW(bhpc_data[sku]),ROW(bhpc_data[sku])),""),ROWS($A$15:A108)+$B$3)),INDEX(bhpc_data[description],SMALL(IF(ISNUMBER(MATCH(bhpc_data[category],$EC$9,0)*MATCH(bhpc_data[sex],$EC$11,0)*MATCH(bhpc_data[size],$EC$13,0)),MATCH(ROW(bhpc_data[sku]),ROW(bhpc_data[sku])),""),ROWS($A$15:A108)+$B$3))))),"")</f>
        <v>BHPC ELEGANCE HAIR MIST 250ML</v>
      </c>
      <c r="EG103" s="441">
        <f>IFERROR(IF('BHPC MANAGER'!$EE103="","",INDEX(inventory[ESISTENZA],MATCH('BHPC MANAGER'!$EE103,inventory[SKU],0))),0)</f>
        <v>2496</v>
      </c>
      <c r="EH103" s="442">
        <v>0</v>
      </c>
      <c r="EI103" s="442">
        <f t="shared" si="14"/>
        <v>2496</v>
      </c>
      <c r="EJ103" s="443">
        <v>-2</v>
      </c>
      <c r="EK103" s="444">
        <f t="shared" si="15"/>
        <v>2494</v>
      </c>
    </row>
    <row r="104" spans="63:141" ht="15" customHeight="1" x14ac:dyDescent="0.35">
      <c r="BK104" s="296"/>
      <c r="BL104" s="297"/>
      <c r="BM104" s="298"/>
      <c r="BN104" s="297"/>
      <c r="BO104" s="298"/>
      <c r="BZ104" s="414"/>
      <c r="CA104" s="401" t="str">
        <f>IFERROR(IF(BZ104="","",INDEX(bhpc_data[description],MATCH(BZ104,bhpc_data[sku],0))),"")</f>
        <v/>
      </c>
      <c r="CB104" s="403"/>
      <c r="CC104" s="886"/>
      <c r="CD104" s="415"/>
      <c r="CE104" s="891"/>
      <c r="CF104" s="404"/>
      <c r="CG104" s="405" t="str">
        <f>IFERROR(ROUNDUP(CB104/INDEX(bhpc_data[units_per_carton],MATCH(BZ104,bhpc_data[sku],0)),0),"")</f>
        <v/>
      </c>
      <c r="CH104" s="406" t="str">
        <f>IFERROR(ROUNDUP(CD104/INDEX(bhpc_data[units_per_carton],MATCH(BZ104,bhpc_data[sku],0)),0),"")</f>
        <v/>
      </c>
      <c r="CI104" s="406" t="str">
        <f>IFERROR(ROUNDUP(CF104/INDEX(bhpc_data[units_per_carton],MATCH(BZ104,bhpc_data[sku])),0),"")</f>
        <v/>
      </c>
      <c r="CJ104" s="406" t="str">
        <f>IFERROR(((CB104+CD104+CF104)/INDEX(bhpc_data[units_per_carton],MATCH(BZ104,bhpc_data[sku],0)))*INDEX(bhpc_data[net_weight],MATCH(BZ104,bhpc_data[sku],0)),"")</f>
        <v/>
      </c>
      <c r="CK104" s="406" t="str">
        <f>IFERROR(((CB104+CD104+CF104)/INDEX(bhpc_data[units_per_carton],MATCH(BZ104,bhpc_data[sku],0)))*INDEX(bhpc_data[gross_weight],MATCH(BZ104,bhpc_data[sku],0)),"")</f>
        <v/>
      </c>
      <c r="CL104" s="602" t="str">
        <f>IFERROR((CB104+CD104+CF104)/INDEX(bhpc_data[units_per_carton],MATCH(BZ104,bhpc_data[sku],0))*INDEX(bhpc_data[length],MATCH(BZ104,bhpc_data[sku],0))*INDEX(bhpc_data[width],MATCH(BZ104,bhpc_data[sku],0))*INDEX(bhpc_data[height],MATCH(BZ104,bhpc_data[sku],0))/1000000000,"")</f>
        <v/>
      </c>
      <c r="CM104" s="407" t="str">
        <f>IFERROR(INDEX(bhpc_data[category],MATCH(BZ104,bhpc_data[sku],0)),"")</f>
        <v/>
      </c>
      <c r="CN104" s="407" t="str">
        <f>IFERROR(INDEX(bhpc_data[size],MATCH(BZ104,bhpc_data[sku],0)),"")</f>
        <v/>
      </c>
      <c r="CO104" s="408" t="str">
        <f>IFERROR(INDEX(bhpc_data[hs_code],MATCH(BZ104,bhpc_data[sku],0)),"")</f>
        <v/>
      </c>
      <c r="CP104" s="489" t="str">
        <f>IFERROR(INDEX(bhpc_data[sku_geko],MATCH(BZ104,bhpc_data[sku],0)),"")</f>
        <v/>
      </c>
      <c r="CQ104" s="404"/>
      <c r="CR104" s="517" t="str">
        <f>IFERROR(IF(BZ104="","",IF($BX$15="SALE",INDEX(inventory[COSTO UNITARIO],MATCH(BZ104,inventory[SKU],0)),IF($BX$15="SAMPLING",INDEX(inventory[COSTO UNITARIO],MATCH(BZ104,inventory[SKU],0)),""))),"")</f>
        <v/>
      </c>
      <c r="CS104" s="517" t="str">
        <f t="shared" si="11"/>
        <v/>
      </c>
      <c r="CT104" s="896" t="str">
        <f t="shared" si="12"/>
        <v/>
      </c>
      <c r="CU104" s="469" t="str">
        <f t="shared" si="13"/>
        <v/>
      </c>
      <c r="DB104" s="280" t="str">
        <f>IFERROR(VLOOKUP(BZ104,bhpc_data[],22,FALSE),"")</f>
        <v/>
      </c>
      <c r="EE104" s="445" t="str" cm="1">
        <f t="array" ref="EE104">IFERROR(IF($EC$9="",IF($EC$11="",IF($EC$13="",INDEX(bhpc_data[sku],SMALL(MATCH(ROW(bhpc_data[sku]),ROW(bhpc_data[sku])),ROWS($A$15:A109)+$B$3)),INDEX(bhpc_data[sku],SMALL(IF(ISNUMBER(MATCH(bhpc_data[size],$EC$13,0)),MATCH(ROW(bhpc_data[sku]),ROW(bhpc_data[sku])),""),ROWS($A$15:A109)+$B$3))),IF($EC$13="",INDEX(bhpc_data[sku],SMALL(IF(ISNUMBER(MATCH(bhpc_data[sex],$EC$11,0)),MATCH(ROW(bhpc_data[sku]),ROW(bhpc_data[sku])),""),ROWS($A$15:A109)+$B$3)),INDEX(bhpc_data[sku],SMALL(IF(ISNUMBER(MATCH(bhpc_data[sex],$EC$11,0)*MATCH(bhpc_data[size],$EC$13,0)),MATCH(ROW(bhpc_data[sku]),ROW(bhpc_data[sku])),""),ROWS($A$15:A109)+$B$3)))),IF($EC$11="",IF($EC$13="",INDEX(bhpc_data[sku],SMALL(IF(ISNUMBER(MATCH(bhpc_data[category],$EC$9,0)),MATCH(ROW(bhpc_data[sku]),ROW(bhpc_data[sku])),""),ROWS($A$15:A109)+$B$3)),INDEX(bhpc_data[sku],SMALL(IF(ISNUMBER(MATCH(bhpc_data[category],$EC$9,0)*MATCH(bhpc_data[size],$EC$13,0)),MATCH(ROW(bhpc_data[sku]),ROW(bhpc_data[sku])),""),ROWS($A$15:A109)+$B$3))),IF($EC$13="",INDEX(bhpc_data[sku],SMALL(IF(ISNUMBER(MATCH(bhpc_data[category],$EC$9,0)*MATCH(bhpc_data[sex],$EC$11,0)),MATCH(ROW(bhpc_data[sku]),ROW(bhpc_data[sku])),""),ROWS($A$15:A109)+$B$3)),INDEX(bhpc_data[sku],SMALL(IF(ISNUMBER(MATCH(bhpc_data[category],$EC$9,0)*MATCH(bhpc_data[sex],$EC$11,0)*MATCH(bhpc_data[size],$EC$13,0)),MATCH(ROW(bhpc_data[sku]),ROW(bhpc_data[sku])),""),ROWS($A$15:A109)+$B$3))))),"")</f>
        <v>P06009</v>
      </c>
      <c r="EF104" s="446" t="str" cm="1">
        <f t="array" ref="EF104">IFERROR(IF($EC$9="",IF($EC$11="",IF($EC$13="",INDEX(bhpc_data[description],SMALL(MATCH(ROW(bhpc_data[sku]),ROW(bhpc_data[sku])),ROWS($A$15:A109)+$B$3)),INDEX(bhpc_data[description],SMALL(IF(ISNUMBER(MATCH(bhpc_data[size],$EC$13,0)),MATCH(ROW(bhpc_data[sku]),ROW(bhpc_data[sku])),""),ROWS($A$15:A109)+$B$3))),IF($EC$13="",INDEX(bhpc_data[description],SMALL(IF(ISNUMBER(MATCH(bhpc_data[sex],$EC$11,0)),MATCH(ROW(bhpc_data[sku]),ROW(bhpc_data[sku])),""),ROWS($A$15:A109)+$B$3)),INDEX(bhpc_data[description],SMALL(IF(ISNUMBER(MATCH(bhpc_data[sex],$EC$11,0)*MATCH(bhpc_data[size],$EC$13,0)),MATCH(ROW(bhpc_data[sku]),ROW(bhpc_data[sku])),""),ROWS($A$15:A109)+$B$3)))),IF($EC$11="",IF($EC$13="",INDEX(bhpc_data[description],SMALL(IF(ISNUMBER(MATCH(bhpc_data[category],$EC$9,0)),MATCH(ROW(bhpc_data[sku]),ROW(bhpc_data[sku])),""),ROWS($A$15:A109)+$B$3)),INDEX(bhpc_data[description],SMALL(IF(ISNUMBER(MATCH(bhpc_data[category],$EC$9,0)*MATCH(bhpc_data[size],$EC$13,0)),MATCH(ROW(bhpc_data[sku]),ROW(bhpc_data[sku])),""),ROWS($A$15:A109)+$B$3))),IF($EC$13="",INDEX(bhpc_data[description],SMALL(IF(ISNUMBER(MATCH(bhpc_data[category],$EC$9,0)*MATCH(bhpc_data[sex],$EC$11,0)),MATCH(ROW(bhpc_data[sku]),ROW(bhpc_data[sku])),""),ROWS($A$15:A109)+$B$3)),INDEX(bhpc_data[description],SMALL(IF(ISNUMBER(MATCH(bhpc_data[category],$EC$9,0)*MATCH(bhpc_data[sex],$EC$11,0)*MATCH(bhpc_data[size],$EC$13,0)),MATCH(ROW(bhpc_data[sku]),ROW(bhpc_data[sku])),""),ROWS($A$15:A109)+$B$3))))),"")</f>
        <v>BHPC CHALLENGE BODY MIST 250ML</v>
      </c>
      <c r="EG104" s="447">
        <f>IFERROR(IF('BHPC MANAGER'!$EE104="","",INDEX(inventory[ESISTENZA],MATCH('BHPC MANAGER'!$EE104,inventory[SKU],0))),0)</f>
        <v>2496</v>
      </c>
      <c r="EH104" s="448">
        <v>0</v>
      </c>
      <c r="EI104" s="448">
        <f t="shared" si="14"/>
        <v>2496</v>
      </c>
      <c r="EJ104" s="449">
        <v>-2</v>
      </c>
      <c r="EK104" s="450">
        <f t="shared" si="15"/>
        <v>2494</v>
      </c>
    </row>
    <row r="105" spans="63:141" ht="15" customHeight="1" x14ac:dyDescent="0.35">
      <c r="BK105" s="296"/>
      <c r="BL105" s="297"/>
      <c r="BM105" s="298"/>
      <c r="BN105" s="297"/>
      <c r="BO105" s="298"/>
      <c r="BZ105" s="414"/>
      <c r="CA105" s="401" t="str">
        <f>IFERROR(IF(BZ105="","",INDEX(bhpc_data[description],MATCH(BZ105,bhpc_data[sku],0))),"")</f>
        <v/>
      </c>
      <c r="CB105" s="403"/>
      <c r="CC105" s="886"/>
      <c r="CD105" s="415"/>
      <c r="CE105" s="891"/>
      <c r="CF105" s="404"/>
      <c r="CG105" s="405" t="str">
        <f>IFERROR(ROUNDUP(CB105/INDEX(bhpc_data[units_per_carton],MATCH(BZ105,bhpc_data[sku],0)),0),"")</f>
        <v/>
      </c>
      <c r="CH105" s="406" t="str">
        <f>IFERROR(ROUNDUP(CD105/INDEX(bhpc_data[units_per_carton],MATCH(BZ105,bhpc_data[sku],0)),0),"")</f>
        <v/>
      </c>
      <c r="CI105" s="406" t="str">
        <f>IFERROR(ROUNDUP(CF105/INDEX(bhpc_data[units_per_carton],MATCH(BZ105,bhpc_data[sku])),0),"")</f>
        <v/>
      </c>
      <c r="CJ105" s="406" t="str">
        <f>IFERROR(((CB105+CD105+CF105)/INDEX(bhpc_data[units_per_carton],MATCH(BZ105,bhpc_data[sku],0)))*INDEX(bhpc_data[net_weight],MATCH(BZ105,bhpc_data[sku],0)),"")</f>
        <v/>
      </c>
      <c r="CK105" s="406" t="str">
        <f>IFERROR(((CB105+CD105+CF105)/INDEX(bhpc_data[units_per_carton],MATCH(BZ105,bhpc_data[sku],0)))*INDEX(bhpc_data[gross_weight],MATCH(BZ105,bhpc_data[sku],0)),"")</f>
        <v/>
      </c>
      <c r="CL105" s="602" t="str">
        <f>IFERROR((CB105+CD105+CF105)/INDEX(bhpc_data[units_per_carton],MATCH(BZ105,bhpc_data[sku],0))*INDEX(bhpc_data[length],MATCH(BZ105,bhpc_data[sku],0))*INDEX(bhpc_data[width],MATCH(BZ105,bhpc_data[sku],0))*INDEX(bhpc_data[height],MATCH(BZ105,bhpc_data[sku],0))/1000000000,"")</f>
        <v/>
      </c>
      <c r="CM105" s="407" t="str">
        <f>IFERROR(INDEX(bhpc_data[category],MATCH(BZ105,bhpc_data[sku],0)),"")</f>
        <v/>
      </c>
      <c r="CN105" s="407" t="str">
        <f>IFERROR(INDEX(bhpc_data[size],MATCH(BZ105,bhpc_data[sku],0)),"")</f>
        <v/>
      </c>
      <c r="CO105" s="408" t="str">
        <f>IFERROR(INDEX(bhpc_data[hs_code],MATCH(BZ105,bhpc_data[sku],0)),"")</f>
        <v/>
      </c>
      <c r="CP105" s="489" t="str">
        <f>IFERROR(INDEX(bhpc_data[sku_geko],MATCH(BZ105,bhpc_data[sku],0)),"")</f>
        <v/>
      </c>
      <c r="CQ105" s="404"/>
      <c r="CR105" s="517" t="str">
        <f>IFERROR(IF(BZ105="","",IF($BX$15="SALE",INDEX(inventory[COSTO UNITARIO],MATCH(BZ105,inventory[SKU],0)),IF($BX$15="SAMPLING",INDEX(inventory[COSTO UNITARIO],MATCH(BZ105,inventory[SKU],0)),""))),"")</f>
        <v/>
      </c>
      <c r="CS105" s="517" t="str">
        <f t="shared" si="11"/>
        <v/>
      </c>
      <c r="CT105" s="896" t="str">
        <f t="shared" si="12"/>
        <v/>
      </c>
      <c r="CU105" s="469" t="str">
        <f t="shared" si="13"/>
        <v/>
      </c>
      <c r="DB105" s="280" t="str">
        <f>IFERROR(VLOOKUP(BZ105,bhpc_data[],22,FALSE),"")</f>
        <v/>
      </c>
      <c r="EE105" s="439" t="str" cm="1">
        <f t="array" ref="EE105">IFERROR(IF($EC$9="",IF($EC$11="",IF($EC$13="",INDEX(bhpc_data[sku],SMALL(MATCH(ROW(bhpc_data[sku]),ROW(bhpc_data[sku])),ROWS($A$15:A110)+$B$3)),INDEX(bhpc_data[sku],SMALL(IF(ISNUMBER(MATCH(bhpc_data[size],$EC$13,0)),MATCH(ROW(bhpc_data[sku]),ROW(bhpc_data[sku])),""),ROWS($A$15:A110)+$B$3))),IF($EC$13="",INDEX(bhpc_data[sku],SMALL(IF(ISNUMBER(MATCH(bhpc_data[sex],$EC$11,0)),MATCH(ROW(bhpc_data[sku]),ROW(bhpc_data[sku])),""),ROWS($A$15:A110)+$B$3)),INDEX(bhpc_data[sku],SMALL(IF(ISNUMBER(MATCH(bhpc_data[sex],$EC$11,0)*MATCH(bhpc_data[size],$EC$13,0)),MATCH(ROW(bhpc_data[sku]),ROW(bhpc_data[sku])),""),ROWS($A$15:A110)+$B$3)))),IF($EC$11="",IF($EC$13="",INDEX(bhpc_data[sku],SMALL(IF(ISNUMBER(MATCH(bhpc_data[category],$EC$9,0)),MATCH(ROW(bhpc_data[sku]),ROW(bhpc_data[sku])),""),ROWS($A$15:A110)+$B$3)),INDEX(bhpc_data[sku],SMALL(IF(ISNUMBER(MATCH(bhpc_data[category],$EC$9,0)*MATCH(bhpc_data[size],$EC$13,0)),MATCH(ROW(bhpc_data[sku]),ROW(bhpc_data[sku])),""),ROWS($A$15:A110)+$B$3))),IF($EC$13="",INDEX(bhpc_data[sku],SMALL(IF(ISNUMBER(MATCH(bhpc_data[category],$EC$9,0)*MATCH(bhpc_data[sex],$EC$11,0)),MATCH(ROW(bhpc_data[sku]),ROW(bhpc_data[sku])),""),ROWS($A$15:A110)+$B$3)),INDEX(bhpc_data[sku],SMALL(IF(ISNUMBER(MATCH(bhpc_data[category],$EC$9,0)*MATCH(bhpc_data[sex],$EC$11,0)*MATCH(bhpc_data[size],$EC$13,0)),MATCH(ROW(bhpc_data[sku]),ROW(bhpc_data[sku])),""),ROWS($A$15:A110)+$B$3))))),"")</f>
        <v>P06010</v>
      </c>
      <c r="EF105" s="440" t="str" cm="1">
        <f t="array" ref="EF105">IFERROR(IF($EC$9="",IF($EC$11="",IF($EC$13="",INDEX(bhpc_data[description],SMALL(MATCH(ROW(bhpc_data[sku]),ROW(bhpc_data[sku])),ROWS($A$15:A110)+$B$3)),INDEX(bhpc_data[description],SMALL(IF(ISNUMBER(MATCH(bhpc_data[size],$EC$13,0)),MATCH(ROW(bhpc_data[sku]),ROW(bhpc_data[sku])),""),ROWS($A$15:A110)+$B$3))),IF($EC$13="",INDEX(bhpc_data[description],SMALL(IF(ISNUMBER(MATCH(bhpc_data[sex],$EC$11,0)),MATCH(ROW(bhpc_data[sku]),ROW(bhpc_data[sku])),""),ROWS($A$15:A110)+$B$3)),INDEX(bhpc_data[description],SMALL(IF(ISNUMBER(MATCH(bhpc_data[sex],$EC$11,0)*MATCH(bhpc_data[size],$EC$13,0)),MATCH(ROW(bhpc_data[sku]),ROW(bhpc_data[sku])),""),ROWS($A$15:A110)+$B$3)))),IF($EC$11="",IF($EC$13="",INDEX(bhpc_data[description],SMALL(IF(ISNUMBER(MATCH(bhpc_data[category],$EC$9,0)),MATCH(ROW(bhpc_data[sku]),ROW(bhpc_data[sku])),""),ROWS($A$15:A110)+$B$3)),INDEX(bhpc_data[description],SMALL(IF(ISNUMBER(MATCH(bhpc_data[category],$EC$9,0)*MATCH(bhpc_data[size],$EC$13,0)),MATCH(ROW(bhpc_data[sku]),ROW(bhpc_data[sku])),""),ROWS($A$15:A110)+$B$3))),IF($EC$13="",INDEX(bhpc_data[description],SMALL(IF(ISNUMBER(MATCH(bhpc_data[category],$EC$9,0)*MATCH(bhpc_data[sex],$EC$11,0)),MATCH(ROW(bhpc_data[sku]),ROW(bhpc_data[sku])),""),ROWS($A$15:A110)+$B$3)),INDEX(bhpc_data[description],SMALL(IF(ISNUMBER(MATCH(bhpc_data[category],$EC$9,0)*MATCH(bhpc_data[sex],$EC$11,0)*MATCH(bhpc_data[size],$EC$13,0)),MATCH(ROW(bhpc_data[sku]),ROW(bhpc_data[sku])),""),ROWS($A$15:A110)+$B$3))))),"")</f>
        <v>BHPC MYSTIQUE BODY MIST 250ML</v>
      </c>
      <c r="EG105" s="441">
        <f>IFERROR(IF('BHPC MANAGER'!$EE105="","",INDEX(inventory[ESISTENZA],MATCH('BHPC MANAGER'!$EE105,inventory[SKU],0))),0)</f>
        <v>2496</v>
      </c>
      <c r="EH105" s="442">
        <v>0</v>
      </c>
      <c r="EI105" s="442">
        <f t="shared" si="14"/>
        <v>2496</v>
      </c>
      <c r="EJ105" s="443">
        <v>-2</v>
      </c>
      <c r="EK105" s="444">
        <f t="shared" si="15"/>
        <v>2494</v>
      </c>
    </row>
    <row r="106" spans="63:141" ht="15" customHeight="1" x14ac:dyDescent="0.35">
      <c r="BK106" s="296"/>
      <c r="BL106" s="297"/>
      <c r="BM106" s="298"/>
      <c r="BN106" s="297"/>
      <c r="BO106" s="298"/>
      <c r="BZ106" s="414"/>
      <c r="CA106" s="401" t="str">
        <f>IFERROR(IF(BZ106="","",INDEX(bhpc_data[description],MATCH(BZ106,bhpc_data[sku],0))),"")</f>
        <v/>
      </c>
      <c r="CB106" s="403"/>
      <c r="CC106" s="886"/>
      <c r="CD106" s="415"/>
      <c r="CE106" s="891"/>
      <c r="CF106" s="404"/>
      <c r="CG106" s="405" t="str">
        <f>IFERROR(ROUNDUP(CB106/INDEX(bhpc_data[units_per_carton],MATCH(BZ106,bhpc_data[sku],0)),0),"")</f>
        <v/>
      </c>
      <c r="CH106" s="406" t="str">
        <f>IFERROR(ROUNDUP(CD106/INDEX(bhpc_data[units_per_carton],MATCH(BZ106,bhpc_data[sku],0)),0),"")</f>
        <v/>
      </c>
      <c r="CI106" s="406" t="str">
        <f>IFERROR(ROUNDUP(CF106/INDEX(bhpc_data[units_per_carton],MATCH(BZ106,bhpc_data[sku])),0),"")</f>
        <v/>
      </c>
      <c r="CJ106" s="406" t="str">
        <f>IFERROR(((CB106+CD106+CF106)/INDEX(bhpc_data[units_per_carton],MATCH(BZ106,bhpc_data[sku],0)))*INDEX(bhpc_data[net_weight],MATCH(BZ106,bhpc_data[sku],0)),"")</f>
        <v/>
      </c>
      <c r="CK106" s="406" t="str">
        <f>IFERROR(((CB106+CD106+CF106)/INDEX(bhpc_data[units_per_carton],MATCH(BZ106,bhpc_data[sku],0)))*INDEX(bhpc_data[gross_weight],MATCH(BZ106,bhpc_data[sku],0)),"")</f>
        <v/>
      </c>
      <c r="CL106" s="602" t="str">
        <f>IFERROR((CB106+CD106+CF106)/INDEX(bhpc_data[units_per_carton],MATCH(BZ106,bhpc_data[sku],0))*INDEX(bhpc_data[length],MATCH(BZ106,bhpc_data[sku],0))*INDEX(bhpc_data[width],MATCH(BZ106,bhpc_data[sku],0))*INDEX(bhpc_data[height],MATCH(BZ106,bhpc_data[sku],0))/1000000000,"")</f>
        <v/>
      </c>
      <c r="CM106" s="407" t="str">
        <f>IFERROR(INDEX(bhpc_data[category],MATCH(BZ106,bhpc_data[sku],0)),"")</f>
        <v/>
      </c>
      <c r="CN106" s="407" t="str">
        <f>IFERROR(INDEX(bhpc_data[size],MATCH(BZ106,bhpc_data[sku],0)),"")</f>
        <v/>
      </c>
      <c r="CO106" s="408" t="str">
        <f>IFERROR(INDEX(bhpc_data[hs_code],MATCH(BZ106,bhpc_data[sku],0)),"")</f>
        <v/>
      </c>
      <c r="CP106" s="489" t="str">
        <f>IFERROR(INDEX(bhpc_data[sku_geko],MATCH(BZ106,bhpc_data[sku],0)),"")</f>
        <v/>
      </c>
      <c r="CQ106" s="404"/>
      <c r="CR106" s="517" t="str">
        <f>IFERROR(IF(BZ106="","",IF($BX$15="SALE",INDEX(inventory[COSTO UNITARIO],MATCH(BZ106,inventory[SKU],0)),IF($BX$15="SAMPLING",INDEX(inventory[COSTO UNITARIO],MATCH(BZ106,inventory[SKU],0)),""))),"")</f>
        <v/>
      </c>
      <c r="CS106" s="517" t="str">
        <f t="shared" ref="CS106:CS110" si="16">IFERROR(IF(BZ106="","",(CB106+CD106)*CR106),"")</f>
        <v/>
      </c>
      <c r="CT106" s="896" t="str">
        <f t="shared" si="12"/>
        <v/>
      </c>
      <c r="CU106" s="469" t="str">
        <f t="shared" si="13"/>
        <v/>
      </c>
      <c r="DB106" s="280" t="str">
        <f>IFERROR(VLOOKUP(BZ106,bhpc_data[],22,FALSE),"")</f>
        <v/>
      </c>
      <c r="EE106" s="445" t="str" cm="1">
        <f t="array" ref="EE106">IFERROR(IF($EC$9="",IF($EC$11="",IF($EC$13="",INDEX(bhpc_data[sku],SMALL(MATCH(ROW(bhpc_data[sku]),ROW(bhpc_data[sku])),ROWS($A$15:A111)+$B$3)),INDEX(bhpc_data[sku],SMALL(IF(ISNUMBER(MATCH(bhpc_data[size],$EC$13,0)),MATCH(ROW(bhpc_data[sku]),ROW(bhpc_data[sku])),""),ROWS($A$15:A111)+$B$3))),IF($EC$13="",INDEX(bhpc_data[sku],SMALL(IF(ISNUMBER(MATCH(bhpc_data[sex],$EC$11,0)),MATCH(ROW(bhpc_data[sku]),ROW(bhpc_data[sku])),""),ROWS($A$15:A111)+$B$3)),INDEX(bhpc_data[sku],SMALL(IF(ISNUMBER(MATCH(bhpc_data[sex],$EC$11,0)*MATCH(bhpc_data[size],$EC$13,0)),MATCH(ROW(bhpc_data[sku]),ROW(bhpc_data[sku])),""),ROWS($A$15:A111)+$B$3)))),IF($EC$11="",IF($EC$13="",INDEX(bhpc_data[sku],SMALL(IF(ISNUMBER(MATCH(bhpc_data[category],$EC$9,0)),MATCH(ROW(bhpc_data[sku]),ROW(bhpc_data[sku])),""),ROWS($A$15:A111)+$B$3)),INDEX(bhpc_data[sku],SMALL(IF(ISNUMBER(MATCH(bhpc_data[category],$EC$9,0)*MATCH(bhpc_data[size],$EC$13,0)),MATCH(ROW(bhpc_data[sku]),ROW(bhpc_data[sku])),""),ROWS($A$15:A111)+$B$3))),IF($EC$13="",INDEX(bhpc_data[sku],SMALL(IF(ISNUMBER(MATCH(bhpc_data[category],$EC$9,0)*MATCH(bhpc_data[sex],$EC$11,0)),MATCH(ROW(bhpc_data[sku]),ROW(bhpc_data[sku])),""),ROWS($A$15:A111)+$B$3)),INDEX(bhpc_data[sku],SMALL(IF(ISNUMBER(MATCH(bhpc_data[category],$EC$9,0)*MATCH(bhpc_data[sex],$EC$11,0)*MATCH(bhpc_data[size],$EC$13,0)),MATCH(ROW(bhpc_data[sku]),ROW(bhpc_data[sku])),""),ROWS($A$15:A111)+$B$3))))),"")</f>
        <v>P06011</v>
      </c>
      <c r="EF106" s="446" t="str" cm="1">
        <f t="array" ref="EF106">IFERROR(IF($EC$9="",IF($EC$11="",IF($EC$13="",INDEX(bhpc_data[description],SMALL(MATCH(ROW(bhpc_data[sku]),ROW(bhpc_data[sku])),ROWS($A$15:A111)+$B$3)),INDEX(bhpc_data[description],SMALL(IF(ISNUMBER(MATCH(bhpc_data[size],$EC$13,0)),MATCH(ROW(bhpc_data[sku]),ROW(bhpc_data[sku])),""),ROWS($A$15:A111)+$B$3))),IF($EC$13="",INDEX(bhpc_data[description],SMALL(IF(ISNUMBER(MATCH(bhpc_data[sex],$EC$11,0)),MATCH(ROW(bhpc_data[sku]),ROW(bhpc_data[sku])),""),ROWS($A$15:A111)+$B$3)),INDEX(bhpc_data[description],SMALL(IF(ISNUMBER(MATCH(bhpc_data[sex],$EC$11,0)*MATCH(bhpc_data[size],$EC$13,0)),MATCH(ROW(bhpc_data[sku]),ROW(bhpc_data[sku])),""),ROWS($A$15:A111)+$B$3)))),IF($EC$11="",IF($EC$13="",INDEX(bhpc_data[description],SMALL(IF(ISNUMBER(MATCH(bhpc_data[category],$EC$9,0)),MATCH(ROW(bhpc_data[sku]),ROW(bhpc_data[sku])),""),ROWS($A$15:A111)+$B$3)),INDEX(bhpc_data[description],SMALL(IF(ISNUMBER(MATCH(bhpc_data[category],$EC$9,0)*MATCH(bhpc_data[size],$EC$13,0)),MATCH(ROW(bhpc_data[sku]),ROW(bhpc_data[sku])),""),ROWS($A$15:A111)+$B$3))),IF($EC$13="",INDEX(bhpc_data[description],SMALL(IF(ISNUMBER(MATCH(bhpc_data[category],$EC$9,0)*MATCH(bhpc_data[sex],$EC$11,0)),MATCH(ROW(bhpc_data[sku]),ROW(bhpc_data[sku])),""),ROWS($A$15:A111)+$B$3)),INDEX(bhpc_data[description],SMALL(IF(ISNUMBER(MATCH(bhpc_data[category],$EC$9,0)*MATCH(bhpc_data[sex],$EC$11,0)*MATCH(bhpc_data[size],$EC$13,0)),MATCH(ROW(bhpc_data[sku]),ROW(bhpc_data[sku])),""),ROWS($A$15:A111)+$B$3))))),"")</f>
        <v>BHPC PASSION BODY MIST 250ML</v>
      </c>
      <c r="EG106" s="447">
        <f>IFERROR(IF('BHPC MANAGER'!$EE106="","",INDEX(inventory[ESISTENZA],MATCH('BHPC MANAGER'!$EE106,inventory[SKU],0))),0)</f>
        <v>2496</v>
      </c>
      <c r="EH106" s="448">
        <v>0</v>
      </c>
      <c r="EI106" s="448">
        <f t="shared" si="14"/>
        <v>2496</v>
      </c>
      <c r="EJ106" s="449">
        <v>-2</v>
      </c>
      <c r="EK106" s="450">
        <f t="shared" si="15"/>
        <v>2494</v>
      </c>
    </row>
    <row r="107" spans="63:141" ht="15" customHeight="1" x14ac:dyDescent="0.35">
      <c r="BK107" s="296"/>
      <c r="BL107" s="297"/>
      <c r="BM107" s="298"/>
      <c r="BN107" s="297"/>
      <c r="BO107" s="298"/>
      <c r="BZ107" s="414"/>
      <c r="CA107" s="401" t="str">
        <f>IFERROR(IF(BZ107="","",INDEX(bhpc_data[description],MATCH(BZ107,bhpc_data[sku],0))),"")</f>
        <v/>
      </c>
      <c r="CB107" s="403"/>
      <c r="CC107" s="886"/>
      <c r="CD107" s="416"/>
      <c r="CE107" s="893"/>
      <c r="CF107" s="404"/>
      <c r="CG107" s="405" t="str">
        <f>IFERROR(ROUNDUP(CB107/INDEX(bhpc_data[units_per_carton],MATCH(BZ107,bhpc_data[sku],0)),0),"")</f>
        <v/>
      </c>
      <c r="CH107" s="406" t="str">
        <f>IFERROR(ROUNDUP(CD107/INDEX(bhpc_data[units_per_carton],MATCH(BZ107,bhpc_data[sku],0)),0),"")</f>
        <v/>
      </c>
      <c r="CI107" s="406" t="str">
        <f>IFERROR(ROUNDUP(CF107/INDEX(bhpc_data[units_per_carton],MATCH(BZ107,bhpc_data[sku])),0),"")</f>
        <v/>
      </c>
      <c r="CJ107" s="406" t="str">
        <f>IFERROR(((CB107+CD107+CF107)/INDEX(bhpc_data[units_per_carton],MATCH(BZ107,bhpc_data[sku],0)))*INDEX(bhpc_data[net_weight],MATCH(BZ107,bhpc_data[sku],0)),"")</f>
        <v/>
      </c>
      <c r="CK107" s="406" t="str">
        <f>IFERROR(((CB107+CD107+CF107)/INDEX(bhpc_data[units_per_carton],MATCH(BZ107,bhpc_data[sku],0)))*INDEX(bhpc_data[gross_weight],MATCH(BZ107,bhpc_data[sku],0)),"")</f>
        <v/>
      </c>
      <c r="CL107" s="602" t="str">
        <f>IFERROR((CB107+CD107+CF107)/INDEX(bhpc_data[units_per_carton],MATCH(BZ107,bhpc_data[sku],0))*INDEX(bhpc_data[length],MATCH(BZ107,bhpc_data[sku],0))*INDEX(bhpc_data[width],MATCH(BZ107,bhpc_data[sku],0))*INDEX(bhpc_data[height],MATCH(BZ107,bhpc_data[sku],0))/1000000000,"")</f>
        <v/>
      </c>
      <c r="CM107" s="407" t="str">
        <f>IFERROR(INDEX(bhpc_data[category],MATCH(BZ107,bhpc_data[sku],0)),"")</f>
        <v/>
      </c>
      <c r="CN107" s="407" t="str">
        <f>IFERROR(INDEX(bhpc_data[size],MATCH(BZ107,bhpc_data[sku],0)),"")</f>
        <v/>
      </c>
      <c r="CO107" s="408" t="str">
        <f>IFERROR(INDEX(bhpc_data[hs_code],MATCH(BZ107,bhpc_data[sku],0)),"")</f>
        <v/>
      </c>
      <c r="CP107" s="489" t="str">
        <f>IFERROR(INDEX(bhpc_data[sku_geko],MATCH(BZ107,bhpc_data[sku],0)),"")</f>
        <v/>
      </c>
      <c r="CQ107" s="404"/>
      <c r="CR107" s="518" t="str">
        <f>IFERROR(IF(BZ107="","",IF($BX$15="SALE",INDEX(inventory[COSTO UNITARIO],MATCH(BZ107,inventory[SKU],0)),IF($BX$15="SAMPLING",INDEX(inventory[COSTO UNITARIO],MATCH(BZ107,inventory[SKU],0)),""))),"")</f>
        <v/>
      </c>
      <c r="CS107" s="517" t="str">
        <f t="shared" si="16"/>
        <v/>
      </c>
      <c r="CT107" s="896" t="str">
        <f t="shared" si="12"/>
        <v/>
      </c>
      <c r="CU107" s="469" t="str">
        <f t="shared" si="13"/>
        <v/>
      </c>
      <c r="DB107" s="280" t="str">
        <f>IFERROR(VLOOKUP(BZ107,bhpc_data[],22,FALSE),"")</f>
        <v/>
      </c>
      <c r="EE107" s="439" t="str" cm="1">
        <f t="array" ref="EE107">IFERROR(IF($EC$9="",IF($EC$11="",IF($EC$13="",INDEX(bhpc_data[sku],SMALL(MATCH(ROW(bhpc_data[sku]),ROW(bhpc_data[sku])),ROWS($A$15:A112)+$B$3)),INDEX(bhpc_data[sku],SMALL(IF(ISNUMBER(MATCH(bhpc_data[size],$EC$13,0)),MATCH(ROW(bhpc_data[sku]),ROW(bhpc_data[sku])),""),ROWS($A$15:A112)+$B$3))),IF($EC$13="",INDEX(bhpc_data[sku],SMALL(IF(ISNUMBER(MATCH(bhpc_data[sex],$EC$11,0)),MATCH(ROW(bhpc_data[sku]),ROW(bhpc_data[sku])),""),ROWS($A$15:A112)+$B$3)),INDEX(bhpc_data[sku],SMALL(IF(ISNUMBER(MATCH(bhpc_data[sex],$EC$11,0)*MATCH(bhpc_data[size],$EC$13,0)),MATCH(ROW(bhpc_data[sku]),ROW(bhpc_data[sku])),""),ROWS($A$15:A112)+$B$3)))),IF($EC$11="",IF($EC$13="",INDEX(bhpc_data[sku],SMALL(IF(ISNUMBER(MATCH(bhpc_data[category],$EC$9,0)),MATCH(ROW(bhpc_data[sku]),ROW(bhpc_data[sku])),""),ROWS($A$15:A112)+$B$3)),INDEX(bhpc_data[sku],SMALL(IF(ISNUMBER(MATCH(bhpc_data[category],$EC$9,0)*MATCH(bhpc_data[size],$EC$13,0)),MATCH(ROW(bhpc_data[sku]),ROW(bhpc_data[sku])),""),ROWS($A$15:A112)+$B$3))),IF($EC$13="",INDEX(bhpc_data[sku],SMALL(IF(ISNUMBER(MATCH(bhpc_data[category],$EC$9,0)*MATCH(bhpc_data[sex],$EC$11,0)),MATCH(ROW(bhpc_data[sku]),ROW(bhpc_data[sku])),""),ROWS($A$15:A112)+$B$3)),INDEX(bhpc_data[sku],SMALL(IF(ISNUMBER(MATCH(bhpc_data[category],$EC$9,0)*MATCH(bhpc_data[sex],$EC$11,0)*MATCH(bhpc_data[size],$EC$13,0)),MATCH(ROW(bhpc_data[sku]),ROW(bhpc_data[sku])),""),ROWS($A$15:A112)+$B$3))))),"")</f>
        <v>P06012</v>
      </c>
      <c r="EF107" s="440" t="str" cm="1">
        <f t="array" ref="EF107">IFERROR(IF($EC$9="",IF($EC$11="",IF($EC$13="",INDEX(bhpc_data[description],SMALL(MATCH(ROW(bhpc_data[sku]),ROW(bhpc_data[sku])),ROWS($A$15:A112)+$B$3)),INDEX(bhpc_data[description],SMALL(IF(ISNUMBER(MATCH(bhpc_data[size],$EC$13,0)),MATCH(ROW(bhpc_data[sku]),ROW(bhpc_data[sku])),""),ROWS($A$15:A112)+$B$3))),IF($EC$13="",INDEX(bhpc_data[description],SMALL(IF(ISNUMBER(MATCH(bhpc_data[sex],$EC$11,0)),MATCH(ROW(bhpc_data[sku]),ROW(bhpc_data[sku])),""),ROWS($A$15:A112)+$B$3)),INDEX(bhpc_data[description],SMALL(IF(ISNUMBER(MATCH(bhpc_data[sex],$EC$11,0)*MATCH(bhpc_data[size],$EC$13,0)),MATCH(ROW(bhpc_data[sku]),ROW(bhpc_data[sku])),""),ROWS($A$15:A112)+$B$3)))),IF($EC$11="",IF($EC$13="",INDEX(bhpc_data[description],SMALL(IF(ISNUMBER(MATCH(bhpc_data[category],$EC$9,0)),MATCH(ROW(bhpc_data[sku]),ROW(bhpc_data[sku])),""),ROWS($A$15:A112)+$B$3)),INDEX(bhpc_data[description],SMALL(IF(ISNUMBER(MATCH(bhpc_data[category],$EC$9,0)*MATCH(bhpc_data[size],$EC$13,0)),MATCH(ROW(bhpc_data[sku]),ROW(bhpc_data[sku])),""),ROWS($A$15:A112)+$B$3))),IF($EC$13="",INDEX(bhpc_data[description],SMALL(IF(ISNUMBER(MATCH(bhpc_data[category],$EC$9,0)*MATCH(bhpc_data[sex],$EC$11,0)),MATCH(ROW(bhpc_data[sku]),ROW(bhpc_data[sku])),""),ROWS($A$15:A112)+$B$3)),INDEX(bhpc_data[description],SMALL(IF(ISNUMBER(MATCH(bhpc_data[category],$EC$9,0)*MATCH(bhpc_data[sex],$EC$11,0)*MATCH(bhpc_data[size],$EC$13,0)),MATCH(ROW(bhpc_data[sku]),ROW(bhpc_data[sku])),""),ROWS($A$15:A112)+$B$3))))),"")</f>
        <v>BHPC TROPHY DEO 300ML</v>
      </c>
      <c r="EG107" s="441">
        <f>IFERROR(IF('BHPC MANAGER'!$EE107="","",INDEX(inventory[ESISTENZA],MATCH('BHPC MANAGER'!$EE107,inventory[SKU],0))),0)</f>
        <v>2016</v>
      </c>
      <c r="EH107" s="442">
        <v>-1971</v>
      </c>
      <c r="EI107" s="442">
        <f t="shared" si="14"/>
        <v>45</v>
      </c>
      <c r="EJ107" s="443">
        <v>0</v>
      </c>
      <c r="EK107" s="444">
        <f t="shared" si="15"/>
        <v>45</v>
      </c>
    </row>
    <row r="108" spans="63:141" ht="15" customHeight="1" x14ac:dyDescent="0.35">
      <c r="BK108" s="296"/>
      <c r="BL108" s="297"/>
      <c r="BM108" s="298"/>
      <c r="BN108" s="297"/>
      <c r="BO108" s="298"/>
      <c r="BZ108" s="414"/>
      <c r="CA108" s="401" t="str">
        <f>IFERROR(IF(BZ108="","",INDEX(bhpc_data[description],MATCH(BZ108,bhpc_data[sku],0))),"")</f>
        <v/>
      </c>
      <c r="CB108" s="403"/>
      <c r="CC108" s="886"/>
      <c r="CD108" s="416"/>
      <c r="CE108" s="893"/>
      <c r="CF108" s="404"/>
      <c r="CG108" s="405" t="str">
        <f>IFERROR(ROUNDUP(CB108/INDEX(bhpc_data[units_per_carton],MATCH(BZ108,bhpc_data[sku],0)),0),"")</f>
        <v/>
      </c>
      <c r="CH108" s="406" t="str">
        <f>IFERROR(ROUNDUP(CD108/INDEX(bhpc_data[units_per_carton],MATCH(BZ108,bhpc_data[sku],0)),0),"")</f>
        <v/>
      </c>
      <c r="CI108" s="406" t="str">
        <f>IFERROR(ROUNDUP(CF108/INDEX(bhpc_data[units_per_carton],MATCH(BZ108,bhpc_data[sku])),0),"")</f>
        <v/>
      </c>
      <c r="CJ108" s="406" t="str">
        <f>IFERROR(((CB108+CD108+CF108)/INDEX(bhpc_data[units_per_carton],MATCH(BZ108,bhpc_data[sku],0)))*INDEX(bhpc_data[net_weight],MATCH(BZ108,bhpc_data[sku],0)),"")</f>
        <v/>
      </c>
      <c r="CK108" s="406" t="str">
        <f>IFERROR(((CB108+CD108+CF108)/INDEX(bhpc_data[units_per_carton],MATCH(BZ108,bhpc_data[sku],0)))*INDEX(bhpc_data[gross_weight],MATCH(BZ108,bhpc_data[sku],0)),"")</f>
        <v/>
      </c>
      <c r="CL108" s="602" t="str">
        <f>IFERROR((CB108+CD108+CF108)/INDEX(bhpc_data[units_per_carton],MATCH(BZ108,bhpc_data[sku],0))*INDEX(bhpc_data[length],MATCH(BZ108,bhpc_data[sku],0))*INDEX(bhpc_data[width],MATCH(BZ108,bhpc_data[sku],0))*INDEX(bhpc_data[height],MATCH(BZ108,bhpc_data[sku],0))/1000000000,"")</f>
        <v/>
      </c>
      <c r="CM108" s="407" t="str">
        <f>IFERROR(INDEX(bhpc_data[category],MATCH(BZ108,bhpc_data[sku],0)),"")</f>
        <v/>
      </c>
      <c r="CN108" s="407" t="str">
        <f>IFERROR(INDEX(bhpc_data[size],MATCH(BZ108,bhpc_data[sku],0)),"")</f>
        <v/>
      </c>
      <c r="CO108" s="408" t="str">
        <f>IFERROR(INDEX(bhpc_data[hs_code],MATCH(BZ108,bhpc_data[sku],0)),"")</f>
        <v/>
      </c>
      <c r="CP108" s="489" t="str">
        <f>IFERROR(INDEX(bhpc_data[sku_geko],MATCH(BZ108,bhpc_data[sku],0)),"")</f>
        <v/>
      </c>
      <c r="CQ108" s="404"/>
      <c r="CR108" s="518" t="str">
        <f>IFERROR(IF(BZ108="","",IF($BX$15="SALE",INDEX(inventory[COSTO UNITARIO],MATCH(BZ108,inventory[SKU],0)),IF($BX$15="SAMPLING",INDEX(inventory[COSTO UNITARIO],MATCH(BZ108,inventory[SKU],0)),""))),"")</f>
        <v/>
      </c>
      <c r="CS108" s="517" t="str">
        <f t="shared" si="16"/>
        <v/>
      </c>
      <c r="CT108" s="896" t="str">
        <f t="shared" si="12"/>
        <v/>
      </c>
      <c r="CU108" s="469" t="str">
        <f t="shared" si="13"/>
        <v/>
      </c>
      <c r="DB108" s="280" t="str">
        <f>IFERROR(VLOOKUP(BZ108,bhpc_data[],22,FALSE),"")</f>
        <v/>
      </c>
      <c r="EE108" s="445" t="str" cm="1">
        <f t="array" ref="EE108">IFERROR(IF($EC$9="",IF($EC$11="",IF($EC$13="",INDEX(bhpc_data[sku],SMALL(MATCH(ROW(bhpc_data[sku]),ROW(bhpc_data[sku])),ROWS($A$15:A113)+$B$3)),INDEX(bhpc_data[sku],SMALL(IF(ISNUMBER(MATCH(bhpc_data[size],$EC$13,0)),MATCH(ROW(bhpc_data[sku]),ROW(bhpc_data[sku])),""),ROWS($A$15:A113)+$B$3))),IF($EC$13="",INDEX(bhpc_data[sku],SMALL(IF(ISNUMBER(MATCH(bhpc_data[sex],$EC$11,0)),MATCH(ROW(bhpc_data[sku]),ROW(bhpc_data[sku])),""),ROWS($A$15:A113)+$B$3)),INDEX(bhpc_data[sku],SMALL(IF(ISNUMBER(MATCH(bhpc_data[sex],$EC$11,0)*MATCH(bhpc_data[size],$EC$13,0)),MATCH(ROW(bhpc_data[sku]),ROW(bhpc_data[sku])),""),ROWS($A$15:A113)+$B$3)))),IF($EC$11="",IF($EC$13="",INDEX(bhpc_data[sku],SMALL(IF(ISNUMBER(MATCH(bhpc_data[category],$EC$9,0)),MATCH(ROW(bhpc_data[sku]),ROW(bhpc_data[sku])),""),ROWS($A$15:A113)+$B$3)),INDEX(bhpc_data[sku],SMALL(IF(ISNUMBER(MATCH(bhpc_data[category],$EC$9,0)*MATCH(bhpc_data[size],$EC$13,0)),MATCH(ROW(bhpc_data[sku]),ROW(bhpc_data[sku])),""),ROWS($A$15:A113)+$B$3))),IF($EC$13="",INDEX(bhpc_data[sku],SMALL(IF(ISNUMBER(MATCH(bhpc_data[category],$EC$9,0)*MATCH(bhpc_data[sex],$EC$11,0)),MATCH(ROW(bhpc_data[sku]),ROW(bhpc_data[sku])),""),ROWS($A$15:A113)+$B$3)),INDEX(bhpc_data[sku],SMALL(IF(ISNUMBER(MATCH(bhpc_data[category],$EC$9,0)*MATCH(bhpc_data[sex],$EC$11,0)*MATCH(bhpc_data[size],$EC$13,0)),MATCH(ROW(bhpc_data[sku]),ROW(bhpc_data[sku])),""),ROWS($A$15:A113)+$B$3))))),"")</f>
        <v>P06013</v>
      </c>
      <c r="EF108" s="446" t="str" cm="1">
        <f t="array" ref="EF108">IFERROR(IF($EC$9="",IF($EC$11="",IF($EC$13="",INDEX(bhpc_data[description],SMALL(MATCH(ROW(bhpc_data[sku]),ROW(bhpc_data[sku])),ROWS($A$15:A113)+$B$3)),INDEX(bhpc_data[description],SMALL(IF(ISNUMBER(MATCH(bhpc_data[size],$EC$13,0)),MATCH(ROW(bhpc_data[sku]),ROW(bhpc_data[sku])),""),ROWS($A$15:A113)+$B$3))),IF($EC$13="",INDEX(bhpc_data[description],SMALL(IF(ISNUMBER(MATCH(bhpc_data[sex],$EC$11,0)),MATCH(ROW(bhpc_data[sku]),ROW(bhpc_data[sku])),""),ROWS($A$15:A113)+$B$3)),INDEX(bhpc_data[description],SMALL(IF(ISNUMBER(MATCH(bhpc_data[sex],$EC$11,0)*MATCH(bhpc_data[size],$EC$13,0)),MATCH(ROW(bhpc_data[sku]),ROW(bhpc_data[sku])),""),ROWS($A$15:A113)+$B$3)))),IF($EC$11="",IF($EC$13="",INDEX(bhpc_data[description],SMALL(IF(ISNUMBER(MATCH(bhpc_data[category],$EC$9,0)),MATCH(ROW(bhpc_data[sku]),ROW(bhpc_data[sku])),""),ROWS($A$15:A113)+$B$3)),INDEX(bhpc_data[description],SMALL(IF(ISNUMBER(MATCH(bhpc_data[category],$EC$9,0)*MATCH(bhpc_data[size],$EC$13,0)),MATCH(ROW(bhpc_data[sku]),ROW(bhpc_data[sku])),""),ROWS($A$15:A113)+$B$3))),IF($EC$13="",INDEX(bhpc_data[description],SMALL(IF(ISNUMBER(MATCH(bhpc_data[category],$EC$9,0)*MATCH(bhpc_data[sex],$EC$11,0)),MATCH(ROW(bhpc_data[sku]),ROW(bhpc_data[sku])),""),ROWS($A$15:A113)+$B$3)),INDEX(bhpc_data[description],SMALL(IF(ISNUMBER(MATCH(bhpc_data[category],$EC$9,0)*MATCH(bhpc_data[sex],$EC$11,0)*MATCH(bhpc_data[size],$EC$13,0)),MATCH(ROW(bhpc_data[sku]),ROW(bhpc_data[sku])),""),ROWS($A$15:A113)+$B$3))))),"")</f>
        <v>BHPC HERITAGE OUD DEO 300ML</v>
      </c>
      <c r="EG108" s="447">
        <f>IFERROR(IF('BHPC MANAGER'!$EE108="","",INDEX(inventory[ESISTENZA],MATCH('BHPC MANAGER'!$EE108,inventory[SKU],0))),0)</f>
        <v>5016</v>
      </c>
      <c r="EH108" s="448">
        <v>0</v>
      </c>
      <c r="EI108" s="448">
        <f t="shared" si="14"/>
        <v>5016</v>
      </c>
      <c r="EJ108" s="449">
        <v>0</v>
      </c>
      <c r="EK108" s="450">
        <f t="shared" si="15"/>
        <v>5016</v>
      </c>
    </row>
    <row r="109" spans="63:141" ht="15" customHeight="1" x14ac:dyDescent="0.35">
      <c r="BK109" s="296"/>
      <c r="BL109" s="297"/>
      <c r="BM109" s="298"/>
      <c r="BN109" s="297"/>
      <c r="BO109" s="298"/>
      <c r="BZ109" s="414"/>
      <c r="CA109" s="401" t="str">
        <f>IFERROR(IF(BZ109="","",INDEX(bhpc_data[description],MATCH(BZ109,bhpc_data[sku],0))),"")</f>
        <v/>
      </c>
      <c r="CB109" s="403"/>
      <c r="CC109" s="886"/>
      <c r="CD109" s="416"/>
      <c r="CE109" s="893"/>
      <c r="CF109" s="404"/>
      <c r="CG109" s="405" t="str">
        <f>IFERROR(ROUNDUP(CB109/INDEX(bhpc_data[units_per_carton],MATCH(BZ109,bhpc_data[sku],0)),0),"")</f>
        <v/>
      </c>
      <c r="CH109" s="406" t="str">
        <f>IFERROR(ROUNDUP(CD109/INDEX(bhpc_data[units_per_carton],MATCH(BZ109,bhpc_data[sku],0)),0),"")</f>
        <v/>
      </c>
      <c r="CI109" s="406" t="str">
        <f>IFERROR(ROUNDUP(CF109/INDEX(bhpc_data[units_per_carton],MATCH(BZ109,bhpc_data[sku])),0),"")</f>
        <v/>
      </c>
      <c r="CJ109" s="406" t="str">
        <f>IFERROR(((CB109+CD109+CF109)/INDEX(bhpc_data[units_per_carton],MATCH(BZ109,bhpc_data[sku],0)))*INDEX(bhpc_data[net_weight],MATCH(BZ109,bhpc_data[sku],0)),"")</f>
        <v/>
      </c>
      <c r="CK109" s="406" t="str">
        <f>IFERROR(((CB109+CD109+CF109)/INDEX(bhpc_data[units_per_carton],MATCH(BZ109,bhpc_data[sku],0)))*INDEX(bhpc_data[gross_weight],MATCH(BZ109,bhpc_data[sku],0)),"")</f>
        <v/>
      </c>
      <c r="CL109" s="602" t="str">
        <f>IFERROR((CB109+CD109+CF109)/INDEX(bhpc_data[units_per_carton],MATCH(BZ109,bhpc_data[sku],0))*INDEX(bhpc_data[length],MATCH(BZ109,bhpc_data[sku],0))*INDEX(bhpc_data[width],MATCH(BZ109,bhpc_data[sku],0))*INDEX(bhpc_data[height],MATCH(BZ109,bhpc_data[sku],0))/1000000000,"")</f>
        <v/>
      </c>
      <c r="CM109" s="407" t="str">
        <f>IFERROR(INDEX(bhpc_data[category],MATCH(BZ109,bhpc_data[sku],0)),"")</f>
        <v/>
      </c>
      <c r="CN109" s="407" t="str">
        <f>IFERROR(INDEX(bhpc_data[size],MATCH(BZ109,bhpc_data[sku],0)),"")</f>
        <v/>
      </c>
      <c r="CO109" s="408" t="str">
        <f>IFERROR(INDEX(bhpc_data[hs_code],MATCH(BZ109,bhpc_data[sku],0)),"")</f>
        <v/>
      </c>
      <c r="CP109" s="489" t="str">
        <f>IFERROR(INDEX(bhpc_data[sku_geko],MATCH(BZ109,bhpc_data[sku],0)),"")</f>
        <v/>
      </c>
      <c r="CQ109" s="404"/>
      <c r="CR109" s="518" t="str">
        <f>IFERROR(IF(BZ109="","",IF($BX$15="SALE",INDEX(inventory[COSTO UNITARIO],MATCH(BZ109,inventory[SKU],0)),IF($BX$15="SAMPLING",INDEX(inventory[COSTO UNITARIO],MATCH(BZ109,inventory[SKU],0)),""))),"")</f>
        <v/>
      </c>
      <c r="CS109" s="517" t="str">
        <f t="shared" si="16"/>
        <v/>
      </c>
      <c r="CT109" s="896" t="str">
        <f t="shared" si="12"/>
        <v/>
      </c>
      <c r="CU109" s="469" t="str">
        <f t="shared" si="13"/>
        <v/>
      </c>
      <c r="DB109" s="280" t="str">
        <f>IFERROR(VLOOKUP(BZ109,bhpc_data[],22,FALSE),"")</f>
        <v/>
      </c>
      <c r="EE109" s="439" t="str" cm="1">
        <f t="array" ref="EE109">IFERROR(IF($EC$9="",IF($EC$11="",IF($EC$13="",INDEX(bhpc_data[sku],SMALL(MATCH(ROW(bhpc_data[sku]),ROW(bhpc_data[sku])),ROWS($A$15:A114)+$B$3)),INDEX(bhpc_data[sku],SMALL(IF(ISNUMBER(MATCH(bhpc_data[size],$EC$13,0)),MATCH(ROW(bhpc_data[sku]),ROW(bhpc_data[sku])),""),ROWS($A$15:A114)+$B$3))),IF($EC$13="",INDEX(bhpc_data[sku],SMALL(IF(ISNUMBER(MATCH(bhpc_data[sex],$EC$11,0)),MATCH(ROW(bhpc_data[sku]),ROW(bhpc_data[sku])),""),ROWS($A$15:A114)+$B$3)),INDEX(bhpc_data[sku],SMALL(IF(ISNUMBER(MATCH(bhpc_data[sex],$EC$11,0)*MATCH(bhpc_data[size],$EC$13,0)),MATCH(ROW(bhpc_data[sku]),ROW(bhpc_data[sku])),""),ROWS($A$15:A114)+$B$3)))),IF($EC$11="",IF($EC$13="",INDEX(bhpc_data[sku],SMALL(IF(ISNUMBER(MATCH(bhpc_data[category],$EC$9,0)),MATCH(ROW(bhpc_data[sku]),ROW(bhpc_data[sku])),""),ROWS($A$15:A114)+$B$3)),INDEX(bhpc_data[sku],SMALL(IF(ISNUMBER(MATCH(bhpc_data[category],$EC$9,0)*MATCH(bhpc_data[size],$EC$13,0)),MATCH(ROW(bhpc_data[sku]),ROW(bhpc_data[sku])),""),ROWS($A$15:A114)+$B$3))),IF($EC$13="",INDEX(bhpc_data[sku],SMALL(IF(ISNUMBER(MATCH(bhpc_data[category],$EC$9,0)*MATCH(bhpc_data[sex],$EC$11,0)),MATCH(ROW(bhpc_data[sku]),ROW(bhpc_data[sku])),""),ROWS($A$15:A114)+$B$3)),INDEX(bhpc_data[sku],SMALL(IF(ISNUMBER(MATCH(bhpc_data[category],$EC$9,0)*MATCH(bhpc_data[sex],$EC$11,0)*MATCH(bhpc_data[size],$EC$13,0)),MATCH(ROW(bhpc_data[sku]),ROW(bhpc_data[sku])),""),ROWS($A$15:A114)+$B$3))))),"")</f>
        <v>P06014</v>
      </c>
      <c r="EF109" s="440" t="str" cm="1">
        <f t="array" ref="EF109">IFERROR(IF($EC$9="",IF($EC$11="",IF($EC$13="",INDEX(bhpc_data[description],SMALL(MATCH(ROW(bhpc_data[sku]),ROW(bhpc_data[sku])),ROWS($A$15:A114)+$B$3)),INDEX(bhpc_data[description],SMALL(IF(ISNUMBER(MATCH(bhpc_data[size],$EC$13,0)),MATCH(ROW(bhpc_data[sku]),ROW(bhpc_data[sku])),""),ROWS($A$15:A114)+$B$3))),IF($EC$13="",INDEX(bhpc_data[description],SMALL(IF(ISNUMBER(MATCH(bhpc_data[sex],$EC$11,0)),MATCH(ROW(bhpc_data[sku]),ROW(bhpc_data[sku])),""),ROWS($A$15:A114)+$B$3)),INDEX(bhpc_data[description],SMALL(IF(ISNUMBER(MATCH(bhpc_data[sex],$EC$11,0)*MATCH(bhpc_data[size],$EC$13,0)),MATCH(ROW(bhpc_data[sku]),ROW(bhpc_data[sku])),""),ROWS($A$15:A114)+$B$3)))),IF($EC$11="",IF($EC$13="",INDEX(bhpc_data[description],SMALL(IF(ISNUMBER(MATCH(bhpc_data[category],$EC$9,0)),MATCH(ROW(bhpc_data[sku]),ROW(bhpc_data[sku])),""),ROWS($A$15:A114)+$B$3)),INDEX(bhpc_data[description],SMALL(IF(ISNUMBER(MATCH(bhpc_data[category],$EC$9,0)*MATCH(bhpc_data[size],$EC$13,0)),MATCH(ROW(bhpc_data[sku]),ROW(bhpc_data[sku])),""),ROWS($A$15:A114)+$B$3))),IF($EC$13="",INDEX(bhpc_data[description],SMALL(IF(ISNUMBER(MATCH(bhpc_data[category],$EC$9,0)*MATCH(bhpc_data[sex],$EC$11,0)),MATCH(ROW(bhpc_data[sku]),ROW(bhpc_data[sku])),""),ROWS($A$15:A114)+$B$3)),INDEX(bhpc_data[description],SMALL(IF(ISNUMBER(MATCH(bhpc_data[category],$EC$9,0)*MATCH(bhpc_data[sex],$EC$11,0)*MATCH(bhpc_data[size],$EC$13,0)),MATCH(ROW(bhpc_data[sku]),ROW(bhpc_data[sku])),""),ROWS($A$15:A114)+$B$3))))),"")</f>
        <v>BHPC TOUR DEO 300ML</v>
      </c>
      <c r="EG109" s="441">
        <f>IFERROR(IF('BHPC MANAGER'!$EE109="","",INDEX(inventory[ESISTENZA],MATCH('BHPC MANAGER'!$EE109,inventory[SKU],0))),0)</f>
        <v>5016</v>
      </c>
      <c r="EH109" s="442">
        <v>0</v>
      </c>
      <c r="EI109" s="442">
        <f t="shared" si="14"/>
        <v>5016</v>
      </c>
      <c r="EJ109" s="443">
        <v>0</v>
      </c>
      <c r="EK109" s="444">
        <f t="shared" si="15"/>
        <v>5016</v>
      </c>
    </row>
    <row r="110" spans="63:141" ht="15" customHeight="1" thickBot="1" x14ac:dyDescent="0.4">
      <c r="BK110" s="296"/>
      <c r="BL110" s="297"/>
      <c r="BM110" s="298"/>
      <c r="BN110" s="297"/>
      <c r="BO110" s="298"/>
      <c r="BZ110" s="417"/>
      <c r="CA110" s="418" t="str">
        <f>IFERROR(IF(BZ110="","",INDEX(bhpc_data[description],MATCH(BZ110,bhpc_data[sku],0))),"")</f>
        <v/>
      </c>
      <c r="CB110" s="419"/>
      <c r="CC110" s="889"/>
      <c r="CD110" s="420"/>
      <c r="CE110" s="894"/>
      <c r="CF110" s="545"/>
      <c r="CG110" s="421" t="str">
        <f>IFERROR(ROUNDUP(CB110/INDEX(bhpc_data[units_per_carton],MATCH(BZ110,bhpc_data[sku],0)),0),"")</f>
        <v/>
      </c>
      <c r="CH110" s="422" t="str">
        <f>IFERROR(ROUNDUP(CD110/INDEX(bhpc_data[units_per_carton],MATCH(BZ110,bhpc_data[sku],0)),0),"")</f>
        <v/>
      </c>
      <c r="CI110" s="422" t="str">
        <f>IFERROR(ROUNDUP(CF110/INDEX(bhpc_data[units_per_carton],MATCH(BZ110,bhpc_data[sku])),0),"")</f>
        <v/>
      </c>
      <c r="CJ110" s="423" t="str">
        <f>IFERROR(((CB110+CD110+CF110)/INDEX(bhpc_data[units_per_carton],MATCH(BZ110,bhpc_data[sku],0)))*INDEX(bhpc_data[net_weight],MATCH(BZ110,bhpc_data[sku],0)),"")</f>
        <v/>
      </c>
      <c r="CK110" s="423" t="str">
        <f>IFERROR(((CB110+CD110+CF110)/INDEX(bhpc_data[units_per_carton],MATCH(BZ110,bhpc_data[sku],0)))*INDEX(bhpc_data[gross_weight],MATCH(BZ110,bhpc_data[sku],0)),"")</f>
        <v/>
      </c>
      <c r="CL110" s="604" t="str">
        <f>IFERROR((CB110+CD110+CF110)/INDEX(bhpc_data[units_per_carton],MATCH(BZ110,bhpc_data[sku],0))*INDEX(bhpc_data[length],MATCH(BZ110,bhpc_data[sku],0))*INDEX(bhpc_data[width],MATCH(BZ110,bhpc_data[sku],0))*INDEX(bhpc_data[height],MATCH(BZ110,bhpc_data[sku],0))/1000000000,"")</f>
        <v/>
      </c>
      <c r="CM110" s="424" t="str">
        <f>IFERROR(INDEX(bhpc_data[category],MATCH(BZ110,bhpc_data[sku],0)),"")</f>
        <v/>
      </c>
      <c r="CN110" s="424" t="str">
        <f>IFERROR(INDEX(bhpc_data[size],MATCH(BZ110,bhpc_data[sku],0)),"")</f>
        <v/>
      </c>
      <c r="CO110" s="425" t="str">
        <f>IFERROR(INDEX(bhpc_data[hs_code],MATCH(BZ110,bhpc_data[sku],0)),"")</f>
        <v/>
      </c>
      <c r="CP110" s="490" t="str">
        <f>IFERROR(INDEX(bhpc_data[sku_geko],MATCH(BZ110,bhpc_data[sku],0)),"")</f>
        <v/>
      </c>
      <c r="CQ110" s="545"/>
      <c r="CR110" s="519" t="str">
        <f>IFERROR(IF(BZ110="","",IF($BX$15="SALE",INDEX(inventory[COSTO UNITARIO],MATCH(BZ110,inventory[SKU],0)),IF($BX$15="SAMPLING",INDEX(inventory[COSTO UNITARIO],MATCH(BZ110,inventory[SKU],0)),""))),"")</f>
        <v/>
      </c>
      <c r="CS110" s="520" t="str">
        <f t="shared" si="16"/>
        <v/>
      </c>
      <c r="CT110" s="897" t="str">
        <f t="shared" si="12"/>
        <v/>
      </c>
      <c r="CU110" s="470" t="str">
        <f t="shared" si="13"/>
        <v/>
      </c>
      <c r="DB110" s="280" t="str">
        <f>IFERROR(VLOOKUP(BZ110,bhpc_data[],22,FALSE),"")</f>
        <v/>
      </c>
      <c r="EE110" s="445" t="str" cm="1">
        <f t="array" ref="EE110">IFERROR(IF($EC$9="",IF($EC$11="",IF($EC$13="",INDEX(bhpc_data[sku],SMALL(MATCH(ROW(bhpc_data[sku]),ROW(bhpc_data[sku])),ROWS($A$15:A115)+$B$3)),INDEX(bhpc_data[sku],SMALL(IF(ISNUMBER(MATCH(bhpc_data[size],$EC$13,0)),MATCH(ROW(bhpc_data[sku]),ROW(bhpc_data[sku])),""),ROWS($A$15:A115)+$B$3))),IF($EC$13="",INDEX(bhpc_data[sku],SMALL(IF(ISNUMBER(MATCH(bhpc_data[sex],$EC$11,0)),MATCH(ROW(bhpc_data[sku]),ROW(bhpc_data[sku])),""),ROWS($A$15:A115)+$B$3)),INDEX(bhpc_data[sku],SMALL(IF(ISNUMBER(MATCH(bhpc_data[sex],$EC$11,0)*MATCH(bhpc_data[size],$EC$13,0)),MATCH(ROW(bhpc_data[sku]),ROW(bhpc_data[sku])),""),ROWS($A$15:A115)+$B$3)))),IF($EC$11="",IF($EC$13="",INDEX(bhpc_data[sku],SMALL(IF(ISNUMBER(MATCH(bhpc_data[category],$EC$9,0)),MATCH(ROW(bhpc_data[sku]),ROW(bhpc_data[sku])),""),ROWS($A$15:A115)+$B$3)),INDEX(bhpc_data[sku],SMALL(IF(ISNUMBER(MATCH(bhpc_data[category],$EC$9,0)*MATCH(bhpc_data[size],$EC$13,0)),MATCH(ROW(bhpc_data[sku]),ROW(bhpc_data[sku])),""),ROWS($A$15:A115)+$B$3))),IF($EC$13="",INDEX(bhpc_data[sku],SMALL(IF(ISNUMBER(MATCH(bhpc_data[category],$EC$9,0)*MATCH(bhpc_data[sex],$EC$11,0)),MATCH(ROW(bhpc_data[sku]),ROW(bhpc_data[sku])),""),ROWS($A$15:A115)+$B$3)),INDEX(bhpc_data[sku],SMALL(IF(ISNUMBER(MATCH(bhpc_data[category],$EC$9,0)*MATCH(bhpc_data[sex],$EC$11,0)*MATCH(bhpc_data[size],$EC$13,0)),MATCH(ROW(bhpc_data[sku]),ROW(bhpc_data[sku])),""),ROWS($A$15:A115)+$B$3))))),"")</f>
        <v>P06015</v>
      </c>
      <c r="EF110" s="446" t="str" cm="1">
        <f t="array" ref="EF110">IFERROR(IF($EC$9="",IF($EC$11="",IF($EC$13="",INDEX(bhpc_data[description],SMALL(MATCH(ROW(bhpc_data[sku]),ROW(bhpc_data[sku])),ROWS($A$15:A115)+$B$3)),INDEX(bhpc_data[description],SMALL(IF(ISNUMBER(MATCH(bhpc_data[size],$EC$13,0)),MATCH(ROW(bhpc_data[sku]),ROW(bhpc_data[sku])),""),ROWS($A$15:A115)+$B$3))),IF($EC$13="",INDEX(bhpc_data[description],SMALL(IF(ISNUMBER(MATCH(bhpc_data[sex],$EC$11,0)),MATCH(ROW(bhpc_data[sku]),ROW(bhpc_data[sku])),""),ROWS($A$15:A115)+$B$3)),INDEX(bhpc_data[description],SMALL(IF(ISNUMBER(MATCH(bhpc_data[sex],$EC$11,0)*MATCH(bhpc_data[size],$EC$13,0)),MATCH(ROW(bhpc_data[sku]),ROW(bhpc_data[sku])),""),ROWS($A$15:A115)+$B$3)))),IF($EC$11="",IF($EC$13="",INDEX(bhpc_data[description],SMALL(IF(ISNUMBER(MATCH(bhpc_data[category],$EC$9,0)),MATCH(ROW(bhpc_data[sku]),ROW(bhpc_data[sku])),""),ROWS($A$15:A115)+$B$3)),INDEX(bhpc_data[description],SMALL(IF(ISNUMBER(MATCH(bhpc_data[category],$EC$9,0)*MATCH(bhpc_data[size],$EC$13,0)),MATCH(ROW(bhpc_data[sku]),ROW(bhpc_data[sku])),""),ROWS($A$15:A115)+$B$3))),IF($EC$13="",INDEX(bhpc_data[description],SMALL(IF(ISNUMBER(MATCH(bhpc_data[category],$EC$9,0)*MATCH(bhpc_data[sex],$EC$11,0)),MATCH(ROW(bhpc_data[sku]),ROW(bhpc_data[sku])),""),ROWS($A$15:A115)+$B$3)),INDEX(bhpc_data[description],SMALL(IF(ISNUMBER(MATCH(bhpc_data[category],$EC$9,0)*MATCH(bhpc_data[sex],$EC$11,0)*MATCH(bhpc_data[size],$EC$13,0)),MATCH(ROW(bhpc_data[sku]),ROW(bhpc_data[sku])),""),ROWS($A$15:A115)+$B$3))))),"")</f>
        <v>BHPC TITAN DEO 300ML</v>
      </c>
      <c r="EG110" s="447">
        <f>IFERROR(IF('BHPC MANAGER'!$EE110="","",INDEX(inventory[ESISTENZA],MATCH('BHPC MANAGER'!$EE110,inventory[SKU],0))),0)</f>
        <v>5016</v>
      </c>
      <c r="EH110" s="448">
        <v>0</v>
      </c>
      <c r="EI110" s="448">
        <f t="shared" si="14"/>
        <v>5016</v>
      </c>
      <c r="EJ110" s="449">
        <v>0</v>
      </c>
      <c r="EK110" s="450">
        <f t="shared" si="15"/>
        <v>5016</v>
      </c>
    </row>
    <row r="111" spans="63:141" x14ac:dyDescent="0.35">
      <c r="BK111" s="296"/>
      <c r="BL111" s="297"/>
      <c r="BM111" s="298"/>
      <c r="BN111" s="297"/>
      <c r="BO111" s="298"/>
      <c r="EE111" s="439" t="str" cm="1">
        <f t="array" ref="EE111">IFERROR(IF($EC$9="",IF($EC$11="",IF($EC$13="",INDEX(bhpc_data[sku],SMALL(MATCH(ROW(bhpc_data[sku]),ROW(bhpc_data[sku])),ROWS($A$15:A116)+$B$3)),INDEX(bhpc_data[sku],SMALL(IF(ISNUMBER(MATCH(bhpc_data[size],$EC$13,0)),MATCH(ROW(bhpc_data[sku]),ROW(bhpc_data[sku])),""),ROWS($A$15:A116)+$B$3))),IF($EC$13="",INDEX(bhpc_data[sku],SMALL(IF(ISNUMBER(MATCH(bhpc_data[sex],$EC$11,0)),MATCH(ROW(bhpc_data[sku]),ROW(bhpc_data[sku])),""),ROWS($A$15:A116)+$B$3)),INDEX(bhpc_data[sku],SMALL(IF(ISNUMBER(MATCH(bhpc_data[sex],$EC$11,0)*MATCH(bhpc_data[size],$EC$13,0)),MATCH(ROW(bhpc_data[sku]),ROW(bhpc_data[sku])),""),ROWS($A$15:A116)+$B$3)))),IF($EC$11="",IF($EC$13="",INDEX(bhpc_data[sku],SMALL(IF(ISNUMBER(MATCH(bhpc_data[category],$EC$9,0)),MATCH(ROW(bhpc_data[sku]),ROW(bhpc_data[sku])),""),ROWS($A$15:A116)+$B$3)),INDEX(bhpc_data[sku],SMALL(IF(ISNUMBER(MATCH(bhpc_data[category],$EC$9,0)*MATCH(bhpc_data[size],$EC$13,0)),MATCH(ROW(bhpc_data[sku]),ROW(bhpc_data[sku])),""),ROWS($A$15:A116)+$B$3))),IF($EC$13="",INDEX(bhpc_data[sku],SMALL(IF(ISNUMBER(MATCH(bhpc_data[category],$EC$9,0)*MATCH(bhpc_data[sex],$EC$11,0)),MATCH(ROW(bhpc_data[sku]),ROW(bhpc_data[sku])),""),ROWS($A$15:A116)+$B$3)),INDEX(bhpc_data[sku],SMALL(IF(ISNUMBER(MATCH(bhpc_data[category],$EC$9,0)*MATCH(bhpc_data[sex],$EC$11,0)*MATCH(bhpc_data[size],$EC$13,0)),MATCH(ROW(bhpc_data[sku]),ROW(bhpc_data[sku])),""),ROWS($A$15:A116)+$B$3))))),"")</f>
        <v>X2GS50</v>
      </c>
      <c r="EF111" s="440" t="str" cm="1">
        <f t="array" ref="EF111">IFERROR(IF($EC$9="",IF($EC$11="",IF($EC$13="",INDEX(bhpc_data[description],SMALL(MATCH(ROW(bhpc_data[sku]),ROW(bhpc_data[sku])),ROWS($A$15:A116)+$B$3)),INDEX(bhpc_data[description],SMALL(IF(ISNUMBER(MATCH(bhpc_data[size],$EC$13,0)),MATCH(ROW(bhpc_data[sku]),ROW(bhpc_data[sku])),""),ROWS($A$15:A116)+$B$3))),IF($EC$13="",INDEX(bhpc_data[description],SMALL(IF(ISNUMBER(MATCH(bhpc_data[sex],$EC$11,0)),MATCH(ROW(bhpc_data[sku]),ROW(bhpc_data[sku])),""),ROWS($A$15:A116)+$B$3)),INDEX(bhpc_data[description],SMALL(IF(ISNUMBER(MATCH(bhpc_data[sex],$EC$11,0)*MATCH(bhpc_data[size],$EC$13,0)),MATCH(ROW(bhpc_data[sku]),ROW(bhpc_data[sku])),""),ROWS($A$15:A116)+$B$3)))),IF($EC$11="",IF($EC$13="",INDEX(bhpc_data[description],SMALL(IF(ISNUMBER(MATCH(bhpc_data[category],$EC$9,0)),MATCH(ROW(bhpc_data[sku]),ROW(bhpc_data[sku])),""),ROWS($A$15:A116)+$B$3)),INDEX(bhpc_data[description],SMALL(IF(ISNUMBER(MATCH(bhpc_data[category],$EC$9,0)*MATCH(bhpc_data[size],$EC$13,0)),MATCH(ROW(bhpc_data[sku]),ROW(bhpc_data[sku])),""),ROWS($A$15:A116)+$B$3))),IF($EC$13="",INDEX(bhpc_data[description],SMALL(IF(ISNUMBER(MATCH(bhpc_data[category],$EC$9,0)*MATCH(bhpc_data[sex],$EC$11,0)),MATCH(ROW(bhpc_data[sku]),ROW(bhpc_data[sku])),""),ROWS($A$15:A116)+$B$3)),INDEX(bhpc_data[description],SMALL(IF(ISNUMBER(MATCH(bhpc_data[category],$EC$9,0)*MATCH(bhpc_data[sex],$EC$11,0)*MATCH(bhpc_data[size],$EC$13,0)),MATCH(ROW(bhpc_data[sku]),ROW(bhpc_data[sku])),""),ROWS($A$15:A116)+$B$3))))),"")</f>
        <v>2PCS GIFTSET OUTER CARTON 50ML</v>
      </c>
      <c r="EG111" s="441">
        <f>IFERROR(IF('BHPC MANAGER'!$EE111="","",INDEX(inventory[ESISTENZA],MATCH('BHPC MANAGER'!$EE111,inventory[SKU],0))),0)</f>
        <v>3100</v>
      </c>
      <c r="EH111" s="442">
        <v>-273</v>
      </c>
      <c r="EI111" s="442">
        <f t="shared" si="14"/>
        <v>2827</v>
      </c>
      <c r="EJ111" s="443">
        <v>0</v>
      </c>
      <c r="EK111" s="444">
        <f t="shared" si="15"/>
        <v>2827</v>
      </c>
    </row>
    <row r="112" spans="63:141" x14ac:dyDescent="0.35">
      <c r="BK112" s="296"/>
      <c r="BL112" s="297"/>
      <c r="BM112" s="298"/>
      <c r="BN112" s="297"/>
      <c r="BO112" s="298"/>
      <c r="EE112" s="445" t="str" cm="1">
        <f t="array" ref="EE112">IFERROR(IF($EC$9="",IF($EC$11="",IF($EC$13="",INDEX(bhpc_data[sku],SMALL(MATCH(ROW(bhpc_data[sku]),ROW(bhpc_data[sku])),ROWS($A$15:A117)+$B$3)),INDEX(bhpc_data[sku],SMALL(IF(ISNUMBER(MATCH(bhpc_data[size],$EC$13,0)),MATCH(ROW(bhpc_data[sku]),ROW(bhpc_data[sku])),""),ROWS($A$15:A117)+$B$3))),IF($EC$13="",INDEX(bhpc_data[sku],SMALL(IF(ISNUMBER(MATCH(bhpc_data[sex],$EC$11,0)),MATCH(ROW(bhpc_data[sku]),ROW(bhpc_data[sku])),""),ROWS($A$15:A117)+$B$3)),INDEX(bhpc_data[sku],SMALL(IF(ISNUMBER(MATCH(bhpc_data[sex],$EC$11,0)*MATCH(bhpc_data[size],$EC$13,0)),MATCH(ROW(bhpc_data[sku]),ROW(bhpc_data[sku])),""),ROWS($A$15:A117)+$B$3)))),IF($EC$11="",IF($EC$13="",INDEX(bhpc_data[sku],SMALL(IF(ISNUMBER(MATCH(bhpc_data[category],$EC$9,0)),MATCH(ROW(bhpc_data[sku]),ROW(bhpc_data[sku])),""),ROWS($A$15:A117)+$B$3)),INDEX(bhpc_data[sku],SMALL(IF(ISNUMBER(MATCH(bhpc_data[category],$EC$9,0)*MATCH(bhpc_data[size],$EC$13,0)),MATCH(ROW(bhpc_data[sku]),ROW(bhpc_data[sku])),""),ROWS($A$15:A117)+$B$3))),IF($EC$13="",INDEX(bhpc_data[sku],SMALL(IF(ISNUMBER(MATCH(bhpc_data[category],$EC$9,0)*MATCH(bhpc_data[sex],$EC$11,0)),MATCH(ROW(bhpc_data[sku]),ROW(bhpc_data[sku])),""),ROWS($A$15:A117)+$B$3)),INDEX(bhpc_data[sku],SMALL(IF(ISNUMBER(MATCH(bhpc_data[category],$EC$9,0)*MATCH(bhpc_data[sex],$EC$11,0)*MATCH(bhpc_data[size],$EC$13,0)),MATCH(ROW(bhpc_data[sku]),ROW(bhpc_data[sku])),""),ROWS($A$15:A117)+$B$3))))),"")</f>
        <v>X2GS100</v>
      </c>
      <c r="EF112" s="446" t="str" cm="1">
        <f t="array" ref="EF112">IFERROR(IF($EC$9="",IF($EC$11="",IF($EC$13="",INDEX(bhpc_data[description],SMALL(MATCH(ROW(bhpc_data[sku]),ROW(bhpc_data[sku])),ROWS($A$15:A117)+$B$3)),INDEX(bhpc_data[description],SMALL(IF(ISNUMBER(MATCH(bhpc_data[size],$EC$13,0)),MATCH(ROW(bhpc_data[sku]),ROW(bhpc_data[sku])),""),ROWS($A$15:A117)+$B$3))),IF($EC$13="",INDEX(bhpc_data[description],SMALL(IF(ISNUMBER(MATCH(bhpc_data[sex],$EC$11,0)),MATCH(ROW(bhpc_data[sku]),ROW(bhpc_data[sku])),""),ROWS($A$15:A117)+$B$3)),INDEX(bhpc_data[description],SMALL(IF(ISNUMBER(MATCH(bhpc_data[sex],$EC$11,0)*MATCH(bhpc_data[size],$EC$13,0)),MATCH(ROW(bhpc_data[sku]),ROW(bhpc_data[sku])),""),ROWS($A$15:A117)+$B$3)))),IF($EC$11="",IF($EC$13="",INDEX(bhpc_data[description],SMALL(IF(ISNUMBER(MATCH(bhpc_data[category],$EC$9,0)),MATCH(ROW(bhpc_data[sku]),ROW(bhpc_data[sku])),""),ROWS($A$15:A117)+$B$3)),INDEX(bhpc_data[description],SMALL(IF(ISNUMBER(MATCH(bhpc_data[category],$EC$9,0)*MATCH(bhpc_data[size],$EC$13,0)),MATCH(ROW(bhpc_data[sku]),ROW(bhpc_data[sku])),""),ROWS($A$15:A117)+$B$3))),IF($EC$13="",INDEX(bhpc_data[description],SMALL(IF(ISNUMBER(MATCH(bhpc_data[category],$EC$9,0)*MATCH(bhpc_data[sex],$EC$11,0)),MATCH(ROW(bhpc_data[sku]),ROW(bhpc_data[sku])),""),ROWS($A$15:A117)+$B$3)),INDEX(bhpc_data[description],SMALL(IF(ISNUMBER(MATCH(bhpc_data[category],$EC$9,0)*MATCH(bhpc_data[sex],$EC$11,0)*MATCH(bhpc_data[size],$EC$13,0)),MATCH(ROW(bhpc_data[sku]),ROW(bhpc_data[sku])),""),ROWS($A$15:A117)+$B$3))))),"")</f>
        <v>2PCS GIFTSET OUTER CARTON 100ML</v>
      </c>
      <c r="EG112" s="447">
        <f>IFERROR(IF('BHPC MANAGER'!$EE112="","",INDEX(inventory[ESISTENZA],MATCH('BHPC MANAGER'!$EE112,inventory[SKU],0))),0)</f>
        <v>511</v>
      </c>
      <c r="EH112" s="448">
        <v>-324</v>
      </c>
      <c r="EI112" s="448">
        <f t="shared" si="14"/>
        <v>187</v>
      </c>
      <c r="EJ112" s="449">
        <v>0</v>
      </c>
      <c r="EK112" s="450">
        <f t="shared" si="15"/>
        <v>187</v>
      </c>
    </row>
    <row r="113" spans="63:141" x14ac:dyDescent="0.35">
      <c r="BK113" s="296"/>
      <c r="BL113" s="297"/>
      <c r="BM113" s="298"/>
      <c r="BN113" s="297"/>
      <c r="BO113" s="298"/>
      <c r="EE113" s="439" t="str" cm="1">
        <f t="array" ref="EE113">IFERROR(IF($EC$9="",IF($EC$11="",IF($EC$13="",INDEX(bhpc_data[sku],SMALL(MATCH(ROW(bhpc_data[sku]),ROW(bhpc_data[sku])),ROWS($A$15:A118)+$B$3)),INDEX(bhpc_data[sku],SMALL(IF(ISNUMBER(MATCH(bhpc_data[size],$EC$13,0)),MATCH(ROW(bhpc_data[sku]),ROW(bhpc_data[sku])),""),ROWS($A$15:A118)+$B$3))),IF($EC$13="",INDEX(bhpc_data[sku],SMALL(IF(ISNUMBER(MATCH(bhpc_data[sex],$EC$11,0)),MATCH(ROW(bhpc_data[sku]),ROW(bhpc_data[sku])),""),ROWS($A$15:A118)+$B$3)),INDEX(bhpc_data[sku],SMALL(IF(ISNUMBER(MATCH(bhpc_data[sex],$EC$11,0)*MATCH(bhpc_data[size],$EC$13,0)),MATCH(ROW(bhpc_data[sku]),ROW(bhpc_data[sku])),""),ROWS($A$15:A118)+$B$3)))),IF($EC$11="",IF($EC$13="",INDEX(bhpc_data[sku],SMALL(IF(ISNUMBER(MATCH(bhpc_data[category],$EC$9,0)),MATCH(ROW(bhpc_data[sku]),ROW(bhpc_data[sku])),""),ROWS($A$15:A118)+$B$3)),INDEX(bhpc_data[sku],SMALL(IF(ISNUMBER(MATCH(bhpc_data[category],$EC$9,0)*MATCH(bhpc_data[size],$EC$13,0)),MATCH(ROW(bhpc_data[sku]),ROW(bhpc_data[sku])),""),ROWS($A$15:A118)+$B$3))),IF($EC$13="",INDEX(bhpc_data[sku],SMALL(IF(ISNUMBER(MATCH(bhpc_data[category],$EC$9,0)*MATCH(bhpc_data[sex],$EC$11,0)),MATCH(ROW(bhpc_data[sku]),ROW(bhpc_data[sku])),""),ROWS($A$15:A118)+$B$3)),INDEX(bhpc_data[sku],SMALL(IF(ISNUMBER(MATCH(bhpc_data[category],$EC$9,0)*MATCH(bhpc_data[sex],$EC$11,0)*MATCH(bhpc_data[size],$EC$13,0)),MATCH(ROW(bhpc_data[sku]),ROW(bhpc_data[sku])),""),ROWS($A$15:A118)+$B$3))))),"")</f>
        <v>X3GSCT</v>
      </c>
      <c r="EF113" s="440" t="str" cm="1">
        <f t="array" ref="EF113">IFERROR(IF($EC$9="",IF($EC$11="",IF($EC$13="",INDEX(bhpc_data[description],SMALL(MATCH(ROW(bhpc_data[sku]),ROW(bhpc_data[sku])),ROWS($A$15:A118)+$B$3)),INDEX(bhpc_data[description],SMALL(IF(ISNUMBER(MATCH(bhpc_data[size],$EC$13,0)),MATCH(ROW(bhpc_data[sku]),ROW(bhpc_data[sku])),""),ROWS($A$15:A118)+$B$3))),IF($EC$13="",INDEX(bhpc_data[description],SMALL(IF(ISNUMBER(MATCH(bhpc_data[sex],$EC$11,0)),MATCH(ROW(bhpc_data[sku]),ROW(bhpc_data[sku])),""),ROWS($A$15:A118)+$B$3)),INDEX(bhpc_data[description],SMALL(IF(ISNUMBER(MATCH(bhpc_data[sex],$EC$11,0)*MATCH(bhpc_data[size],$EC$13,0)),MATCH(ROW(bhpc_data[sku]),ROW(bhpc_data[sku])),""),ROWS($A$15:A118)+$B$3)))),IF($EC$11="",IF($EC$13="",INDEX(bhpc_data[description],SMALL(IF(ISNUMBER(MATCH(bhpc_data[category],$EC$9,0)),MATCH(ROW(bhpc_data[sku]),ROW(bhpc_data[sku])),""),ROWS($A$15:A118)+$B$3)),INDEX(bhpc_data[description],SMALL(IF(ISNUMBER(MATCH(bhpc_data[category],$EC$9,0)*MATCH(bhpc_data[size],$EC$13,0)),MATCH(ROW(bhpc_data[sku]),ROW(bhpc_data[sku])),""),ROWS($A$15:A118)+$B$3))),IF($EC$13="",INDEX(bhpc_data[description],SMALL(IF(ISNUMBER(MATCH(bhpc_data[category],$EC$9,0)*MATCH(bhpc_data[sex],$EC$11,0)),MATCH(ROW(bhpc_data[sku]),ROW(bhpc_data[sku])),""),ROWS($A$15:A118)+$B$3)),INDEX(bhpc_data[description],SMALL(IF(ISNUMBER(MATCH(bhpc_data[category],$EC$9,0)*MATCH(bhpc_data[sex],$EC$11,0)*MATCH(bhpc_data[size],$EC$13,0)),MATCH(ROW(bhpc_data[sku]),ROW(bhpc_data[sku])),""),ROWS($A$15:A118)+$B$3))))),"")</f>
        <v>3PCS GIFT SET OUTER CARTON</v>
      </c>
      <c r="EG113" s="441">
        <f>IFERROR(IF('BHPC MANAGER'!$EE113="","",INDEX(inventory[ESISTENZA],MATCH('BHPC MANAGER'!$EE113,inventory[SKU],0))),0)</f>
        <v>0</v>
      </c>
      <c r="EH113" s="442">
        <v>0</v>
      </c>
      <c r="EI113" s="442">
        <f t="shared" si="14"/>
        <v>0</v>
      </c>
      <c r="EJ113" s="443">
        <v>0</v>
      </c>
      <c r="EK113" s="444">
        <f t="shared" si="15"/>
        <v>0</v>
      </c>
    </row>
    <row r="114" spans="63:141" x14ac:dyDescent="0.35">
      <c r="BK114" s="296"/>
      <c r="BL114" s="297"/>
      <c r="BM114" s="298"/>
      <c r="BN114" s="297"/>
      <c r="BO114" s="298"/>
      <c r="EE114" s="445" t="str" cm="1">
        <f t="array" ref="EE114">IFERROR(IF($EC$9="",IF($EC$11="",IF($EC$13="",INDEX(bhpc_data[sku],SMALL(MATCH(ROW(bhpc_data[sku]),ROW(bhpc_data[sku])),ROWS($A$15:A119)+$B$3)),INDEX(bhpc_data[sku],SMALL(IF(ISNUMBER(MATCH(bhpc_data[size],$EC$13,0)),MATCH(ROW(bhpc_data[sku]),ROW(bhpc_data[sku])),""),ROWS($A$15:A119)+$B$3))),IF($EC$13="",INDEX(bhpc_data[sku],SMALL(IF(ISNUMBER(MATCH(bhpc_data[sex],$EC$11,0)),MATCH(ROW(bhpc_data[sku]),ROW(bhpc_data[sku])),""),ROWS($A$15:A119)+$B$3)),INDEX(bhpc_data[sku],SMALL(IF(ISNUMBER(MATCH(bhpc_data[sex],$EC$11,0)*MATCH(bhpc_data[size],$EC$13,0)),MATCH(ROW(bhpc_data[sku]),ROW(bhpc_data[sku])),""),ROWS($A$15:A119)+$B$3)))),IF($EC$11="",IF($EC$13="",INDEX(bhpc_data[sku],SMALL(IF(ISNUMBER(MATCH(bhpc_data[category],$EC$9,0)),MATCH(ROW(bhpc_data[sku]),ROW(bhpc_data[sku])),""),ROWS($A$15:A119)+$B$3)),INDEX(bhpc_data[sku],SMALL(IF(ISNUMBER(MATCH(bhpc_data[category],$EC$9,0)*MATCH(bhpc_data[size],$EC$13,0)),MATCH(ROW(bhpc_data[sku]),ROW(bhpc_data[sku])),""),ROWS($A$15:A119)+$B$3))),IF($EC$13="",INDEX(bhpc_data[sku],SMALL(IF(ISNUMBER(MATCH(bhpc_data[category],$EC$9,0)*MATCH(bhpc_data[sex],$EC$11,0)),MATCH(ROW(bhpc_data[sku]),ROW(bhpc_data[sku])),""),ROWS($A$15:A119)+$B$3)),INDEX(bhpc_data[sku],SMALL(IF(ISNUMBER(MATCH(bhpc_data[category],$EC$9,0)*MATCH(bhpc_data[sex],$EC$11,0)*MATCH(bhpc_data[size],$EC$13,0)),MATCH(ROW(bhpc_data[sku]),ROW(bhpc_data[sku])),""),ROWS($A$15:A119)+$B$3))))),"")</f>
        <v>GS5008</v>
      </c>
      <c r="EF114" s="446" t="str" cm="1">
        <f t="array" ref="EF114">IFERROR(IF($EC$9="",IF($EC$11="",IF($EC$13="",INDEX(bhpc_data[description],SMALL(MATCH(ROW(bhpc_data[sku]),ROW(bhpc_data[sku])),ROWS($A$15:A119)+$B$3)),INDEX(bhpc_data[description],SMALL(IF(ISNUMBER(MATCH(bhpc_data[size],$EC$13,0)),MATCH(ROW(bhpc_data[sku]),ROW(bhpc_data[sku])),""),ROWS($A$15:A119)+$B$3))),IF($EC$13="",INDEX(bhpc_data[description],SMALL(IF(ISNUMBER(MATCH(bhpc_data[sex],$EC$11,0)),MATCH(ROW(bhpc_data[sku]),ROW(bhpc_data[sku])),""),ROWS($A$15:A119)+$B$3)),INDEX(bhpc_data[description],SMALL(IF(ISNUMBER(MATCH(bhpc_data[sex],$EC$11,0)*MATCH(bhpc_data[size],$EC$13,0)),MATCH(ROW(bhpc_data[sku]),ROW(bhpc_data[sku])),""),ROWS($A$15:A119)+$B$3)))),IF($EC$11="",IF($EC$13="",INDEX(bhpc_data[description],SMALL(IF(ISNUMBER(MATCH(bhpc_data[category],$EC$9,0)),MATCH(ROW(bhpc_data[sku]),ROW(bhpc_data[sku])),""),ROWS($A$15:A119)+$B$3)),INDEX(bhpc_data[description],SMALL(IF(ISNUMBER(MATCH(bhpc_data[category],$EC$9,0)*MATCH(bhpc_data[size],$EC$13,0)),MATCH(ROW(bhpc_data[sku]),ROW(bhpc_data[sku])),""),ROWS($A$15:A119)+$B$3))),IF($EC$13="",INDEX(bhpc_data[description],SMALL(IF(ISNUMBER(MATCH(bhpc_data[category],$EC$9,0)*MATCH(bhpc_data[sex],$EC$11,0)),MATCH(ROW(bhpc_data[sku]),ROW(bhpc_data[sku])),""),ROWS($A$15:A119)+$B$3)),INDEX(bhpc_data[description],SMALL(IF(ISNUMBER(MATCH(bhpc_data[category],$EC$9,0)*MATCH(bhpc_data[sex],$EC$11,0)*MATCH(bhpc_data[size],$EC$13,0)),MATCH(ROW(bhpc_data[sku]),ROW(bhpc_data[sku])),""),ROWS($A$15:A119)+$B$3))))),"")</f>
        <v>BHPC GIFT SET SPORT MEN 1 EDT 50ML + DEO 175ML</v>
      </c>
      <c r="EG114" s="447">
        <f>IFERROR(IF('BHPC MANAGER'!$EE114="","",INDEX(inventory[ESISTENZA],MATCH('BHPC MANAGER'!$EE114,inventory[SKU],0))),0)</f>
        <v>672</v>
      </c>
      <c r="EH114" s="448">
        <v>-668</v>
      </c>
      <c r="EI114" s="448">
        <f t="shared" si="14"/>
        <v>4</v>
      </c>
      <c r="EJ114" s="449">
        <v>0</v>
      </c>
      <c r="EK114" s="450">
        <f t="shared" si="15"/>
        <v>4</v>
      </c>
    </row>
    <row r="115" spans="63:141" x14ac:dyDescent="0.35">
      <c r="BK115" s="296"/>
      <c r="BL115" s="297"/>
      <c r="BM115" s="298"/>
      <c r="BN115" s="297"/>
      <c r="BO115" s="298"/>
      <c r="EE115" s="439" t="str" cm="1">
        <f t="array" ref="EE115">IFERROR(IF($EC$9="",IF($EC$11="",IF($EC$13="",INDEX(bhpc_data[sku],SMALL(MATCH(ROW(bhpc_data[sku]),ROW(bhpc_data[sku])),ROWS($A$15:A120)+$B$3)),INDEX(bhpc_data[sku],SMALL(IF(ISNUMBER(MATCH(bhpc_data[size],$EC$13,0)),MATCH(ROW(bhpc_data[sku]),ROW(bhpc_data[sku])),""),ROWS($A$15:A120)+$B$3))),IF($EC$13="",INDEX(bhpc_data[sku],SMALL(IF(ISNUMBER(MATCH(bhpc_data[sex],$EC$11,0)),MATCH(ROW(bhpc_data[sku]),ROW(bhpc_data[sku])),""),ROWS($A$15:A120)+$B$3)),INDEX(bhpc_data[sku],SMALL(IF(ISNUMBER(MATCH(bhpc_data[sex],$EC$11,0)*MATCH(bhpc_data[size],$EC$13,0)),MATCH(ROW(bhpc_data[sku]),ROW(bhpc_data[sku])),""),ROWS($A$15:A120)+$B$3)))),IF($EC$11="",IF($EC$13="",INDEX(bhpc_data[sku],SMALL(IF(ISNUMBER(MATCH(bhpc_data[category],$EC$9,0)),MATCH(ROW(bhpc_data[sku]),ROW(bhpc_data[sku])),""),ROWS($A$15:A120)+$B$3)),INDEX(bhpc_data[sku],SMALL(IF(ISNUMBER(MATCH(bhpc_data[category],$EC$9,0)*MATCH(bhpc_data[size],$EC$13,0)),MATCH(ROW(bhpc_data[sku]),ROW(bhpc_data[sku])),""),ROWS($A$15:A120)+$B$3))),IF($EC$13="",INDEX(bhpc_data[sku],SMALL(IF(ISNUMBER(MATCH(bhpc_data[category],$EC$9,0)*MATCH(bhpc_data[sex],$EC$11,0)),MATCH(ROW(bhpc_data[sku]),ROW(bhpc_data[sku])),""),ROWS($A$15:A120)+$B$3)),INDEX(bhpc_data[sku],SMALL(IF(ISNUMBER(MATCH(bhpc_data[category],$EC$9,0)*MATCH(bhpc_data[sex],$EC$11,0)*MATCH(bhpc_data[size],$EC$13,0)),MATCH(ROW(bhpc_data[sku]),ROW(bhpc_data[sku])),""),ROWS($A$15:A120)+$B$3))))),"")</f>
        <v>GS5009</v>
      </c>
      <c r="EF115" s="440" t="str" cm="1">
        <f t="array" ref="EF115">IFERROR(IF($EC$9="",IF($EC$11="",IF($EC$13="",INDEX(bhpc_data[description],SMALL(MATCH(ROW(bhpc_data[sku]),ROW(bhpc_data[sku])),ROWS($A$15:A120)+$B$3)),INDEX(bhpc_data[description],SMALL(IF(ISNUMBER(MATCH(bhpc_data[size],$EC$13,0)),MATCH(ROW(bhpc_data[sku]),ROW(bhpc_data[sku])),""),ROWS($A$15:A120)+$B$3))),IF($EC$13="",INDEX(bhpc_data[description],SMALL(IF(ISNUMBER(MATCH(bhpc_data[sex],$EC$11,0)),MATCH(ROW(bhpc_data[sku]),ROW(bhpc_data[sku])),""),ROWS($A$15:A120)+$B$3)),INDEX(bhpc_data[description],SMALL(IF(ISNUMBER(MATCH(bhpc_data[sex],$EC$11,0)*MATCH(bhpc_data[size],$EC$13,0)),MATCH(ROW(bhpc_data[sku]),ROW(bhpc_data[sku])),""),ROWS($A$15:A120)+$B$3)))),IF($EC$11="",IF($EC$13="",INDEX(bhpc_data[description],SMALL(IF(ISNUMBER(MATCH(bhpc_data[category],$EC$9,0)),MATCH(ROW(bhpc_data[sku]),ROW(bhpc_data[sku])),""),ROWS($A$15:A120)+$B$3)),INDEX(bhpc_data[description],SMALL(IF(ISNUMBER(MATCH(bhpc_data[category],$EC$9,0)*MATCH(bhpc_data[size],$EC$13,0)),MATCH(ROW(bhpc_data[sku]),ROW(bhpc_data[sku])),""),ROWS($A$15:A120)+$B$3))),IF($EC$13="",INDEX(bhpc_data[description],SMALL(IF(ISNUMBER(MATCH(bhpc_data[category],$EC$9,0)*MATCH(bhpc_data[sex],$EC$11,0)),MATCH(ROW(bhpc_data[sku]),ROW(bhpc_data[sku])),""),ROWS($A$15:A120)+$B$3)),INDEX(bhpc_data[description],SMALL(IF(ISNUMBER(MATCH(bhpc_data[category],$EC$9,0)*MATCH(bhpc_data[sex],$EC$11,0)*MATCH(bhpc_data[size],$EC$13,0)),MATCH(ROW(bhpc_data[sku]),ROW(bhpc_data[sku])),""),ROWS($A$15:A120)+$B$3))))),"")</f>
        <v>BHPC GIFT SET SPORT MEN 9 EDT 50ML + DEO 175ML</v>
      </c>
      <c r="EG115" s="441">
        <f>IFERROR(IF('BHPC MANAGER'!$EE115="","",INDEX(inventory[ESISTENZA],MATCH('BHPC MANAGER'!$EE115,inventory[SKU],0))),0)</f>
        <v>1110</v>
      </c>
      <c r="EH115" s="442">
        <v>-1107</v>
      </c>
      <c r="EI115" s="442">
        <f t="shared" si="14"/>
        <v>3</v>
      </c>
      <c r="EJ115" s="443">
        <v>0</v>
      </c>
      <c r="EK115" s="444">
        <f t="shared" si="15"/>
        <v>3</v>
      </c>
    </row>
    <row r="116" spans="63:141" x14ac:dyDescent="0.35">
      <c r="BK116" s="296"/>
      <c r="BL116" s="297"/>
      <c r="BM116" s="298"/>
      <c r="BN116" s="297"/>
      <c r="BO116" s="298"/>
      <c r="EE116" s="445" t="str" cm="1">
        <f t="array" ref="EE116">IFERROR(IF($EC$9="",IF($EC$11="",IF($EC$13="",INDEX(bhpc_data[sku],SMALL(MATCH(ROW(bhpc_data[sku]),ROW(bhpc_data[sku])),ROWS($A$15:A121)+$B$3)),INDEX(bhpc_data[sku],SMALL(IF(ISNUMBER(MATCH(bhpc_data[size],$EC$13,0)),MATCH(ROW(bhpc_data[sku]),ROW(bhpc_data[sku])),""),ROWS($A$15:A121)+$B$3))),IF($EC$13="",INDEX(bhpc_data[sku],SMALL(IF(ISNUMBER(MATCH(bhpc_data[sex],$EC$11,0)),MATCH(ROW(bhpc_data[sku]),ROW(bhpc_data[sku])),""),ROWS($A$15:A121)+$B$3)),INDEX(bhpc_data[sku],SMALL(IF(ISNUMBER(MATCH(bhpc_data[sex],$EC$11,0)*MATCH(bhpc_data[size],$EC$13,0)),MATCH(ROW(bhpc_data[sku]),ROW(bhpc_data[sku])),""),ROWS($A$15:A121)+$B$3)))),IF($EC$11="",IF($EC$13="",INDEX(bhpc_data[sku],SMALL(IF(ISNUMBER(MATCH(bhpc_data[category],$EC$9,0)),MATCH(ROW(bhpc_data[sku]),ROW(bhpc_data[sku])),""),ROWS($A$15:A121)+$B$3)),INDEX(bhpc_data[sku],SMALL(IF(ISNUMBER(MATCH(bhpc_data[category],$EC$9,0)*MATCH(bhpc_data[size],$EC$13,0)),MATCH(ROW(bhpc_data[sku]),ROW(bhpc_data[sku])),""),ROWS($A$15:A121)+$B$3))),IF($EC$13="",INDEX(bhpc_data[sku],SMALL(IF(ISNUMBER(MATCH(bhpc_data[category],$EC$9,0)*MATCH(bhpc_data[sex],$EC$11,0)),MATCH(ROW(bhpc_data[sku]),ROW(bhpc_data[sku])),""),ROWS($A$15:A121)+$B$3)),INDEX(bhpc_data[sku],SMALL(IF(ISNUMBER(MATCH(bhpc_data[category],$EC$9,0)*MATCH(bhpc_data[sex],$EC$11,0)*MATCH(bhpc_data[size],$EC$13,0)),MATCH(ROW(bhpc_data[sku]),ROW(bhpc_data[sku])),""),ROWS($A$15:A121)+$B$3))))),"")</f>
        <v>GS5010</v>
      </c>
      <c r="EF116" s="446" t="str" cm="1">
        <f t="array" ref="EF116">IFERROR(IF($EC$9="",IF($EC$11="",IF($EC$13="",INDEX(bhpc_data[description],SMALL(MATCH(ROW(bhpc_data[sku]),ROW(bhpc_data[sku])),ROWS($A$15:A121)+$B$3)),INDEX(bhpc_data[description],SMALL(IF(ISNUMBER(MATCH(bhpc_data[size],$EC$13,0)),MATCH(ROW(bhpc_data[sku]),ROW(bhpc_data[sku])),""),ROWS($A$15:A121)+$B$3))),IF($EC$13="",INDEX(bhpc_data[description],SMALL(IF(ISNUMBER(MATCH(bhpc_data[sex],$EC$11,0)),MATCH(ROW(bhpc_data[sku]),ROW(bhpc_data[sku])),""),ROWS($A$15:A121)+$B$3)),INDEX(bhpc_data[description],SMALL(IF(ISNUMBER(MATCH(bhpc_data[sex],$EC$11,0)*MATCH(bhpc_data[size],$EC$13,0)),MATCH(ROW(bhpc_data[sku]),ROW(bhpc_data[sku])),""),ROWS($A$15:A121)+$B$3)))),IF($EC$11="",IF($EC$13="",INDEX(bhpc_data[description],SMALL(IF(ISNUMBER(MATCH(bhpc_data[category],$EC$9,0)),MATCH(ROW(bhpc_data[sku]),ROW(bhpc_data[sku])),""),ROWS($A$15:A121)+$B$3)),INDEX(bhpc_data[description],SMALL(IF(ISNUMBER(MATCH(bhpc_data[category],$EC$9,0)*MATCH(bhpc_data[size],$EC$13,0)),MATCH(ROW(bhpc_data[sku]),ROW(bhpc_data[sku])),""),ROWS($A$15:A121)+$B$3))),IF($EC$13="",INDEX(bhpc_data[description],SMALL(IF(ISNUMBER(MATCH(bhpc_data[category],$EC$9,0)*MATCH(bhpc_data[sex],$EC$11,0)),MATCH(ROW(bhpc_data[sku]),ROW(bhpc_data[sku])),""),ROWS($A$15:A121)+$B$3)),INDEX(bhpc_data[description],SMALL(IF(ISNUMBER(MATCH(bhpc_data[category],$EC$9,0)*MATCH(bhpc_data[sex],$EC$11,0)*MATCH(bhpc_data[size],$EC$13,0)),MATCH(ROW(bhpc_data[sku]),ROW(bhpc_data[sku])),""),ROWS($A$15:A121)+$B$3))))),"")</f>
        <v>BHPC GIFT SET SPORT MEN 8 EDT 50ML + DEO 175ML</v>
      </c>
      <c r="EG116" s="447">
        <f>IFERROR(IF('BHPC MANAGER'!$EE116="","",INDEX(inventory[ESISTENZA],MATCH('BHPC MANAGER'!$EE116,inventory[SKU],0))),0)</f>
        <v>1110</v>
      </c>
      <c r="EH116" s="448">
        <v>-1104</v>
      </c>
      <c r="EI116" s="448">
        <f t="shared" si="14"/>
        <v>6</v>
      </c>
      <c r="EJ116" s="449">
        <v>0</v>
      </c>
      <c r="EK116" s="450">
        <f t="shared" si="15"/>
        <v>6</v>
      </c>
    </row>
    <row r="117" spans="63:141" x14ac:dyDescent="0.35">
      <c r="BK117" s="296"/>
      <c r="BL117" s="297"/>
      <c r="BM117" s="298"/>
      <c r="BN117" s="297"/>
      <c r="BO117" s="298"/>
      <c r="EE117" s="439" t="str" cm="1">
        <f t="array" ref="EE117">IFERROR(IF($EC$9="",IF($EC$11="",IF($EC$13="",INDEX(bhpc_data[sku],SMALL(MATCH(ROW(bhpc_data[sku]),ROW(bhpc_data[sku])),ROWS($A$15:A122)+$B$3)),INDEX(bhpc_data[sku],SMALL(IF(ISNUMBER(MATCH(bhpc_data[size],$EC$13,0)),MATCH(ROW(bhpc_data[sku]),ROW(bhpc_data[sku])),""),ROWS($A$15:A122)+$B$3))),IF($EC$13="",INDEX(bhpc_data[sku],SMALL(IF(ISNUMBER(MATCH(bhpc_data[sex],$EC$11,0)),MATCH(ROW(bhpc_data[sku]),ROW(bhpc_data[sku])),""),ROWS($A$15:A122)+$B$3)),INDEX(bhpc_data[sku],SMALL(IF(ISNUMBER(MATCH(bhpc_data[sex],$EC$11,0)*MATCH(bhpc_data[size],$EC$13,0)),MATCH(ROW(bhpc_data[sku]),ROW(bhpc_data[sku])),""),ROWS($A$15:A122)+$B$3)))),IF($EC$11="",IF($EC$13="",INDEX(bhpc_data[sku],SMALL(IF(ISNUMBER(MATCH(bhpc_data[category],$EC$9,0)),MATCH(ROW(bhpc_data[sku]),ROW(bhpc_data[sku])),""),ROWS($A$15:A122)+$B$3)),INDEX(bhpc_data[sku],SMALL(IF(ISNUMBER(MATCH(bhpc_data[category],$EC$9,0)*MATCH(bhpc_data[size],$EC$13,0)),MATCH(ROW(bhpc_data[sku]),ROW(bhpc_data[sku])),""),ROWS($A$15:A122)+$B$3))),IF($EC$13="",INDEX(bhpc_data[sku],SMALL(IF(ISNUMBER(MATCH(bhpc_data[category],$EC$9,0)*MATCH(bhpc_data[sex],$EC$11,0)),MATCH(ROW(bhpc_data[sku]),ROW(bhpc_data[sku])),""),ROWS($A$15:A122)+$B$3)),INDEX(bhpc_data[sku],SMALL(IF(ISNUMBER(MATCH(bhpc_data[category],$EC$9,0)*MATCH(bhpc_data[sex],$EC$11,0)*MATCH(bhpc_data[size],$EC$13,0)),MATCH(ROW(bhpc_data[sku]),ROW(bhpc_data[sku])),""),ROWS($A$15:A122)+$B$3))))),"")</f>
        <v>GS5011</v>
      </c>
      <c r="EF117" s="440" t="str" cm="1">
        <f t="array" ref="EF117">IFERROR(IF($EC$9="",IF($EC$11="",IF($EC$13="",INDEX(bhpc_data[description],SMALL(MATCH(ROW(bhpc_data[sku]),ROW(bhpc_data[sku])),ROWS($A$15:A122)+$B$3)),INDEX(bhpc_data[description],SMALL(IF(ISNUMBER(MATCH(bhpc_data[size],$EC$13,0)),MATCH(ROW(bhpc_data[sku]),ROW(bhpc_data[sku])),""),ROWS($A$15:A122)+$B$3))),IF($EC$13="",INDEX(bhpc_data[description],SMALL(IF(ISNUMBER(MATCH(bhpc_data[sex],$EC$11,0)),MATCH(ROW(bhpc_data[sku]),ROW(bhpc_data[sku])),""),ROWS($A$15:A122)+$B$3)),INDEX(bhpc_data[description],SMALL(IF(ISNUMBER(MATCH(bhpc_data[sex],$EC$11,0)*MATCH(bhpc_data[size],$EC$13,0)),MATCH(ROW(bhpc_data[sku]),ROW(bhpc_data[sku])),""),ROWS($A$15:A122)+$B$3)))),IF($EC$11="",IF($EC$13="",INDEX(bhpc_data[description],SMALL(IF(ISNUMBER(MATCH(bhpc_data[category],$EC$9,0)),MATCH(ROW(bhpc_data[sku]),ROW(bhpc_data[sku])),""),ROWS($A$15:A122)+$B$3)),INDEX(bhpc_data[description],SMALL(IF(ISNUMBER(MATCH(bhpc_data[category],$EC$9,0)*MATCH(bhpc_data[size],$EC$13,0)),MATCH(ROW(bhpc_data[sku]),ROW(bhpc_data[sku])),""),ROWS($A$15:A122)+$B$3))),IF($EC$13="",INDEX(bhpc_data[description],SMALL(IF(ISNUMBER(MATCH(bhpc_data[category],$EC$9,0)*MATCH(bhpc_data[sex],$EC$11,0)),MATCH(ROW(bhpc_data[sku]),ROW(bhpc_data[sku])),""),ROWS($A$15:A122)+$B$3)),INDEX(bhpc_data[description],SMALL(IF(ISNUMBER(MATCH(bhpc_data[category],$EC$9,0)*MATCH(bhpc_data[sex],$EC$11,0)*MATCH(bhpc_data[size],$EC$13,0)),MATCH(ROW(bhpc_data[sku]),ROW(bhpc_data[sku])),""),ROWS($A$15:A122)+$B$3))))),"")</f>
        <v>BHPC GIFT SET SPORT MEN 2 EDT 50ML + DEO 175ML</v>
      </c>
      <c r="EG117" s="441">
        <f>IFERROR(IF('BHPC MANAGER'!$EE117="","",INDEX(inventory[ESISTENZA],MATCH('BHPC MANAGER'!$EE117,inventory[SKU],0))),0)</f>
        <v>1111</v>
      </c>
      <c r="EH117" s="442">
        <v>-1105</v>
      </c>
      <c r="EI117" s="442">
        <f t="shared" si="14"/>
        <v>6</v>
      </c>
      <c r="EJ117" s="443">
        <v>0</v>
      </c>
      <c r="EK117" s="444">
        <f t="shared" si="15"/>
        <v>6</v>
      </c>
    </row>
    <row r="118" spans="63:141" x14ac:dyDescent="0.35">
      <c r="BK118" s="296"/>
      <c r="BL118" s="297"/>
      <c r="BM118" s="298"/>
      <c r="BN118" s="297"/>
      <c r="BO118" s="298"/>
      <c r="EE118" s="445" t="str" cm="1">
        <f t="array" ref="EE118">IFERROR(IF($EC$9="",IF($EC$11="",IF($EC$13="",INDEX(bhpc_data[sku],SMALL(MATCH(ROW(bhpc_data[sku]),ROW(bhpc_data[sku])),ROWS($A$15:A123)+$B$3)),INDEX(bhpc_data[sku],SMALL(IF(ISNUMBER(MATCH(bhpc_data[size],$EC$13,0)),MATCH(ROW(bhpc_data[sku]),ROW(bhpc_data[sku])),""),ROWS($A$15:A123)+$B$3))),IF($EC$13="",INDEX(bhpc_data[sku],SMALL(IF(ISNUMBER(MATCH(bhpc_data[sex],$EC$11,0)),MATCH(ROW(bhpc_data[sku]),ROW(bhpc_data[sku])),""),ROWS($A$15:A123)+$B$3)),INDEX(bhpc_data[sku],SMALL(IF(ISNUMBER(MATCH(bhpc_data[sex],$EC$11,0)*MATCH(bhpc_data[size],$EC$13,0)),MATCH(ROW(bhpc_data[sku]),ROW(bhpc_data[sku])),""),ROWS($A$15:A123)+$B$3)))),IF($EC$11="",IF($EC$13="",INDEX(bhpc_data[sku],SMALL(IF(ISNUMBER(MATCH(bhpc_data[category],$EC$9,0)),MATCH(ROW(bhpc_data[sku]),ROW(bhpc_data[sku])),""),ROWS($A$15:A123)+$B$3)),INDEX(bhpc_data[sku],SMALL(IF(ISNUMBER(MATCH(bhpc_data[category],$EC$9,0)*MATCH(bhpc_data[size],$EC$13,0)),MATCH(ROW(bhpc_data[sku]),ROW(bhpc_data[sku])),""),ROWS($A$15:A123)+$B$3))),IF($EC$13="",INDEX(bhpc_data[sku],SMALL(IF(ISNUMBER(MATCH(bhpc_data[category],$EC$9,0)*MATCH(bhpc_data[sex],$EC$11,0)),MATCH(ROW(bhpc_data[sku]),ROW(bhpc_data[sku])),""),ROWS($A$15:A123)+$B$3)),INDEX(bhpc_data[sku],SMALL(IF(ISNUMBER(MATCH(bhpc_data[category],$EC$9,0)*MATCH(bhpc_data[sex],$EC$11,0)*MATCH(bhpc_data[size],$EC$13,0)),MATCH(ROW(bhpc_data[sku]),ROW(bhpc_data[sku])),""),ROWS($A$15:A123)+$B$3))))),"")</f>
        <v>GS5028</v>
      </c>
      <c r="EF118" s="446" t="str" cm="1">
        <f t="array" ref="EF118">IFERROR(IF($EC$9="",IF($EC$11="",IF($EC$13="",INDEX(bhpc_data[description],SMALL(MATCH(ROW(bhpc_data[sku]),ROW(bhpc_data[sku])),ROWS($A$15:A123)+$B$3)),INDEX(bhpc_data[description],SMALL(IF(ISNUMBER(MATCH(bhpc_data[size],$EC$13,0)),MATCH(ROW(bhpc_data[sku]),ROW(bhpc_data[sku])),""),ROWS($A$15:A123)+$B$3))),IF($EC$13="",INDEX(bhpc_data[description],SMALL(IF(ISNUMBER(MATCH(bhpc_data[sex],$EC$11,0)),MATCH(ROW(bhpc_data[sku]),ROW(bhpc_data[sku])),""),ROWS($A$15:A123)+$B$3)),INDEX(bhpc_data[description],SMALL(IF(ISNUMBER(MATCH(bhpc_data[sex],$EC$11,0)*MATCH(bhpc_data[size],$EC$13,0)),MATCH(ROW(bhpc_data[sku]),ROW(bhpc_data[sku])),""),ROWS($A$15:A123)+$B$3)))),IF($EC$11="",IF($EC$13="",INDEX(bhpc_data[description],SMALL(IF(ISNUMBER(MATCH(bhpc_data[category],$EC$9,0)),MATCH(ROW(bhpc_data[sku]),ROW(bhpc_data[sku])),""),ROWS($A$15:A123)+$B$3)),INDEX(bhpc_data[description],SMALL(IF(ISNUMBER(MATCH(bhpc_data[category],$EC$9,0)*MATCH(bhpc_data[size],$EC$13,0)),MATCH(ROW(bhpc_data[sku]),ROW(bhpc_data[sku])),""),ROWS($A$15:A123)+$B$3))),IF($EC$13="",INDEX(bhpc_data[description],SMALL(IF(ISNUMBER(MATCH(bhpc_data[category],$EC$9,0)*MATCH(bhpc_data[sex],$EC$11,0)),MATCH(ROW(bhpc_data[sku]),ROW(bhpc_data[sku])),""),ROWS($A$15:A123)+$B$3)),INDEX(bhpc_data[description],SMALL(IF(ISNUMBER(MATCH(bhpc_data[category],$EC$9,0)*MATCH(bhpc_data[sex],$EC$11,0)*MATCH(bhpc_data[size],$EC$13,0)),MATCH(ROW(bhpc_data[sku]),ROW(bhpc_data[sku])),""),ROWS($A$15:A123)+$B$3))))),"")</f>
        <v>BHPC GIFT SET WOMEN 1 EDP 50ML + DEO 150ML</v>
      </c>
      <c r="EG118" s="447">
        <f>IFERROR(IF('BHPC MANAGER'!$EE118="","",INDEX(inventory[ESISTENZA],MATCH('BHPC MANAGER'!$EE118,inventory[SKU],0))),0)</f>
        <v>1110</v>
      </c>
      <c r="EH118" s="448">
        <v>-1104</v>
      </c>
      <c r="EI118" s="448">
        <f t="shared" si="14"/>
        <v>6</v>
      </c>
      <c r="EJ118" s="449">
        <v>0</v>
      </c>
      <c r="EK118" s="450">
        <f t="shared" si="15"/>
        <v>6</v>
      </c>
    </row>
    <row r="119" spans="63:141" x14ac:dyDescent="0.35">
      <c r="BK119" s="296"/>
      <c r="BL119" s="297"/>
      <c r="BM119" s="298"/>
      <c r="BN119" s="297"/>
      <c r="BO119" s="298"/>
      <c r="EE119" s="439" t="str" cm="1">
        <f t="array" ref="EE119">IFERROR(IF($EC$9="",IF($EC$11="",IF($EC$13="",INDEX(bhpc_data[sku],SMALL(MATCH(ROW(bhpc_data[sku]),ROW(bhpc_data[sku])),ROWS($A$15:A124)+$B$3)),INDEX(bhpc_data[sku],SMALL(IF(ISNUMBER(MATCH(bhpc_data[size],$EC$13,0)),MATCH(ROW(bhpc_data[sku]),ROW(bhpc_data[sku])),""),ROWS($A$15:A124)+$B$3))),IF($EC$13="",INDEX(bhpc_data[sku],SMALL(IF(ISNUMBER(MATCH(bhpc_data[sex],$EC$11,0)),MATCH(ROW(bhpc_data[sku]),ROW(bhpc_data[sku])),""),ROWS($A$15:A124)+$B$3)),INDEX(bhpc_data[sku],SMALL(IF(ISNUMBER(MATCH(bhpc_data[sex],$EC$11,0)*MATCH(bhpc_data[size],$EC$13,0)),MATCH(ROW(bhpc_data[sku]),ROW(bhpc_data[sku])),""),ROWS($A$15:A124)+$B$3)))),IF($EC$11="",IF($EC$13="",INDEX(bhpc_data[sku],SMALL(IF(ISNUMBER(MATCH(bhpc_data[category],$EC$9,0)),MATCH(ROW(bhpc_data[sku]),ROW(bhpc_data[sku])),""),ROWS($A$15:A124)+$B$3)),INDEX(bhpc_data[sku],SMALL(IF(ISNUMBER(MATCH(bhpc_data[category],$EC$9,0)*MATCH(bhpc_data[size],$EC$13,0)),MATCH(ROW(bhpc_data[sku]),ROW(bhpc_data[sku])),""),ROWS($A$15:A124)+$B$3))),IF($EC$13="",INDEX(bhpc_data[sku],SMALL(IF(ISNUMBER(MATCH(bhpc_data[category],$EC$9,0)*MATCH(bhpc_data[sex],$EC$11,0)),MATCH(ROW(bhpc_data[sku]),ROW(bhpc_data[sku])),""),ROWS($A$15:A124)+$B$3)),INDEX(bhpc_data[sku],SMALL(IF(ISNUMBER(MATCH(bhpc_data[category],$EC$9,0)*MATCH(bhpc_data[sex],$EC$11,0)*MATCH(bhpc_data[size],$EC$13,0)),MATCH(ROW(bhpc_data[sku]),ROW(bhpc_data[sku])),""),ROWS($A$15:A124)+$B$3))))),"")</f>
        <v>GS5029</v>
      </c>
      <c r="EF119" s="440" t="str" cm="1">
        <f t="array" ref="EF119">IFERROR(IF($EC$9="",IF($EC$11="",IF($EC$13="",INDEX(bhpc_data[description],SMALL(MATCH(ROW(bhpc_data[sku]),ROW(bhpc_data[sku])),ROWS($A$15:A124)+$B$3)),INDEX(bhpc_data[description],SMALL(IF(ISNUMBER(MATCH(bhpc_data[size],$EC$13,0)),MATCH(ROW(bhpc_data[sku]),ROW(bhpc_data[sku])),""),ROWS($A$15:A124)+$B$3))),IF($EC$13="",INDEX(bhpc_data[description],SMALL(IF(ISNUMBER(MATCH(bhpc_data[sex],$EC$11,0)),MATCH(ROW(bhpc_data[sku]),ROW(bhpc_data[sku])),""),ROWS($A$15:A124)+$B$3)),INDEX(bhpc_data[description],SMALL(IF(ISNUMBER(MATCH(bhpc_data[sex],$EC$11,0)*MATCH(bhpc_data[size],$EC$13,0)),MATCH(ROW(bhpc_data[sku]),ROW(bhpc_data[sku])),""),ROWS($A$15:A124)+$B$3)))),IF($EC$11="",IF($EC$13="",INDEX(bhpc_data[description],SMALL(IF(ISNUMBER(MATCH(bhpc_data[category],$EC$9,0)),MATCH(ROW(bhpc_data[sku]),ROW(bhpc_data[sku])),""),ROWS($A$15:A124)+$B$3)),INDEX(bhpc_data[description],SMALL(IF(ISNUMBER(MATCH(bhpc_data[category],$EC$9,0)*MATCH(bhpc_data[size],$EC$13,0)),MATCH(ROW(bhpc_data[sku]),ROW(bhpc_data[sku])),""),ROWS($A$15:A124)+$B$3))),IF($EC$13="",INDEX(bhpc_data[description],SMALL(IF(ISNUMBER(MATCH(bhpc_data[category],$EC$9,0)*MATCH(bhpc_data[sex],$EC$11,0)),MATCH(ROW(bhpc_data[sku]),ROW(bhpc_data[sku])),""),ROWS($A$15:A124)+$B$3)),INDEX(bhpc_data[description],SMALL(IF(ISNUMBER(MATCH(bhpc_data[category],$EC$9,0)*MATCH(bhpc_data[sex],$EC$11,0)*MATCH(bhpc_data[size],$EC$13,0)),MATCH(ROW(bhpc_data[sku]),ROW(bhpc_data[sku])),""),ROWS($A$15:A124)+$B$3))))),"")</f>
        <v>BHPC GIFT SET WOMEN 9 EDP 50ML + DEO 150ML</v>
      </c>
      <c r="EG119" s="441">
        <f>IFERROR(IF('BHPC MANAGER'!$EE119="","",INDEX(inventory[ESISTENZA],MATCH('BHPC MANAGER'!$EE119,inventory[SKU],0))),0)</f>
        <v>1110</v>
      </c>
      <c r="EH119" s="442">
        <v>-1105</v>
      </c>
      <c r="EI119" s="442">
        <f t="shared" si="14"/>
        <v>5</v>
      </c>
      <c r="EJ119" s="443">
        <v>0</v>
      </c>
      <c r="EK119" s="444">
        <f t="shared" si="15"/>
        <v>5</v>
      </c>
    </row>
    <row r="120" spans="63:141" x14ac:dyDescent="0.35">
      <c r="BK120" s="296"/>
      <c r="BL120" s="297"/>
      <c r="BM120" s="298"/>
      <c r="BN120" s="297"/>
      <c r="BO120" s="298"/>
      <c r="EE120" s="445" t="str" cm="1">
        <f t="array" ref="EE120">IFERROR(IF($EC$9="",IF($EC$11="",IF($EC$13="",INDEX(bhpc_data[sku],SMALL(MATCH(ROW(bhpc_data[sku]),ROW(bhpc_data[sku])),ROWS($A$15:A125)+$B$3)),INDEX(bhpc_data[sku],SMALL(IF(ISNUMBER(MATCH(bhpc_data[size],$EC$13,0)),MATCH(ROW(bhpc_data[sku]),ROW(bhpc_data[sku])),""),ROWS($A$15:A125)+$B$3))),IF($EC$13="",INDEX(bhpc_data[sku],SMALL(IF(ISNUMBER(MATCH(bhpc_data[sex],$EC$11,0)),MATCH(ROW(bhpc_data[sku]),ROW(bhpc_data[sku])),""),ROWS($A$15:A125)+$B$3)),INDEX(bhpc_data[sku],SMALL(IF(ISNUMBER(MATCH(bhpc_data[sex],$EC$11,0)*MATCH(bhpc_data[size],$EC$13,0)),MATCH(ROW(bhpc_data[sku]),ROW(bhpc_data[sku])),""),ROWS($A$15:A125)+$B$3)))),IF($EC$11="",IF($EC$13="",INDEX(bhpc_data[sku],SMALL(IF(ISNUMBER(MATCH(bhpc_data[category],$EC$9,0)),MATCH(ROW(bhpc_data[sku]),ROW(bhpc_data[sku])),""),ROWS($A$15:A125)+$B$3)),INDEX(bhpc_data[sku],SMALL(IF(ISNUMBER(MATCH(bhpc_data[category],$EC$9,0)*MATCH(bhpc_data[size],$EC$13,0)),MATCH(ROW(bhpc_data[sku]),ROW(bhpc_data[sku])),""),ROWS($A$15:A125)+$B$3))),IF($EC$13="",INDEX(bhpc_data[sku],SMALL(IF(ISNUMBER(MATCH(bhpc_data[category],$EC$9,0)*MATCH(bhpc_data[sex],$EC$11,0)),MATCH(ROW(bhpc_data[sku]),ROW(bhpc_data[sku])),""),ROWS($A$15:A125)+$B$3)),INDEX(bhpc_data[sku],SMALL(IF(ISNUMBER(MATCH(bhpc_data[category],$EC$9,0)*MATCH(bhpc_data[sex],$EC$11,0)*MATCH(bhpc_data[size],$EC$13,0)),MATCH(ROW(bhpc_data[sku]),ROW(bhpc_data[sku])),""),ROWS($A$15:A125)+$B$3))))),"")</f>
        <v>GS5030</v>
      </c>
      <c r="EF120" s="446" t="str" cm="1">
        <f t="array" ref="EF120">IFERROR(IF($EC$9="",IF($EC$11="",IF($EC$13="",INDEX(bhpc_data[description],SMALL(MATCH(ROW(bhpc_data[sku]),ROW(bhpc_data[sku])),ROWS($A$15:A125)+$B$3)),INDEX(bhpc_data[description],SMALL(IF(ISNUMBER(MATCH(bhpc_data[size],$EC$13,0)),MATCH(ROW(bhpc_data[sku]),ROW(bhpc_data[sku])),""),ROWS($A$15:A125)+$B$3))),IF($EC$13="",INDEX(bhpc_data[description],SMALL(IF(ISNUMBER(MATCH(bhpc_data[sex],$EC$11,0)),MATCH(ROW(bhpc_data[sku]),ROW(bhpc_data[sku])),""),ROWS($A$15:A125)+$B$3)),INDEX(bhpc_data[description],SMALL(IF(ISNUMBER(MATCH(bhpc_data[sex],$EC$11,0)*MATCH(bhpc_data[size],$EC$13,0)),MATCH(ROW(bhpc_data[sku]),ROW(bhpc_data[sku])),""),ROWS($A$15:A125)+$B$3)))),IF($EC$11="",IF($EC$13="",INDEX(bhpc_data[description],SMALL(IF(ISNUMBER(MATCH(bhpc_data[category],$EC$9,0)),MATCH(ROW(bhpc_data[sku]),ROW(bhpc_data[sku])),""),ROWS($A$15:A125)+$B$3)),INDEX(bhpc_data[description],SMALL(IF(ISNUMBER(MATCH(bhpc_data[category],$EC$9,0)*MATCH(bhpc_data[size],$EC$13,0)),MATCH(ROW(bhpc_data[sku]),ROW(bhpc_data[sku])),""),ROWS($A$15:A125)+$B$3))),IF($EC$13="",INDEX(bhpc_data[description],SMALL(IF(ISNUMBER(MATCH(bhpc_data[category],$EC$9,0)*MATCH(bhpc_data[sex],$EC$11,0)),MATCH(ROW(bhpc_data[sku]),ROW(bhpc_data[sku])),""),ROWS($A$15:A125)+$B$3)),INDEX(bhpc_data[description],SMALL(IF(ISNUMBER(MATCH(bhpc_data[category],$EC$9,0)*MATCH(bhpc_data[sex],$EC$11,0)*MATCH(bhpc_data[size],$EC$13,0)),MATCH(ROW(bhpc_data[sku]),ROW(bhpc_data[sku])),""),ROWS($A$15:A125)+$B$3))))),"")</f>
        <v>BHPC GIFT SET WOMEN 8 EDP 50ML + DEO 150ML</v>
      </c>
      <c r="EG120" s="447">
        <f>IFERROR(IF('BHPC MANAGER'!$EE120="","",INDEX(inventory[ESISTENZA],MATCH('BHPC MANAGER'!$EE120,inventory[SKU],0))),0)</f>
        <v>1110</v>
      </c>
      <c r="EH120" s="448">
        <v>-1105</v>
      </c>
      <c r="EI120" s="448">
        <f t="shared" si="14"/>
        <v>5</v>
      </c>
      <c r="EJ120" s="449">
        <v>0</v>
      </c>
      <c r="EK120" s="450">
        <f t="shared" si="15"/>
        <v>5</v>
      </c>
    </row>
    <row r="121" spans="63:141" x14ac:dyDescent="0.35">
      <c r="BK121" s="296"/>
      <c r="BL121" s="297"/>
      <c r="BM121" s="298"/>
      <c r="BN121" s="297"/>
      <c r="BO121" s="298"/>
      <c r="EE121" s="439" t="str" cm="1">
        <f t="array" ref="EE121">IFERROR(IF($EC$9="",IF($EC$11="",IF($EC$13="",INDEX(bhpc_data[sku],SMALL(MATCH(ROW(bhpc_data[sku]),ROW(bhpc_data[sku])),ROWS($A$15:A126)+$B$3)),INDEX(bhpc_data[sku],SMALL(IF(ISNUMBER(MATCH(bhpc_data[size],$EC$13,0)),MATCH(ROW(bhpc_data[sku]),ROW(bhpc_data[sku])),""),ROWS($A$15:A126)+$B$3))),IF($EC$13="",INDEX(bhpc_data[sku],SMALL(IF(ISNUMBER(MATCH(bhpc_data[sex],$EC$11,0)),MATCH(ROW(bhpc_data[sku]),ROW(bhpc_data[sku])),""),ROWS($A$15:A126)+$B$3)),INDEX(bhpc_data[sku],SMALL(IF(ISNUMBER(MATCH(bhpc_data[sex],$EC$11,0)*MATCH(bhpc_data[size],$EC$13,0)),MATCH(ROW(bhpc_data[sku]),ROW(bhpc_data[sku])),""),ROWS($A$15:A126)+$B$3)))),IF($EC$11="",IF($EC$13="",INDEX(bhpc_data[sku],SMALL(IF(ISNUMBER(MATCH(bhpc_data[category],$EC$9,0)),MATCH(ROW(bhpc_data[sku]),ROW(bhpc_data[sku])),""),ROWS($A$15:A126)+$B$3)),INDEX(bhpc_data[sku],SMALL(IF(ISNUMBER(MATCH(bhpc_data[category],$EC$9,0)*MATCH(bhpc_data[size],$EC$13,0)),MATCH(ROW(bhpc_data[sku]),ROW(bhpc_data[sku])),""),ROWS($A$15:A126)+$B$3))),IF($EC$13="",INDEX(bhpc_data[sku],SMALL(IF(ISNUMBER(MATCH(bhpc_data[category],$EC$9,0)*MATCH(bhpc_data[sex],$EC$11,0)),MATCH(ROW(bhpc_data[sku]),ROW(bhpc_data[sku])),""),ROWS($A$15:A126)+$B$3)),INDEX(bhpc_data[sku],SMALL(IF(ISNUMBER(MATCH(bhpc_data[category],$EC$9,0)*MATCH(bhpc_data[sex],$EC$11,0)*MATCH(bhpc_data[size],$EC$13,0)),MATCH(ROW(bhpc_data[sku]),ROW(bhpc_data[sku])),""),ROWS($A$15:A126)+$B$3))))),"")</f>
        <v>GS5031</v>
      </c>
      <c r="EF121" s="440" t="str" cm="1">
        <f t="array" ref="EF121">IFERROR(IF($EC$9="",IF($EC$11="",IF($EC$13="",INDEX(bhpc_data[description],SMALL(MATCH(ROW(bhpc_data[sku]),ROW(bhpc_data[sku])),ROWS($A$15:A126)+$B$3)),INDEX(bhpc_data[description],SMALL(IF(ISNUMBER(MATCH(bhpc_data[size],$EC$13,0)),MATCH(ROW(bhpc_data[sku]),ROW(bhpc_data[sku])),""),ROWS($A$15:A126)+$B$3))),IF($EC$13="",INDEX(bhpc_data[description],SMALL(IF(ISNUMBER(MATCH(bhpc_data[sex],$EC$11,0)),MATCH(ROW(bhpc_data[sku]),ROW(bhpc_data[sku])),""),ROWS($A$15:A126)+$B$3)),INDEX(bhpc_data[description],SMALL(IF(ISNUMBER(MATCH(bhpc_data[sex],$EC$11,0)*MATCH(bhpc_data[size],$EC$13,0)),MATCH(ROW(bhpc_data[sku]),ROW(bhpc_data[sku])),""),ROWS($A$15:A126)+$B$3)))),IF($EC$11="",IF($EC$13="",INDEX(bhpc_data[description],SMALL(IF(ISNUMBER(MATCH(bhpc_data[category],$EC$9,0)),MATCH(ROW(bhpc_data[sku]),ROW(bhpc_data[sku])),""),ROWS($A$15:A126)+$B$3)),INDEX(bhpc_data[description],SMALL(IF(ISNUMBER(MATCH(bhpc_data[category],$EC$9,0)*MATCH(bhpc_data[size],$EC$13,0)),MATCH(ROW(bhpc_data[sku]),ROW(bhpc_data[sku])),""),ROWS($A$15:A126)+$B$3))),IF($EC$13="",INDEX(bhpc_data[description],SMALL(IF(ISNUMBER(MATCH(bhpc_data[category],$EC$9,0)*MATCH(bhpc_data[sex],$EC$11,0)),MATCH(ROW(bhpc_data[sku]),ROW(bhpc_data[sku])),""),ROWS($A$15:A126)+$B$3)),INDEX(bhpc_data[description],SMALL(IF(ISNUMBER(MATCH(bhpc_data[category],$EC$9,0)*MATCH(bhpc_data[sex],$EC$11,0)*MATCH(bhpc_data[size],$EC$13,0)),MATCH(ROW(bhpc_data[sku]),ROW(bhpc_data[sku])),""),ROWS($A$15:A126)+$B$3))))),"")</f>
        <v>BHPC GIFT SET WOMEN 2 EDP 50ML + DEO 150ML</v>
      </c>
      <c r="EG121" s="441">
        <f>IFERROR(IF('BHPC MANAGER'!$EE121="","",INDEX(inventory[ESISTENZA],MATCH('BHPC MANAGER'!$EE121,inventory[SKU],0))),0)</f>
        <v>1111</v>
      </c>
      <c r="EH121" s="442">
        <v>-1105</v>
      </c>
      <c r="EI121" s="442">
        <f t="shared" si="14"/>
        <v>6</v>
      </c>
      <c r="EJ121" s="443">
        <v>0</v>
      </c>
      <c r="EK121" s="444">
        <f t="shared" si="15"/>
        <v>6</v>
      </c>
    </row>
    <row r="122" spans="63:141" x14ac:dyDescent="0.35">
      <c r="BK122" s="296"/>
      <c r="BL122" s="297"/>
      <c r="BM122" s="298"/>
      <c r="BN122" s="297"/>
      <c r="BO122" s="298"/>
      <c r="EE122" s="445" t="str" cm="1">
        <f t="array" ref="EE122">IFERROR(IF($EC$9="",IF($EC$11="",IF($EC$13="",INDEX(bhpc_data[sku],SMALL(MATCH(ROW(bhpc_data[sku]),ROW(bhpc_data[sku])),ROWS($A$15:A127)+$B$3)),INDEX(bhpc_data[sku],SMALL(IF(ISNUMBER(MATCH(bhpc_data[size],$EC$13,0)),MATCH(ROW(bhpc_data[sku]),ROW(bhpc_data[sku])),""),ROWS($A$15:A127)+$B$3))),IF($EC$13="",INDEX(bhpc_data[sku],SMALL(IF(ISNUMBER(MATCH(bhpc_data[sex],$EC$11,0)),MATCH(ROW(bhpc_data[sku]),ROW(bhpc_data[sku])),""),ROWS($A$15:A127)+$B$3)),INDEX(bhpc_data[sku],SMALL(IF(ISNUMBER(MATCH(bhpc_data[sex],$EC$11,0)*MATCH(bhpc_data[size],$EC$13,0)),MATCH(ROW(bhpc_data[sku]),ROW(bhpc_data[sku])),""),ROWS($A$15:A127)+$B$3)))),IF($EC$11="",IF($EC$13="",INDEX(bhpc_data[sku],SMALL(IF(ISNUMBER(MATCH(bhpc_data[category],$EC$9,0)),MATCH(ROW(bhpc_data[sku]),ROW(bhpc_data[sku])),""),ROWS($A$15:A127)+$B$3)),INDEX(bhpc_data[sku],SMALL(IF(ISNUMBER(MATCH(bhpc_data[category],$EC$9,0)*MATCH(bhpc_data[size],$EC$13,0)),MATCH(ROW(bhpc_data[sku]),ROW(bhpc_data[sku])),""),ROWS($A$15:A127)+$B$3))),IF($EC$13="",INDEX(bhpc_data[sku],SMALL(IF(ISNUMBER(MATCH(bhpc_data[category],$EC$9,0)*MATCH(bhpc_data[sex],$EC$11,0)),MATCH(ROW(bhpc_data[sku]),ROW(bhpc_data[sku])),""),ROWS($A$15:A127)+$B$3)),INDEX(bhpc_data[sku],SMALL(IF(ISNUMBER(MATCH(bhpc_data[category],$EC$9,0)*MATCH(bhpc_data[sex],$EC$11,0)*MATCH(bhpc_data[size],$EC$13,0)),MATCH(ROW(bhpc_data[sku]),ROW(bhpc_data[sku])),""),ROWS($A$15:A127)+$B$3))))),"")</f>
        <v>GS7020</v>
      </c>
      <c r="EF122" s="446" t="str" cm="1">
        <f t="array" ref="EF122">IFERROR(IF($EC$9="",IF($EC$11="",IF($EC$13="",INDEX(bhpc_data[description],SMALL(MATCH(ROW(bhpc_data[sku]),ROW(bhpc_data[sku])),ROWS($A$15:A127)+$B$3)),INDEX(bhpc_data[description],SMALL(IF(ISNUMBER(MATCH(bhpc_data[size],$EC$13,0)),MATCH(ROW(bhpc_data[sku]),ROW(bhpc_data[sku])),""),ROWS($A$15:A127)+$B$3))),IF($EC$13="",INDEX(bhpc_data[description],SMALL(IF(ISNUMBER(MATCH(bhpc_data[sex],$EC$11,0)),MATCH(ROW(bhpc_data[sku]),ROW(bhpc_data[sku])),""),ROWS($A$15:A127)+$B$3)),INDEX(bhpc_data[description],SMALL(IF(ISNUMBER(MATCH(bhpc_data[sex],$EC$11,0)*MATCH(bhpc_data[size],$EC$13,0)),MATCH(ROW(bhpc_data[sku]),ROW(bhpc_data[sku])),""),ROWS($A$15:A127)+$B$3)))),IF($EC$11="",IF($EC$13="",INDEX(bhpc_data[description],SMALL(IF(ISNUMBER(MATCH(bhpc_data[category],$EC$9,0)),MATCH(ROW(bhpc_data[sku]),ROW(bhpc_data[sku])),""),ROWS($A$15:A127)+$B$3)),INDEX(bhpc_data[description],SMALL(IF(ISNUMBER(MATCH(bhpc_data[category],$EC$9,0)*MATCH(bhpc_data[size],$EC$13,0)),MATCH(ROW(bhpc_data[sku]),ROW(bhpc_data[sku])),""),ROWS($A$15:A127)+$B$3))),IF($EC$13="",INDEX(bhpc_data[description],SMALL(IF(ISNUMBER(MATCH(bhpc_data[category],$EC$9,0)*MATCH(bhpc_data[sex],$EC$11,0)),MATCH(ROW(bhpc_data[sku]),ROW(bhpc_data[sku])),""),ROWS($A$15:A127)+$B$3)),INDEX(bhpc_data[description],SMALL(IF(ISNUMBER(MATCH(bhpc_data[category],$EC$9,0)*MATCH(bhpc_data[sex],$EC$11,0)*MATCH(bhpc_data[size],$EC$13,0)),MATCH(ROW(bhpc_data[sku]),ROW(bhpc_data[sku])),""),ROWS($A$15:A127)+$B$3))))),"")</f>
        <v>BHPC GIFT SET MEN #1 EDT50ML+DEO175ML+ROLLON50ML</v>
      </c>
      <c r="EG122" s="447">
        <f>IFERROR(IF('BHPC MANAGER'!$EE122="","",INDEX(inventory[ESISTENZA],MATCH('BHPC MANAGER'!$EE122,inventory[SKU],0))),0)</f>
        <v>113</v>
      </c>
      <c r="EH122" s="448">
        <v>-110</v>
      </c>
      <c r="EI122" s="448">
        <f t="shared" si="14"/>
        <v>3</v>
      </c>
      <c r="EJ122" s="449">
        <v>0</v>
      </c>
      <c r="EK122" s="450">
        <f t="shared" si="15"/>
        <v>3</v>
      </c>
    </row>
    <row r="123" spans="63:141" x14ac:dyDescent="0.35">
      <c r="BK123" s="296"/>
      <c r="BL123" s="297"/>
      <c r="BM123" s="298"/>
      <c r="BN123" s="297"/>
      <c r="BO123" s="298"/>
      <c r="EE123" s="439" t="str" cm="1">
        <f t="array" ref="EE123">IFERROR(IF($EC$9="",IF($EC$11="",IF($EC$13="",INDEX(bhpc_data[sku],SMALL(MATCH(ROW(bhpc_data[sku]),ROW(bhpc_data[sku])),ROWS($A$15:A128)+$B$3)),INDEX(bhpc_data[sku],SMALL(IF(ISNUMBER(MATCH(bhpc_data[size],$EC$13,0)),MATCH(ROW(bhpc_data[sku]),ROW(bhpc_data[sku])),""),ROWS($A$15:A128)+$B$3))),IF($EC$13="",INDEX(bhpc_data[sku],SMALL(IF(ISNUMBER(MATCH(bhpc_data[sex],$EC$11,0)),MATCH(ROW(bhpc_data[sku]),ROW(bhpc_data[sku])),""),ROWS($A$15:A128)+$B$3)),INDEX(bhpc_data[sku],SMALL(IF(ISNUMBER(MATCH(bhpc_data[sex],$EC$11,0)*MATCH(bhpc_data[size],$EC$13,0)),MATCH(ROW(bhpc_data[sku]),ROW(bhpc_data[sku])),""),ROWS($A$15:A128)+$B$3)))),IF($EC$11="",IF($EC$13="",INDEX(bhpc_data[sku],SMALL(IF(ISNUMBER(MATCH(bhpc_data[category],$EC$9,0)),MATCH(ROW(bhpc_data[sku]),ROW(bhpc_data[sku])),""),ROWS($A$15:A128)+$B$3)),INDEX(bhpc_data[sku],SMALL(IF(ISNUMBER(MATCH(bhpc_data[category],$EC$9,0)*MATCH(bhpc_data[size],$EC$13,0)),MATCH(ROW(bhpc_data[sku]),ROW(bhpc_data[sku])),""),ROWS($A$15:A128)+$B$3))),IF($EC$13="",INDEX(bhpc_data[sku],SMALL(IF(ISNUMBER(MATCH(bhpc_data[category],$EC$9,0)*MATCH(bhpc_data[sex],$EC$11,0)),MATCH(ROW(bhpc_data[sku]),ROW(bhpc_data[sku])),""),ROWS($A$15:A128)+$B$3)),INDEX(bhpc_data[sku],SMALL(IF(ISNUMBER(MATCH(bhpc_data[category],$EC$9,0)*MATCH(bhpc_data[sex],$EC$11,0)*MATCH(bhpc_data[size],$EC$13,0)),MATCH(ROW(bhpc_data[sku]),ROW(bhpc_data[sku])),""),ROWS($A$15:A128)+$B$3))))),"")</f>
        <v>GS7021</v>
      </c>
      <c r="EF123" s="440" t="str" cm="1">
        <f t="array" ref="EF123">IFERROR(IF($EC$9="",IF($EC$11="",IF($EC$13="",INDEX(bhpc_data[description],SMALL(MATCH(ROW(bhpc_data[sku]),ROW(bhpc_data[sku])),ROWS($A$15:A128)+$B$3)),INDEX(bhpc_data[description],SMALL(IF(ISNUMBER(MATCH(bhpc_data[size],$EC$13,0)),MATCH(ROW(bhpc_data[sku]),ROW(bhpc_data[sku])),""),ROWS($A$15:A128)+$B$3))),IF($EC$13="",INDEX(bhpc_data[description],SMALL(IF(ISNUMBER(MATCH(bhpc_data[sex],$EC$11,0)),MATCH(ROW(bhpc_data[sku]),ROW(bhpc_data[sku])),""),ROWS($A$15:A128)+$B$3)),INDEX(bhpc_data[description],SMALL(IF(ISNUMBER(MATCH(bhpc_data[sex],$EC$11,0)*MATCH(bhpc_data[size],$EC$13,0)),MATCH(ROW(bhpc_data[sku]),ROW(bhpc_data[sku])),""),ROWS($A$15:A128)+$B$3)))),IF($EC$11="",IF($EC$13="",INDEX(bhpc_data[description],SMALL(IF(ISNUMBER(MATCH(bhpc_data[category],$EC$9,0)),MATCH(ROW(bhpc_data[sku]),ROW(bhpc_data[sku])),""),ROWS($A$15:A128)+$B$3)),INDEX(bhpc_data[description],SMALL(IF(ISNUMBER(MATCH(bhpc_data[category],$EC$9,0)*MATCH(bhpc_data[size],$EC$13,0)),MATCH(ROW(bhpc_data[sku]),ROW(bhpc_data[sku])),""),ROWS($A$15:A128)+$B$3))),IF($EC$13="",INDEX(bhpc_data[description],SMALL(IF(ISNUMBER(MATCH(bhpc_data[category],$EC$9,0)*MATCH(bhpc_data[sex],$EC$11,0)),MATCH(ROW(bhpc_data[sku]),ROW(bhpc_data[sku])),""),ROWS($A$15:A128)+$B$3)),INDEX(bhpc_data[description],SMALL(IF(ISNUMBER(MATCH(bhpc_data[category],$EC$9,0)*MATCH(bhpc_data[sex],$EC$11,0)*MATCH(bhpc_data[size],$EC$13,0)),MATCH(ROW(bhpc_data[sku]),ROW(bhpc_data[sku])),""),ROWS($A$15:A128)+$B$3))))),"")</f>
        <v>BHPC GIFT SET MEN #9 EDT50ML+DEO175ML+ROLLON50ML</v>
      </c>
      <c r="EG123" s="441">
        <f>IFERROR(IF('BHPC MANAGER'!$EE123="","",INDEX(inventory[ESISTENZA],MATCH('BHPC MANAGER'!$EE123,inventory[SKU],0))),0)</f>
        <v>289</v>
      </c>
      <c r="EH123" s="442">
        <v>-87</v>
      </c>
      <c r="EI123" s="442">
        <f t="shared" si="14"/>
        <v>202</v>
      </c>
      <c r="EJ123" s="443">
        <v>0</v>
      </c>
      <c r="EK123" s="444">
        <f t="shared" si="15"/>
        <v>202</v>
      </c>
    </row>
    <row r="124" spans="63:141" x14ac:dyDescent="0.35">
      <c r="BK124" s="296"/>
      <c r="BL124" s="297"/>
      <c r="BM124" s="298"/>
      <c r="BN124" s="297"/>
      <c r="BO124" s="298"/>
      <c r="EE124" s="445" t="str" cm="1">
        <f t="array" ref="EE124">IFERROR(IF($EC$9="",IF($EC$11="",IF($EC$13="",INDEX(bhpc_data[sku],SMALL(MATCH(ROW(bhpc_data[sku]),ROW(bhpc_data[sku])),ROWS($A$15:A129)+$B$3)),INDEX(bhpc_data[sku],SMALL(IF(ISNUMBER(MATCH(bhpc_data[size],$EC$13,0)),MATCH(ROW(bhpc_data[sku]),ROW(bhpc_data[sku])),""),ROWS($A$15:A129)+$B$3))),IF($EC$13="",INDEX(bhpc_data[sku],SMALL(IF(ISNUMBER(MATCH(bhpc_data[sex],$EC$11,0)),MATCH(ROW(bhpc_data[sku]),ROW(bhpc_data[sku])),""),ROWS($A$15:A129)+$B$3)),INDEX(bhpc_data[sku],SMALL(IF(ISNUMBER(MATCH(bhpc_data[sex],$EC$11,0)*MATCH(bhpc_data[size],$EC$13,0)),MATCH(ROW(bhpc_data[sku]),ROW(bhpc_data[sku])),""),ROWS($A$15:A129)+$B$3)))),IF($EC$11="",IF($EC$13="",INDEX(bhpc_data[sku],SMALL(IF(ISNUMBER(MATCH(bhpc_data[category],$EC$9,0)),MATCH(ROW(bhpc_data[sku]),ROW(bhpc_data[sku])),""),ROWS($A$15:A129)+$B$3)),INDEX(bhpc_data[sku],SMALL(IF(ISNUMBER(MATCH(bhpc_data[category],$EC$9,0)*MATCH(bhpc_data[size],$EC$13,0)),MATCH(ROW(bhpc_data[sku]),ROW(bhpc_data[sku])),""),ROWS($A$15:A129)+$B$3))),IF($EC$13="",INDEX(bhpc_data[sku],SMALL(IF(ISNUMBER(MATCH(bhpc_data[category],$EC$9,0)*MATCH(bhpc_data[sex],$EC$11,0)),MATCH(ROW(bhpc_data[sku]),ROW(bhpc_data[sku])),""),ROWS($A$15:A129)+$B$3)),INDEX(bhpc_data[sku],SMALL(IF(ISNUMBER(MATCH(bhpc_data[category],$EC$9,0)*MATCH(bhpc_data[sex],$EC$11,0)*MATCH(bhpc_data[size],$EC$13,0)),MATCH(ROW(bhpc_data[sku]),ROW(bhpc_data[sku])),""),ROWS($A$15:A129)+$B$3))))),"")</f>
        <v>GS7022</v>
      </c>
      <c r="EF124" s="446" t="str" cm="1">
        <f t="array" ref="EF124">IFERROR(IF($EC$9="",IF($EC$11="",IF($EC$13="",INDEX(bhpc_data[description],SMALL(MATCH(ROW(bhpc_data[sku]),ROW(bhpc_data[sku])),ROWS($A$15:A129)+$B$3)),INDEX(bhpc_data[description],SMALL(IF(ISNUMBER(MATCH(bhpc_data[size],$EC$13,0)),MATCH(ROW(bhpc_data[sku]),ROW(bhpc_data[sku])),""),ROWS($A$15:A129)+$B$3))),IF($EC$13="",INDEX(bhpc_data[description],SMALL(IF(ISNUMBER(MATCH(bhpc_data[sex],$EC$11,0)),MATCH(ROW(bhpc_data[sku]),ROW(bhpc_data[sku])),""),ROWS($A$15:A129)+$B$3)),INDEX(bhpc_data[description],SMALL(IF(ISNUMBER(MATCH(bhpc_data[sex],$EC$11,0)*MATCH(bhpc_data[size],$EC$13,0)),MATCH(ROW(bhpc_data[sku]),ROW(bhpc_data[sku])),""),ROWS($A$15:A129)+$B$3)))),IF($EC$11="",IF($EC$13="",INDEX(bhpc_data[description],SMALL(IF(ISNUMBER(MATCH(bhpc_data[category],$EC$9,0)),MATCH(ROW(bhpc_data[sku]),ROW(bhpc_data[sku])),""),ROWS($A$15:A129)+$B$3)),INDEX(bhpc_data[description],SMALL(IF(ISNUMBER(MATCH(bhpc_data[category],$EC$9,0)*MATCH(bhpc_data[size],$EC$13,0)),MATCH(ROW(bhpc_data[sku]),ROW(bhpc_data[sku])),""),ROWS($A$15:A129)+$B$3))),IF($EC$13="",INDEX(bhpc_data[description],SMALL(IF(ISNUMBER(MATCH(bhpc_data[category],$EC$9,0)*MATCH(bhpc_data[sex],$EC$11,0)),MATCH(ROW(bhpc_data[sku]),ROW(bhpc_data[sku])),""),ROWS($A$15:A129)+$B$3)),INDEX(bhpc_data[description],SMALL(IF(ISNUMBER(MATCH(bhpc_data[category],$EC$9,0)*MATCH(bhpc_data[sex],$EC$11,0)*MATCH(bhpc_data[size],$EC$13,0)),MATCH(ROW(bhpc_data[sku]),ROW(bhpc_data[sku])),""),ROWS($A$15:A129)+$B$3))))),"")</f>
        <v>BHPC GIFT SET MEN #8 EDT50ML+DEO175ML+ROLLON50ML</v>
      </c>
      <c r="EG124" s="447">
        <f>IFERROR(IF('BHPC MANAGER'!$EE124="","",INDEX(inventory[ESISTENZA],MATCH('BHPC MANAGER'!$EE124,inventory[SKU],0))),0)</f>
        <v>269</v>
      </c>
      <c r="EH124" s="448">
        <v>-97</v>
      </c>
      <c r="EI124" s="448">
        <f t="shared" si="14"/>
        <v>172</v>
      </c>
      <c r="EJ124" s="449">
        <v>0</v>
      </c>
      <c r="EK124" s="450">
        <f t="shared" si="15"/>
        <v>172</v>
      </c>
    </row>
    <row r="125" spans="63:141" x14ac:dyDescent="0.35">
      <c r="BK125" s="296"/>
      <c r="BL125" s="297"/>
      <c r="BM125" s="298"/>
      <c r="BN125" s="297"/>
      <c r="BO125" s="298"/>
      <c r="EE125" s="439" t="str" cm="1">
        <f t="array" ref="EE125">IFERROR(IF($EC$9="",IF($EC$11="",IF($EC$13="",INDEX(bhpc_data[sku],SMALL(MATCH(ROW(bhpc_data[sku]),ROW(bhpc_data[sku])),ROWS($A$15:A130)+$B$3)),INDEX(bhpc_data[sku],SMALL(IF(ISNUMBER(MATCH(bhpc_data[size],$EC$13,0)),MATCH(ROW(bhpc_data[sku]),ROW(bhpc_data[sku])),""),ROWS($A$15:A130)+$B$3))),IF($EC$13="",INDEX(bhpc_data[sku],SMALL(IF(ISNUMBER(MATCH(bhpc_data[sex],$EC$11,0)),MATCH(ROW(bhpc_data[sku]),ROW(bhpc_data[sku])),""),ROWS($A$15:A130)+$B$3)),INDEX(bhpc_data[sku],SMALL(IF(ISNUMBER(MATCH(bhpc_data[sex],$EC$11,0)*MATCH(bhpc_data[size],$EC$13,0)),MATCH(ROW(bhpc_data[sku]),ROW(bhpc_data[sku])),""),ROWS($A$15:A130)+$B$3)))),IF($EC$11="",IF($EC$13="",INDEX(bhpc_data[sku],SMALL(IF(ISNUMBER(MATCH(bhpc_data[category],$EC$9,0)),MATCH(ROW(bhpc_data[sku]),ROW(bhpc_data[sku])),""),ROWS($A$15:A130)+$B$3)),INDEX(bhpc_data[sku],SMALL(IF(ISNUMBER(MATCH(bhpc_data[category],$EC$9,0)*MATCH(bhpc_data[size],$EC$13,0)),MATCH(ROW(bhpc_data[sku]),ROW(bhpc_data[sku])),""),ROWS($A$15:A130)+$B$3))),IF($EC$13="",INDEX(bhpc_data[sku],SMALL(IF(ISNUMBER(MATCH(bhpc_data[category],$EC$9,0)*MATCH(bhpc_data[sex],$EC$11,0)),MATCH(ROW(bhpc_data[sku]),ROW(bhpc_data[sku])),""),ROWS($A$15:A130)+$B$3)),INDEX(bhpc_data[sku],SMALL(IF(ISNUMBER(MATCH(bhpc_data[category],$EC$9,0)*MATCH(bhpc_data[sex],$EC$11,0)*MATCH(bhpc_data[size],$EC$13,0)),MATCH(ROW(bhpc_data[sku]),ROW(bhpc_data[sku])),""),ROWS($A$15:A130)+$B$3))))),"")</f>
        <v>GS7023</v>
      </c>
      <c r="EF125" s="440" t="str" cm="1">
        <f t="array" ref="EF125">IFERROR(IF($EC$9="",IF($EC$11="",IF($EC$13="",INDEX(bhpc_data[description],SMALL(MATCH(ROW(bhpc_data[sku]),ROW(bhpc_data[sku])),ROWS($A$15:A130)+$B$3)),INDEX(bhpc_data[description],SMALL(IF(ISNUMBER(MATCH(bhpc_data[size],$EC$13,0)),MATCH(ROW(bhpc_data[sku]),ROW(bhpc_data[sku])),""),ROWS($A$15:A130)+$B$3))),IF($EC$13="",INDEX(bhpc_data[description],SMALL(IF(ISNUMBER(MATCH(bhpc_data[sex],$EC$11,0)),MATCH(ROW(bhpc_data[sku]),ROW(bhpc_data[sku])),""),ROWS($A$15:A130)+$B$3)),INDEX(bhpc_data[description],SMALL(IF(ISNUMBER(MATCH(bhpc_data[sex],$EC$11,0)*MATCH(bhpc_data[size],$EC$13,0)),MATCH(ROW(bhpc_data[sku]),ROW(bhpc_data[sku])),""),ROWS($A$15:A130)+$B$3)))),IF($EC$11="",IF($EC$13="",INDEX(bhpc_data[description],SMALL(IF(ISNUMBER(MATCH(bhpc_data[category],$EC$9,0)),MATCH(ROW(bhpc_data[sku]),ROW(bhpc_data[sku])),""),ROWS($A$15:A130)+$B$3)),INDEX(bhpc_data[description],SMALL(IF(ISNUMBER(MATCH(bhpc_data[category],$EC$9,0)*MATCH(bhpc_data[size],$EC$13,0)),MATCH(ROW(bhpc_data[sku]),ROW(bhpc_data[sku])),""),ROWS($A$15:A130)+$B$3))),IF($EC$13="",INDEX(bhpc_data[description],SMALL(IF(ISNUMBER(MATCH(bhpc_data[category],$EC$9,0)*MATCH(bhpc_data[sex],$EC$11,0)),MATCH(ROW(bhpc_data[sku]),ROW(bhpc_data[sku])),""),ROWS($A$15:A130)+$B$3)),INDEX(bhpc_data[description],SMALL(IF(ISNUMBER(MATCH(bhpc_data[category],$EC$9,0)*MATCH(bhpc_data[sex],$EC$11,0)*MATCH(bhpc_data[size],$EC$13,0)),MATCH(ROW(bhpc_data[sku]),ROW(bhpc_data[sku])),""),ROWS($A$15:A130)+$B$3))))),"")</f>
        <v>BHPC GIFT SET MEN #2 EDT50ML+DEO175ML+ROLLON50ML</v>
      </c>
      <c r="EG125" s="441">
        <f>IFERROR(IF('BHPC MANAGER'!$EE125="","",INDEX(inventory[ESISTENZA],MATCH('BHPC MANAGER'!$EE125,inventory[SKU],0))),0)</f>
        <v>72</v>
      </c>
      <c r="EH125" s="442">
        <v>-67</v>
      </c>
      <c r="EI125" s="442">
        <f t="shared" si="14"/>
        <v>5</v>
      </c>
      <c r="EJ125" s="443">
        <v>0</v>
      </c>
      <c r="EK125" s="444">
        <f t="shared" si="15"/>
        <v>5</v>
      </c>
    </row>
    <row r="126" spans="63:141" x14ac:dyDescent="0.35">
      <c r="BK126" s="296"/>
      <c r="BL126" s="297"/>
      <c r="BM126" s="298"/>
      <c r="BN126" s="297"/>
      <c r="BO126" s="298"/>
      <c r="EE126" s="445" t="str" cm="1">
        <f t="array" ref="EE126">IFERROR(IF($EC$9="",IF($EC$11="",IF($EC$13="",INDEX(bhpc_data[sku],SMALL(MATCH(ROW(bhpc_data[sku]),ROW(bhpc_data[sku])),ROWS($A$15:A131)+$B$3)),INDEX(bhpc_data[sku],SMALL(IF(ISNUMBER(MATCH(bhpc_data[size],$EC$13,0)),MATCH(ROW(bhpc_data[sku]),ROW(bhpc_data[sku])),""),ROWS($A$15:A131)+$B$3))),IF($EC$13="",INDEX(bhpc_data[sku],SMALL(IF(ISNUMBER(MATCH(bhpc_data[sex],$EC$11,0)),MATCH(ROW(bhpc_data[sku]),ROW(bhpc_data[sku])),""),ROWS($A$15:A131)+$B$3)),INDEX(bhpc_data[sku],SMALL(IF(ISNUMBER(MATCH(bhpc_data[sex],$EC$11,0)*MATCH(bhpc_data[size],$EC$13,0)),MATCH(ROW(bhpc_data[sku]),ROW(bhpc_data[sku])),""),ROWS($A$15:A131)+$B$3)))),IF($EC$11="",IF($EC$13="",INDEX(bhpc_data[sku],SMALL(IF(ISNUMBER(MATCH(bhpc_data[category],$EC$9,0)),MATCH(ROW(bhpc_data[sku]),ROW(bhpc_data[sku])),""),ROWS($A$15:A131)+$B$3)),INDEX(bhpc_data[sku],SMALL(IF(ISNUMBER(MATCH(bhpc_data[category],$EC$9,0)*MATCH(bhpc_data[size],$EC$13,0)),MATCH(ROW(bhpc_data[sku]),ROW(bhpc_data[sku])),""),ROWS($A$15:A131)+$B$3))),IF($EC$13="",INDEX(bhpc_data[sku],SMALL(IF(ISNUMBER(MATCH(bhpc_data[category],$EC$9,0)*MATCH(bhpc_data[sex],$EC$11,0)),MATCH(ROW(bhpc_data[sku]),ROW(bhpc_data[sku])),""),ROWS($A$15:A131)+$B$3)),INDEX(bhpc_data[sku],SMALL(IF(ISNUMBER(MATCH(bhpc_data[category],$EC$9,0)*MATCH(bhpc_data[sex],$EC$11,0)*MATCH(bhpc_data[size],$EC$13,0)),MATCH(ROW(bhpc_data[sku]),ROW(bhpc_data[sku])),""),ROWS($A$15:A131)+$B$3))))),"")</f>
        <v>GS7024</v>
      </c>
      <c r="EF126" s="446" t="str" cm="1">
        <f t="array" ref="EF126">IFERROR(IF($EC$9="",IF($EC$11="",IF($EC$13="",INDEX(bhpc_data[description],SMALL(MATCH(ROW(bhpc_data[sku]),ROW(bhpc_data[sku])),ROWS($A$15:A131)+$B$3)),INDEX(bhpc_data[description],SMALL(IF(ISNUMBER(MATCH(bhpc_data[size],$EC$13,0)),MATCH(ROW(bhpc_data[sku]),ROW(bhpc_data[sku])),""),ROWS($A$15:A131)+$B$3))),IF($EC$13="",INDEX(bhpc_data[description],SMALL(IF(ISNUMBER(MATCH(bhpc_data[sex],$EC$11,0)),MATCH(ROW(bhpc_data[sku]),ROW(bhpc_data[sku])),""),ROWS($A$15:A131)+$B$3)),INDEX(bhpc_data[description],SMALL(IF(ISNUMBER(MATCH(bhpc_data[sex],$EC$11,0)*MATCH(bhpc_data[size],$EC$13,0)),MATCH(ROW(bhpc_data[sku]),ROW(bhpc_data[sku])),""),ROWS($A$15:A131)+$B$3)))),IF($EC$11="",IF($EC$13="",INDEX(bhpc_data[description],SMALL(IF(ISNUMBER(MATCH(bhpc_data[category],$EC$9,0)),MATCH(ROW(bhpc_data[sku]),ROW(bhpc_data[sku])),""),ROWS($A$15:A131)+$B$3)),INDEX(bhpc_data[description],SMALL(IF(ISNUMBER(MATCH(bhpc_data[category],$EC$9,0)*MATCH(bhpc_data[size],$EC$13,0)),MATCH(ROW(bhpc_data[sku]),ROW(bhpc_data[sku])),""),ROWS($A$15:A131)+$B$3))),IF($EC$13="",INDEX(bhpc_data[description],SMALL(IF(ISNUMBER(MATCH(bhpc_data[category],$EC$9,0)*MATCH(bhpc_data[sex],$EC$11,0)),MATCH(ROW(bhpc_data[sku]),ROW(bhpc_data[sku])),""),ROWS($A$15:A131)+$B$3)),INDEX(bhpc_data[description],SMALL(IF(ISNUMBER(MATCH(bhpc_data[category],$EC$9,0)*MATCH(bhpc_data[sex],$EC$11,0)*MATCH(bhpc_data[size],$EC$13,0)),MATCH(ROW(bhpc_data[sku]),ROW(bhpc_data[sku])),""),ROWS($A$15:A131)+$B$3))))),"")</f>
        <v>BHPC GIFT SET WOMEN #1 EDP50ML+DEO150ML+ROLLON50ML</v>
      </c>
      <c r="EG126" s="447">
        <f>IFERROR(IF('BHPC MANAGER'!$EE126="","",INDEX(inventory[ESISTENZA],MATCH('BHPC MANAGER'!$EE126,inventory[SKU],0))),0)</f>
        <v>6</v>
      </c>
      <c r="EH126" s="448">
        <v>0</v>
      </c>
      <c r="EI126" s="448">
        <f t="shared" si="14"/>
        <v>6</v>
      </c>
      <c r="EJ126" s="449">
        <v>0</v>
      </c>
      <c r="EK126" s="450">
        <f t="shared" si="15"/>
        <v>6</v>
      </c>
    </row>
    <row r="127" spans="63:141" x14ac:dyDescent="0.35">
      <c r="BK127" s="296"/>
      <c r="BL127" s="297"/>
      <c r="BM127" s="298"/>
      <c r="BN127" s="297"/>
      <c r="BO127" s="298"/>
      <c r="EE127" s="439" t="str" cm="1">
        <f t="array" ref="EE127">IFERROR(IF($EC$9="",IF($EC$11="",IF($EC$13="",INDEX(bhpc_data[sku],SMALL(MATCH(ROW(bhpc_data[sku]),ROW(bhpc_data[sku])),ROWS($A$15:A132)+$B$3)),INDEX(bhpc_data[sku],SMALL(IF(ISNUMBER(MATCH(bhpc_data[size],$EC$13,0)),MATCH(ROW(bhpc_data[sku]),ROW(bhpc_data[sku])),""),ROWS($A$15:A132)+$B$3))),IF($EC$13="",INDEX(bhpc_data[sku],SMALL(IF(ISNUMBER(MATCH(bhpc_data[sex],$EC$11,0)),MATCH(ROW(bhpc_data[sku]),ROW(bhpc_data[sku])),""),ROWS($A$15:A132)+$B$3)),INDEX(bhpc_data[sku],SMALL(IF(ISNUMBER(MATCH(bhpc_data[sex],$EC$11,0)*MATCH(bhpc_data[size],$EC$13,0)),MATCH(ROW(bhpc_data[sku]),ROW(bhpc_data[sku])),""),ROWS($A$15:A132)+$B$3)))),IF($EC$11="",IF($EC$13="",INDEX(bhpc_data[sku],SMALL(IF(ISNUMBER(MATCH(bhpc_data[category],$EC$9,0)),MATCH(ROW(bhpc_data[sku]),ROW(bhpc_data[sku])),""),ROWS($A$15:A132)+$B$3)),INDEX(bhpc_data[sku],SMALL(IF(ISNUMBER(MATCH(bhpc_data[category],$EC$9,0)*MATCH(bhpc_data[size],$EC$13,0)),MATCH(ROW(bhpc_data[sku]),ROW(bhpc_data[sku])),""),ROWS($A$15:A132)+$B$3))),IF($EC$13="",INDEX(bhpc_data[sku],SMALL(IF(ISNUMBER(MATCH(bhpc_data[category],$EC$9,0)*MATCH(bhpc_data[sex],$EC$11,0)),MATCH(ROW(bhpc_data[sku]),ROW(bhpc_data[sku])),""),ROWS($A$15:A132)+$B$3)),INDEX(bhpc_data[sku],SMALL(IF(ISNUMBER(MATCH(bhpc_data[category],$EC$9,0)*MATCH(bhpc_data[sex],$EC$11,0)*MATCH(bhpc_data[size],$EC$13,0)),MATCH(ROW(bhpc_data[sku]),ROW(bhpc_data[sku])),""),ROWS($A$15:A132)+$B$3))))),"")</f>
        <v>GS7025</v>
      </c>
      <c r="EF127" s="440" t="str" cm="1">
        <f t="array" ref="EF127">IFERROR(IF($EC$9="",IF($EC$11="",IF($EC$13="",INDEX(bhpc_data[description],SMALL(MATCH(ROW(bhpc_data[sku]),ROW(bhpc_data[sku])),ROWS($A$15:A132)+$B$3)),INDEX(bhpc_data[description],SMALL(IF(ISNUMBER(MATCH(bhpc_data[size],$EC$13,0)),MATCH(ROW(bhpc_data[sku]),ROW(bhpc_data[sku])),""),ROWS($A$15:A132)+$B$3))),IF($EC$13="",INDEX(bhpc_data[description],SMALL(IF(ISNUMBER(MATCH(bhpc_data[sex],$EC$11,0)),MATCH(ROW(bhpc_data[sku]),ROW(bhpc_data[sku])),""),ROWS($A$15:A132)+$B$3)),INDEX(bhpc_data[description],SMALL(IF(ISNUMBER(MATCH(bhpc_data[sex],$EC$11,0)*MATCH(bhpc_data[size],$EC$13,0)),MATCH(ROW(bhpc_data[sku]),ROW(bhpc_data[sku])),""),ROWS($A$15:A132)+$B$3)))),IF($EC$11="",IF($EC$13="",INDEX(bhpc_data[description],SMALL(IF(ISNUMBER(MATCH(bhpc_data[category],$EC$9,0)),MATCH(ROW(bhpc_data[sku]),ROW(bhpc_data[sku])),""),ROWS($A$15:A132)+$B$3)),INDEX(bhpc_data[description],SMALL(IF(ISNUMBER(MATCH(bhpc_data[category],$EC$9,0)*MATCH(bhpc_data[size],$EC$13,0)),MATCH(ROW(bhpc_data[sku]),ROW(bhpc_data[sku])),""),ROWS($A$15:A132)+$B$3))),IF($EC$13="",INDEX(bhpc_data[description],SMALL(IF(ISNUMBER(MATCH(bhpc_data[category],$EC$9,0)*MATCH(bhpc_data[sex],$EC$11,0)),MATCH(ROW(bhpc_data[sku]),ROW(bhpc_data[sku])),""),ROWS($A$15:A132)+$B$3)),INDEX(bhpc_data[description],SMALL(IF(ISNUMBER(MATCH(bhpc_data[category],$EC$9,0)*MATCH(bhpc_data[sex],$EC$11,0)*MATCH(bhpc_data[size],$EC$13,0)),MATCH(ROW(bhpc_data[sku]),ROW(bhpc_data[sku])),""),ROWS($A$15:A132)+$B$3))))),"")</f>
        <v>BHPC GIFT SET WOMEN #9 EDP50ML+DEO150ML+ROLLON50ML</v>
      </c>
      <c r="EG127" s="441">
        <f>IFERROR(IF('BHPC MANAGER'!$EE127="","",INDEX(inventory[ESISTENZA],MATCH('BHPC MANAGER'!$EE127,inventory[SKU],0))),0)</f>
        <v>72</v>
      </c>
      <c r="EH127" s="442">
        <v>-66</v>
      </c>
      <c r="EI127" s="442">
        <f t="shared" si="14"/>
        <v>6</v>
      </c>
      <c r="EJ127" s="443">
        <v>0</v>
      </c>
      <c r="EK127" s="444">
        <f t="shared" si="15"/>
        <v>6</v>
      </c>
    </row>
    <row r="128" spans="63:141" x14ac:dyDescent="0.35">
      <c r="BK128" s="296"/>
      <c r="BL128" s="297"/>
      <c r="BM128" s="298"/>
      <c r="BN128" s="297"/>
      <c r="BO128" s="298"/>
      <c r="EE128" s="445" t="str" cm="1">
        <f t="array" ref="EE128">IFERROR(IF($EC$9="",IF($EC$11="",IF($EC$13="",INDEX(bhpc_data[sku],SMALL(MATCH(ROW(bhpc_data[sku]),ROW(bhpc_data[sku])),ROWS($A$15:A133)+$B$3)),INDEX(bhpc_data[sku],SMALL(IF(ISNUMBER(MATCH(bhpc_data[size],$EC$13,0)),MATCH(ROW(bhpc_data[sku]),ROW(bhpc_data[sku])),""),ROWS($A$15:A133)+$B$3))),IF($EC$13="",INDEX(bhpc_data[sku],SMALL(IF(ISNUMBER(MATCH(bhpc_data[sex],$EC$11,0)),MATCH(ROW(bhpc_data[sku]),ROW(bhpc_data[sku])),""),ROWS($A$15:A133)+$B$3)),INDEX(bhpc_data[sku],SMALL(IF(ISNUMBER(MATCH(bhpc_data[sex],$EC$11,0)*MATCH(bhpc_data[size],$EC$13,0)),MATCH(ROW(bhpc_data[sku]),ROW(bhpc_data[sku])),""),ROWS($A$15:A133)+$B$3)))),IF($EC$11="",IF($EC$13="",INDEX(bhpc_data[sku],SMALL(IF(ISNUMBER(MATCH(bhpc_data[category],$EC$9,0)),MATCH(ROW(bhpc_data[sku]),ROW(bhpc_data[sku])),""),ROWS($A$15:A133)+$B$3)),INDEX(bhpc_data[sku],SMALL(IF(ISNUMBER(MATCH(bhpc_data[category],$EC$9,0)*MATCH(bhpc_data[size],$EC$13,0)),MATCH(ROW(bhpc_data[sku]),ROW(bhpc_data[sku])),""),ROWS($A$15:A133)+$B$3))),IF($EC$13="",INDEX(bhpc_data[sku],SMALL(IF(ISNUMBER(MATCH(bhpc_data[category],$EC$9,0)*MATCH(bhpc_data[sex],$EC$11,0)),MATCH(ROW(bhpc_data[sku]),ROW(bhpc_data[sku])),""),ROWS($A$15:A133)+$B$3)),INDEX(bhpc_data[sku],SMALL(IF(ISNUMBER(MATCH(bhpc_data[category],$EC$9,0)*MATCH(bhpc_data[sex],$EC$11,0)*MATCH(bhpc_data[size],$EC$13,0)),MATCH(ROW(bhpc_data[sku]),ROW(bhpc_data[sku])),""),ROWS($A$15:A133)+$B$3))))),"")</f>
        <v>GS7026</v>
      </c>
      <c r="EF128" s="446" t="str" cm="1">
        <f t="array" ref="EF128">IFERROR(IF($EC$9="",IF($EC$11="",IF($EC$13="",INDEX(bhpc_data[description],SMALL(MATCH(ROW(bhpc_data[sku]),ROW(bhpc_data[sku])),ROWS($A$15:A133)+$B$3)),INDEX(bhpc_data[description],SMALL(IF(ISNUMBER(MATCH(bhpc_data[size],$EC$13,0)),MATCH(ROW(bhpc_data[sku]),ROW(bhpc_data[sku])),""),ROWS($A$15:A133)+$B$3))),IF($EC$13="",INDEX(bhpc_data[description],SMALL(IF(ISNUMBER(MATCH(bhpc_data[sex],$EC$11,0)),MATCH(ROW(bhpc_data[sku]),ROW(bhpc_data[sku])),""),ROWS($A$15:A133)+$B$3)),INDEX(bhpc_data[description],SMALL(IF(ISNUMBER(MATCH(bhpc_data[sex],$EC$11,0)*MATCH(bhpc_data[size],$EC$13,0)),MATCH(ROW(bhpc_data[sku]),ROW(bhpc_data[sku])),""),ROWS($A$15:A133)+$B$3)))),IF($EC$11="",IF($EC$13="",INDEX(bhpc_data[description],SMALL(IF(ISNUMBER(MATCH(bhpc_data[category],$EC$9,0)),MATCH(ROW(bhpc_data[sku]),ROW(bhpc_data[sku])),""),ROWS($A$15:A133)+$B$3)),INDEX(bhpc_data[description],SMALL(IF(ISNUMBER(MATCH(bhpc_data[category],$EC$9,0)*MATCH(bhpc_data[size],$EC$13,0)),MATCH(ROW(bhpc_data[sku]),ROW(bhpc_data[sku])),""),ROWS($A$15:A133)+$B$3))),IF($EC$13="",INDEX(bhpc_data[description],SMALL(IF(ISNUMBER(MATCH(bhpc_data[category],$EC$9,0)*MATCH(bhpc_data[sex],$EC$11,0)),MATCH(ROW(bhpc_data[sku]),ROW(bhpc_data[sku])),""),ROWS($A$15:A133)+$B$3)),INDEX(bhpc_data[description],SMALL(IF(ISNUMBER(MATCH(bhpc_data[category],$EC$9,0)*MATCH(bhpc_data[sex],$EC$11,0)*MATCH(bhpc_data[size],$EC$13,0)),MATCH(ROW(bhpc_data[sku]),ROW(bhpc_data[sku])),""),ROWS($A$15:A133)+$B$3))))),"")</f>
        <v>BHPC GIFT SET WOMEN #8 EDP50ML+DEO150ML+ROLLON50ML</v>
      </c>
      <c r="EG128" s="447">
        <f>IFERROR(IF('BHPC MANAGER'!$EE128="","",INDEX(inventory[ESISTENZA],MATCH('BHPC MANAGER'!$EE128,inventory[SKU],0))),0)</f>
        <v>297</v>
      </c>
      <c r="EH128" s="448">
        <v>-72</v>
      </c>
      <c r="EI128" s="448">
        <f t="shared" si="14"/>
        <v>225</v>
      </c>
      <c r="EJ128" s="449">
        <v>0</v>
      </c>
      <c r="EK128" s="450">
        <f t="shared" si="15"/>
        <v>225</v>
      </c>
    </row>
    <row r="129" spans="63:141" x14ac:dyDescent="0.35">
      <c r="BK129" s="296"/>
      <c r="BL129" s="297"/>
      <c r="BM129" s="298"/>
      <c r="BN129" s="297"/>
      <c r="BO129" s="298"/>
      <c r="EE129" s="439" t="str" cm="1">
        <f t="array" ref="EE129">IFERROR(IF($EC$9="",IF($EC$11="",IF($EC$13="",INDEX(bhpc_data[sku],SMALL(MATCH(ROW(bhpc_data[sku]),ROW(bhpc_data[sku])),ROWS($A$15:A134)+$B$3)),INDEX(bhpc_data[sku],SMALL(IF(ISNUMBER(MATCH(bhpc_data[size],$EC$13,0)),MATCH(ROW(bhpc_data[sku]),ROW(bhpc_data[sku])),""),ROWS($A$15:A134)+$B$3))),IF($EC$13="",INDEX(bhpc_data[sku],SMALL(IF(ISNUMBER(MATCH(bhpc_data[sex],$EC$11,0)),MATCH(ROW(bhpc_data[sku]),ROW(bhpc_data[sku])),""),ROWS($A$15:A134)+$B$3)),INDEX(bhpc_data[sku],SMALL(IF(ISNUMBER(MATCH(bhpc_data[sex],$EC$11,0)*MATCH(bhpc_data[size],$EC$13,0)),MATCH(ROW(bhpc_data[sku]),ROW(bhpc_data[sku])),""),ROWS($A$15:A134)+$B$3)))),IF($EC$11="",IF($EC$13="",INDEX(bhpc_data[sku],SMALL(IF(ISNUMBER(MATCH(bhpc_data[category],$EC$9,0)),MATCH(ROW(bhpc_data[sku]),ROW(bhpc_data[sku])),""),ROWS($A$15:A134)+$B$3)),INDEX(bhpc_data[sku],SMALL(IF(ISNUMBER(MATCH(bhpc_data[category],$EC$9,0)*MATCH(bhpc_data[size],$EC$13,0)),MATCH(ROW(bhpc_data[sku]),ROW(bhpc_data[sku])),""),ROWS($A$15:A134)+$B$3))),IF($EC$13="",INDEX(bhpc_data[sku],SMALL(IF(ISNUMBER(MATCH(bhpc_data[category],$EC$9,0)*MATCH(bhpc_data[sex],$EC$11,0)),MATCH(ROW(bhpc_data[sku]),ROW(bhpc_data[sku])),""),ROWS($A$15:A134)+$B$3)),INDEX(bhpc_data[sku],SMALL(IF(ISNUMBER(MATCH(bhpc_data[category],$EC$9,0)*MATCH(bhpc_data[sex],$EC$11,0)*MATCH(bhpc_data[size],$EC$13,0)),MATCH(ROW(bhpc_data[sku]),ROW(bhpc_data[sku])),""),ROWS($A$15:A134)+$B$3))))),"")</f>
        <v>GS7027</v>
      </c>
      <c r="EF129" s="440" t="str" cm="1">
        <f t="array" ref="EF129">IFERROR(IF($EC$9="",IF($EC$11="",IF($EC$13="",INDEX(bhpc_data[description],SMALL(MATCH(ROW(bhpc_data[sku]),ROW(bhpc_data[sku])),ROWS($A$15:A134)+$B$3)),INDEX(bhpc_data[description],SMALL(IF(ISNUMBER(MATCH(bhpc_data[size],$EC$13,0)),MATCH(ROW(bhpc_data[sku]),ROW(bhpc_data[sku])),""),ROWS($A$15:A134)+$B$3))),IF($EC$13="",INDEX(bhpc_data[description],SMALL(IF(ISNUMBER(MATCH(bhpc_data[sex],$EC$11,0)),MATCH(ROW(bhpc_data[sku]),ROW(bhpc_data[sku])),""),ROWS($A$15:A134)+$B$3)),INDEX(bhpc_data[description],SMALL(IF(ISNUMBER(MATCH(bhpc_data[sex],$EC$11,0)*MATCH(bhpc_data[size],$EC$13,0)),MATCH(ROW(bhpc_data[sku]),ROW(bhpc_data[sku])),""),ROWS($A$15:A134)+$B$3)))),IF($EC$11="",IF($EC$13="",INDEX(bhpc_data[description],SMALL(IF(ISNUMBER(MATCH(bhpc_data[category],$EC$9,0)),MATCH(ROW(bhpc_data[sku]),ROW(bhpc_data[sku])),""),ROWS($A$15:A134)+$B$3)),INDEX(bhpc_data[description],SMALL(IF(ISNUMBER(MATCH(bhpc_data[category],$EC$9,0)*MATCH(bhpc_data[size],$EC$13,0)),MATCH(ROW(bhpc_data[sku]),ROW(bhpc_data[sku])),""),ROWS($A$15:A134)+$B$3))),IF($EC$13="",INDEX(bhpc_data[description],SMALL(IF(ISNUMBER(MATCH(bhpc_data[category],$EC$9,0)*MATCH(bhpc_data[sex],$EC$11,0)),MATCH(ROW(bhpc_data[sku]),ROW(bhpc_data[sku])),""),ROWS($A$15:A134)+$B$3)),INDEX(bhpc_data[description],SMALL(IF(ISNUMBER(MATCH(bhpc_data[category],$EC$9,0)*MATCH(bhpc_data[sex],$EC$11,0)*MATCH(bhpc_data[size],$EC$13,0)),MATCH(ROW(bhpc_data[sku]),ROW(bhpc_data[sku])),""),ROWS($A$15:A134)+$B$3))))),"")</f>
        <v>BHPC GIFT SET WOMEN #2 EDP50ML+DEO150ML+ROLLON50ML</v>
      </c>
      <c r="EG129" s="441">
        <f>IFERROR(IF('BHPC MANAGER'!$EE129="","",INDEX(inventory[ESISTENZA],MATCH('BHPC MANAGER'!$EE129,inventory[SKU],0))),0)</f>
        <v>330</v>
      </c>
      <c r="EH129" s="442">
        <v>-75</v>
      </c>
      <c r="EI129" s="442">
        <f t="shared" si="14"/>
        <v>255</v>
      </c>
      <c r="EJ129" s="443">
        <v>0</v>
      </c>
      <c r="EK129" s="444">
        <f t="shared" si="15"/>
        <v>255</v>
      </c>
    </row>
    <row r="130" spans="63:141" x14ac:dyDescent="0.35">
      <c r="BK130" s="296"/>
      <c r="BL130" s="297"/>
      <c r="BM130" s="298"/>
      <c r="BN130" s="297"/>
      <c r="BO130" s="298"/>
      <c r="EE130" s="445" t="str" cm="1">
        <f t="array" ref="EE130">IFERROR(IF($EC$9="",IF($EC$11="",IF($EC$13="",INDEX(bhpc_data[sku],SMALL(MATCH(ROW(bhpc_data[sku]),ROW(bhpc_data[sku])),ROWS($A$15:A135)+$B$3)),INDEX(bhpc_data[sku],SMALL(IF(ISNUMBER(MATCH(bhpc_data[size],$EC$13,0)),MATCH(ROW(bhpc_data[sku]),ROW(bhpc_data[sku])),""),ROWS($A$15:A135)+$B$3))),IF($EC$13="",INDEX(bhpc_data[sku],SMALL(IF(ISNUMBER(MATCH(bhpc_data[sex],$EC$11,0)),MATCH(ROW(bhpc_data[sku]),ROW(bhpc_data[sku])),""),ROWS($A$15:A135)+$B$3)),INDEX(bhpc_data[sku],SMALL(IF(ISNUMBER(MATCH(bhpc_data[sex],$EC$11,0)*MATCH(bhpc_data[size],$EC$13,0)),MATCH(ROW(bhpc_data[sku]),ROW(bhpc_data[sku])),""),ROWS($A$15:A135)+$B$3)))),IF($EC$11="",IF($EC$13="",INDEX(bhpc_data[sku],SMALL(IF(ISNUMBER(MATCH(bhpc_data[category],$EC$9,0)),MATCH(ROW(bhpc_data[sku]),ROW(bhpc_data[sku])),""),ROWS($A$15:A135)+$B$3)),INDEX(bhpc_data[sku],SMALL(IF(ISNUMBER(MATCH(bhpc_data[category],$EC$9,0)*MATCH(bhpc_data[size],$EC$13,0)),MATCH(ROW(bhpc_data[sku]),ROW(bhpc_data[sku])),""),ROWS($A$15:A135)+$B$3))),IF($EC$13="",INDEX(bhpc_data[sku],SMALL(IF(ISNUMBER(MATCH(bhpc_data[category],$EC$9,0)*MATCH(bhpc_data[sex],$EC$11,0)),MATCH(ROW(bhpc_data[sku]),ROW(bhpc_data[sku])),""),ROWS($A$15:A135)+$B$3)),INDEX(bhpc_data[sku],SMALL(IF(ISNUMBER(MATCH(bhpc_data[category],$EC$9,0)*MATCH(bhpc_data[sex],$EC$11,0)*MATCH(bhpc_data[size],$EC$13,0)),MATCH(ROW(bhpc_data[sku]),ROW(bhpc_data[sku])),""),ROWS($A$15:A135)+$B$3))))),"")</f>
        <v>GS5004</v>
      </c>
      <c r="EF130" s="446" t="str" cm="1">
        <f t="array" ref="EF130">IFERROR(IF($EC$9="",IF($EC$11="",IF($EC$13="",INDEX(bhpc_data[description],SMALL(MATCH(ROW(bhpc_data[sku]),ROW(bhpc_data[sku])),ROWS($A$15:A135)+$B$3)),INDEX(bhpc_data[description],SMALL(IF(ISNUMBER(MATCH(bhpc_data[size],$EC$13,0)),MATCH(ROW(bhpc_data[sku]),ROW(bhpc_data[sku])),""),ROWS($A$15:A135)+$B$3))),IF($EC$13="",INDEX(bhpc_data[description],SMALL(IF(ISNUMBER(MATCH(bhpc_data[sex],$EC$11,0)),MATCH(ROW(bhpc_data[sku]),ROW(bhpc_data[sku])),""),ROWS($A$15:A135)+$B$3)),INDEX(bhpc_data[description],SMALL(IF(ISNUMBER(MATCH(bhpc_data[sex],$EC$11,0)*MATCH(bhpc_data[size],$EC$13,0)),MATCH(ROW(bhpc_data[sku]),ROW(bhpc_data[sku])),""),ROWS($A$15:A135)+$B$3)))),IF($EC$11="",IF($EC$13="",INDEX(bhpc_data[description],SMALL(IF(ISNUMBER(MATCH(bhpc_data[category],$EC$9,0)),MATCH(ROW(bhpc_data[sku]),ROW(bhpc_data[sku])),""),ROWS($A$15:A135)+$B$3)),INDEX(bhpc_data[description],SMALL(IF(ISNUMBER(MATCH(bhpc_data[category],$EC$9,0)*MATCH(bhpc_data[size],$EC$13,0)),MATCH(ROW(bhpc_data[sku]),ROW(bhpc_data[sku])),""),ROWS($A$15:A135)+$B$3))),IF($EC$13="",INDEX(bhpc_data[description],SMALL(IF(ISNUMBER(MATCH(bhpc_data[category],$EC$9,0)*MATCH(bhpc_data[sex],$EC$11,0)),MATCH(ROW(bhpc_data[sku]),ROW(bhpc_data[sku])),""),ROWS($A$15:A135)+$B$3)),INDEX(bhpc_data[description],SMALL(IF(ISNUMBER(MATCH(bhpc_data[category],$EC$9,0)*MATCH(bhpc_data[sex],$EC$11,0)*MATCH(bhpc_data[size],$EC$13,0)),MATCH(ROW(bhpc_data[sku]),ROW(bhpc_data[sku])),""),ROWS($A$15:A135)+$B$3))))),"")</f>
        <v>BHPC GIFT SET SPORT MEN 1 EDT 100ML + DEO 175ML</v>
      </c>
      <c r="EG130" s="447">
        <f>IFERROR(IF('BHPC MANAGER'!$EE130="","",INDEX(inventory[ESISTENZA],MATCH('BHPC MANAGER'!$EE130,inventory[SKU],0))),0)</f>
        <v>200</v>
      </c>
      <c r="EH130" s="448">
        <v>-197</v>
      </c>
      <c r="EI130" s="448">
        <f t="shared" si="14"/>
        <v>3</v>
      </c>
      <c r="EJ130" s="449">
        <v>-3</v>
      </c>
      <c r="EK130" s="450">
        <f t="shared" si="15"/>
        <v>0</v>
      </c>
    </row>
    <row r="131" spans="63:141" x14ac:dyDescent="0.35">
      <c r="BK131" s="296"/>
      <c r="BL131" s="297"/>
      <c r="BM131" s="298"/>
      <c r="BN131" s="297"/>
      <c r="BO131" s="298"/>
      <c r="EE131" s="439" t="str" cm="1">
        <f t="array" ref="EE131">IFERROR(IF($EC$9="",IF($EC$11="",IF($EC$13="",INDEX(bhpc_data[sku],SMALL(MATCH(ROW(bhpc_data[sku]),ROW(bhpc_data[sku])),ROWS($A$15:A136)+$B$3)),INDEX(bhpc_data[sku],SMALL(IF(ISNUMBER(MATCH(bhpc_data[size],$EC$13,0)),MATCH(ROW(bhpc_data[sku]),ROW(bhpc_data[sku])),""),ROWS($A$15:A136)+$B$3))),IF($EC$13="",INDEX(bhpc_data[sku],SMALL(IF(ISNUMBER(MATCH(bhpc_data[sex],$EC$11,0)),MATCH(ROW(bhpc_data[sku]),ROW(bhpc_data[sku])),""),ROWS($A$15:A136)+$B$3)),INDEX(bhpc_data[sku],SMALL(IF(ISNUMBER(MATCH(bhpc_data[sex],$EC$11,0)*MATCH(bhpc_data[size],$EC$13,0)),MATCH(ROW(bhpc_data[sku]),ROW(bhpc_data[sku])),""),ROWS($A$15:A136)+$B$3)))),IF($EC$11="",IF($EC$13="",INDEX(bhpc_data[sku],SMALL(IF(ISNUMBER(MATCH(bhpc_data[category],$EC$9,0)),MATCH(ROW(bhpc_data[sku]),ROW(bhpc_data[sku])),""),ROWS($A$15:A136)+$B$3)),INDEX(bhpc_data[sku],SMALL(IF(ISNUMBER(MATCH(bhpc_data[category],$EC$9,0)*MATCH(bhpc_data[size],$EC$13,0)),MATCH(ROW(bhpc_data[sku]),ROW(bhpc_data[sku])),""),ROWS($A$15:A136)+$B$3))),IF($EC$13="",INDEX(bhpc_data[sku],SMALL(IF(ISNUMBER(MATCH(bhpc_data[category],$EC$9,0)*MATCH(bhpc_data[sex],$EC$11,0)),MATCH(ROW(bhpc_data[sku]),ROW(bhpc_data[sku])),""),ROWS($A$15:A136)+$B$3)),INDEX(bhpc_data[sku],SMALL(IF(ISNUMBER(MATCH(bhpc_data[category],$EC$9,0)*MATCH(bhpc_data[sex],$EC$11,0)*MATCH(bhpc_data[size],$EC$13,0)),MATCH(ROW(bhpc_data[sku]),ROW(bhpc_data[sku])),""),ROWS($A$15:A136)+$B$3))))),"")</f>
        <v>GS5005</v>
      </c>
      <c r="EF131" s="440" t="str" cm="1">
        <f t="array" ref="EF131">IFERROR(IF($EC$9="",IF($EC$11="",IF($EC$13="",INDEX(bhpc_data[description],SMALL(MATCH(ROW(bhpc_data[sku]),ROW(bhpc_data[sku])),ROWS($A$15:A136)+$B$3)),INDEX(bhpc_data[description],SMALL(IF(ISNUMBER(MATCH(bhpc_data[size],$EC$13,0)),MATCH(ROW(bhpc_data[sku]),ROW(bhpc_data[sku])),""),ROWS($A$15:A136)+$B$3))),IF($EC$13="",INDEX(bhpc_data[description],SMALL(IF(ISNUMBER(MATCH(bhpc_data[sex],$EC$11,0)),MATCH(ROW(bhpc_data[sku]),ROW(bhpc_data[sku])),""),ROWS($A$15:A136)+$B$3)),INDEX(bhpc_data[description],SMALL(IF(ISNUMBER(MATCH(bhpc_data[sex],$EC$11,0)*MATCH(bhpc_data[size],$EC$13,0)),MATCH(ROW(bhpc_data[sku]),ROW(bhpc_data[sku])),""),ROWS($A$15:A136)+$B$3)))),IF($EC$11="",IF($EC$13="",INDEX(bhpc_data[description],SMALL(IF(ISNUMBER(MATCH(bhpc_data[category],$EC$9,0)),MATCH(ROW(bhpc_data[sku]),ROW(bhpc_data[sku])),""),ROWS($A$15:A136)+$B$3)),INDEX(bhpc_data[description],SMALL(IF(ISNUMBER(MATCH(bhpc_data[category],$EC$9,0)*MATCH(bhpc_data[size],$EC$13,0)),MATCH(ROW(bhpc_data[sku]),ROW(bhpc_data[sku])),""),ROWS($A$15:A136)+$B$3))),IF($EC$13="",INDEX(bhpc_data[description],SMALL(IF(ISNUMBER(MATCH(bhpc_data[category],$EC$9,0)*MATCH(bhpc_data[sex],$EC$11,0)),MATCH(ROW(bhpc_data[sku]),ROW(bhpc_data[sku])),""),ROWS($A$15:A136)+$B$3)),INDEX(bhpc_data[description],SMALL(IF(ISNUMBER(MATCH(bhpc_data[category],$EC$9,0)*MATCH(bhpc_data[sex],$EC$11,0)*MATCH(bhpc_data[size],$EC$13,0)),MATCH(ROW(bhpc_data[sku]),ROW(bhpc_data[sku])),""),ROWS($A$15:A136)+$B$3))))),"")</f>
        <v>BHPC GIFT SET SPORT MEN 9 EDT 100ML + DEO 175ML</v>
      </c>
      <c r="EG131" s="441">
        <f>IFERROR(IF('BHPC MANAGER'!$EE131="","",INDEX(inventory[ESISTENZA],MATCH('BHPC MANAGER'!$EE131,inventory[SKU],0))),0)</f>
        <v>200</v>
      </c>
      <c r="EH131" s="442">
        <v>-197</v>
      </c>
      <c r="EI131" s="442">
        <f t="shared" si="14"/>
        <v>3</v>
      </c>
      <c r="EJ131" s="443">
        <v>-3</v>
      </c>
      <c r="EK131" s="444">
        <f t="shared" si="15"/>
        <v>0</v>
      </c>
    </row>
    <row r="132" spans="63:141" x14ac:dyDescent="0.35">
      <c r="BK132" s="296"/>
      <c r="BL132" s="297"/>
      <c r="BM132" s="298"/>
      <c r="BN132" s="297"/>
      <c r="BO132" s="298"/>
      <c r="EE132" s="445" t="str" cm="1">
        <f t="array" ref="EE132">IFERROR(IF($EC$9="",IF($EC$11="",IF($EC$13="",INDEX(bhpc_data[sku],SMALL(MATCH(ROW(bhpc_data[sku]),ROW(bhpc_data[sku])),ROWS($A$15:A137)+$B$3)),INDEX(bhpc_data[sku],SMALL(IF(ISNUMBER(MATCH(bhpc_data[size],$EC$13,0)),MATCH(ROW(bhpc_data[sku]),ROW(bhpc_data[sku])),""),ROWS($A$15:A137)+$B$3))),IF($EC$13="",INDEX(bhpc_data[sku],SMALL(IF(ISNUMBER(MATCH(bhpc_data[sex],$EC$11,0)),MATCH(ROW(bhpc_data[sku]),ROW(bhpc_data[sku])),""),ROWS($A$15:A137)+$B$3)),INDEX(bhpc_data[sku],SMALL(IF(ISNUMBER(MATCH(bhpc_data[sex],$EC$11,0)*MATCH(bhpc_data[size],$EC$13,0)),MATCH(ROW(bhpc_data[sku]),ROW(bhpc_data[sku])),""),ROWS($A$15:A137)+$B$3)))),IF($EC$11="",IF($EC$13="",INDEX(bhpc_data[sku],SMALL(IF(ISNUMBER(MATCH(bhpc_data[category],$EC$9,0)),MATCH(ROW(bhpc_data[sku]),ROW(bhpc_data[sku])),""),ROWS($A$15:A137)+$B$3)),INDEX(bhpc_data[sku],SMALL(IF(ISNUMBER(MATCH(bhpc_data[category],$EC$9,0)*MATCH(bhpc_data[size],$EC$13,0)),MATCH(ROW(bhpc_data[sku]),ROW(bhpc_data[sku])),""),ROWS($A$15:A137)+$B$3))),IF($EC$13="",INDEX(bhpc_data[sku],SMALL(IF(ISNUMBER(MATCH(bhpc_data[category],$EC$9,0)*MATCH(bhpc_data[sex],$EC$11,0)),MATCH(ROW(bhpc_data[sku]),ROW(bhpc_data[sku])),""),ROWS($A$15:A137)+$B$3)),INDEX(bhpc_data[sku],SMALL(IF(ISNUMBER(MATCH(bhpc_data[category],$EC$9,0)*MATCH(bhpc_data[sex],$EC$11,0)*MATCH(bhpc_data[size],$EC$13,0)),MATCH(ROW(bhpc_data[sku]),ROW(bhpc_data[sku])),""),ROWS($A$15:A137)+$B$3))))),"")</f>
        <v>GS5006</v>
      </c>
      <c r="EF132" s="446" t="str" cm="1">
        <f t="array" ref="EF132">IFERROR(IF($EC$9="",IF($EC$11="",IF($EC$13="",INDEX(bhpc_data[description],SMALL(MATCH(ROW(bhpc_data[sku]),ROW(bhpc_data[sku])),ROWS($A$15:A137)+$B$3)),INDEX(bhpc_data[description],SMALL(IF(ISNUMBER(MATCH(bhpc_data[size],$EC$13,0)),MATCH(ROW(bhpc_data[sku]),ROW(bhpc_data[sku])),""),ROWS($A$15:A137)+$B$3))),IF($EC$13="",INDEX(bhpc_data[description],SMALL(IF(ISNUMBER(MATCH(bhpc_data[sex],$EC$11,0)),MATCH(ROW(bhpc_data[sku]),ROW(bhpc_data[sku])),""),ROWS($A$15:A137)+$B$3)),INDEX(bhpc_data[description],SMALL(IF(ISNUMBER(MATCH(bhpc_data[sex],$EC$11,0)*MATCH(bhpc_data[size],$EC$13,0)),MATCH(ROW(bhpc_data[sku]),ROW(bhpc_data[sku])),""),ROWS($A$15:A137)+$B$3)))),IF($EC$11="",IF($EC$13="",INDEX(bhpc_data[description],SMALL(IF(ISNUMBER(MATCH(bhpc_data[category],$EC$9,0)),MATCH(ROW(bhpc_data[sku]),ROW(bhpc_data[sku])),""),ROWS($A$15:A137)+$B$3)),INDEX(bhpc_data[description],SMALL(IF(ISNUMBER(MATCH(bhpc_data[category],$EC$9,0)*MATCH(bhpc_data[size],$EC$13,0)),MATCH(ROW(bhpc_data[sku]),ROW(bhpc_data[sku])),""),ROWS($A$15:A137)+$B$3))),IF($EC$13="",INDEX(bhpc_data[description],SMALL(IF(ISNUMBER(MATCH(bhpc_data[category],$EC$9,0)*MATCH(bhpc_data[sex],$EC$11,0)),MATCH(ROW(bhpc_data[sku]),ROW(bhpc_data[sku])),""),ROWS($A$15:A137)+$B$3)),INDEX(bhpc_data[description],SMALL(IF(ISNUMBER(MATCH(bhpc_data[category],$EC$9,0)*MATCH(bhpc_data[sex],$EC$11,0)*MATCH(bhpc_data[size],$EC$13,0)),MATCH(ROW(bhpc_data[sku]),ROW(bhpc_data[sku])),""),ROWS($A$15:A137)+$B$3))))),"")</f>
        <v>BHPC GIFT SET SPORT MEN 8 EDT 100ML + DEO 175ML</v>
      </c>
      <c r="EG132" s="447">
        <f>IFERROR(IF('BHPC MANAGER'!$EE132="","",INDEX(inventory[ESISTENZA],MATCH('BHPC MANAGER'!$EE132,inventory[SKU],0))),0)</f>
        <v>200</v>
      </c>
      <c r="EH132" s="448">
        <v>-197</v>
      </c>
      <c r="EI132" s="448">
        <f t="shared" si="14"/>
        <v>3</v>
      </c>
      <c r="EJ132" s="449">
        <v>-3</v>
      </c>
      <c r="EK132" s="450">
        <f t="shared" si="15"/>
        <v>0</v>
      </c>
    </row>
    <row r="133" spans="63:141" x14ac:dyDescent="0.35">
      <c r="BK133" s="296"/>
      <c r="BL133" s="297"/>
      <c r="BM133" s="298"/>
      <c r="BN133" s="297"/>
      <c r="BO133" s="298"/>
      <c r="EE133" s="439" t="str" cm="1">
        <f t="array" ref="EE133">IFERROR(IF($EC$9="",IF($EC$11="",IF($EC$13="",INDEX(bhpc_data[sku],SMALL(MATCH(ROW(bhpc_data[sku]),ROW(bhpc_data[sku])),ROWS($A$15:A138)+$B$3)),INDEX(bhpc_data[sku],SMALL(IF(ISNUMBER(MATCH(bhpc_data[size],$EC$13,0)),MATCH(ROW(bhpc_data[sku]),ROW(bhpc_data[sku])),""),ROWS($A$15:A138)+$B$3))),IF($EC$13="",INDEX(bhpc_data[sku],SMALL(IF(ISNUMBER(MATCH(bhpc_data[sex],$EC$11,0)),MATCH(ROW(bhpc_data[sku]),ROW(bhpc_data[sku])),""),ROWS($A$15:A138)+$B$3)),INDEX(bhpc_data[sku],SMALL(IF(ISNUMBER(MATCH(bhpc_data[sex],$EC$11,0)*MATCH(bhpc_data[size],$EC$13,0)),MATCH(ROW(bhpc_data[sku]),ROW(bhpc_data[sku])),""),ROWS($A$15:A138)+$B$3)))),IF($EC$11="",IF($EC$13="",INDEX(bhpc_data[sku],SMALL(IF(ISNUMBER(MATCH(bhpc_data[category],$EC$9,0)),MATCH(ROW(bhpc_data[sku]),ROW(bhpc_data[sku])),""),ROWS($A$15:A138)+$B$3)),INDEX(bhpc_data[sku],SMALL(IF(ISNUMBER(MATCH(bhpc_data[category],$EC$9,0)*MATCH(bhpc_data[size],$EC$13,0)),MATCH(ROW(bhpc_data[sku]),ROW(bhpc_data[sku])),""),ROWS($A$15:A138)+$B$3))),IF($EC$13="",INDEX(bhpc_data[sku],SMALL(IF(ISNUMBER(MATCH(bhpc_data[category],$EC$9,0)*MATCH(bhpc_data[sex],$EC$11,0)),MATCH(ROW(bhpc_data[sku]),ROW(bhpc_data[sku])),""),ROWS($A$15:A138)+$B$3)),INDEX(bhpc_data[sku],SMALL(IF(ISNUMBER(MATCH(bhpc_data[category],$EC$9,0)*MATCH(bhpc_data[sex],$EC$11,0)*MATCH(bhpc_data[size],$EC$13,0)),MATCH(ROW(bhpc_data[sku]),ROW(bhpc_data[sku])),""),ROWS($A$15:A138)+$B$3))))),"")</f>
        <v>GS5007</v>
      </c>
      <c r="EF133" s="440" t="str" cm="1">
        <f t="array" ref="EF133">IFERROR(IF($EC$9="",IF($EC$11="",IF($EC$13="",INDEX(bhpc_data[description],SMALL(MATCH(ROW(bhpc_data[sku]),ROW(bhpc_data[sku])),ROWS($A$15:A138)+$B$3)),INDEX(bhpc_data[description],SMALL(IF(ISNUMBER(MATCH(bhpc_data[size],$EC$13,0)),MATCH(ROW(bhpc_data[sku]),ROW(bhpc_data[sku])),""),ROWS($A$15:A138)+$B$3))),IF($EC$13="",INDEX(bhpc_data[description],SMALL(IF(ISNUMBER(MATCH(bhpc_data[sex],$EC$11,0)),MATCH(ROW(bhpc_data[sku]),ROW(bhpc_data[sku])),""),ROWS($A$15:A138)+$B$3)),INDEX(bhpc_data[description],SMALL(IF(ISNUMBER(MATCH(bhpc_data[sex],$EC$11,0)*MATCH(bhpc_data[size],$EC$13,0)),MATCH(ROW(bhpc_data[sku]),ROW(bhpc_data[sku])),""),ROWS($A$15:A138)+$B$3)))),IF($EC$11="",IF($EC$13="",INDEX(bhpc_data[description],SMALL(IF(ISNUMBER(MATCH(bhpc_data[category],$EC$9,0)),MATCH(ROW(bhpc_data[sku]),ROW(bhpc_data[sku])),""),ROWS($A$15:A138)+$B$3)),INDEX(bhpc_data[description],SMALL(IF(ISNUMBER(MATCH(bhpc_data[category],$EC$9,0)*MATCH(bhpc_data[size],$EC$13,0)),MATCH(ROW(bhpc_data[sku]),ROW(bhpc_data[sku])),""),ROWS($A$15:A138)+$B$3))),IF($EC$13="",INDEX(bhpc_data[description],SMALL(IF(ISNUMBER(MATCH(bhpc_data[category],$EC$9,0)*MATCH(bhpc_data[sex],$EC$11,0)),MATCH(ROW(bhpc_data[sku]),ROW(bhpc_data[sku])),""),ROWS($A$15:A138)+$B$3)),INDEX(bhpc_data[description],SMALL(IF(ISNUMBER(MATCH(bhpc_data[category],$EC$9,0)*MATCH(bhpc_data[sex],$EC$11,0)*MATCH(bhpc_data[size],$EC$13,0)),MATCH(ROW(bhpc_data[sku]),ROW(bhpc_data[sku])),""),ROWS($A$15:A138)+$B$3))))),"")</f>
        <v>BHPC GIFT SET SPORT MEN 2 EDT 100ML + DEO 175ML</v>
      </c>
      <c r="EG133" s="441">
        <f>IFERROR(IF('BHPC MANAGER'!$EE133="","",INDEX(inventory[ESISTENZA],MATCH('BHPC MANAGER'!$EE133,inventory[SKU],0))),0)</f>
        <v>200</v>
      </c>
      <c r="EH133" s="442">
        <v>-197</v>
      </c>
      <c r="EI133" s="442">
        <f t="shared" si="14"/>
        <v>3</v>
      </c>
      <c r="EJ133" s="443">
        <v>-3</v>
      </c>
      <c r="EK133" s="444">
        <f t="shared" si="15"/>
        <v>0</v>
      </c>
    </row>
    <row r="134" spans="63:141" x14ac:dyDescent="0.35">
      <c r="BK134" s="296"/>
      <c r="BL134" s="297"/>
      <c r="BM134" s="298"/>
      <c r="BN134" s="297"/>
      <c r="BO134" s="298"/>
      <c r="EE134" s="445" t="str" cm="1">
        <f t="array" ref="EE134">IFERROR(IF($EC$9="",IF($EC$11="",IF($EC$13="",INDEX(bhpc_data[sku],SMALL(MATCH(ROW(bhpc_data[sku]),ROW(bhpc_data[sku])),ROWS($A$15:A139)+$B$3)),INDEX(bhpc_data[sku],SMALL(IF(ISNUMBER(MATCH(bhpc_data[size],$EC$13,0)),MATCH(ROW(bhpc_data[sku]),ROW(bhpc_data[sku])),""),ROWS($A$15:A139)+$B$3))),IF($EC$13="",INDEX(bhpc_data[sku],SMALL(IF(ISNUMBER(MATCH(bhpc_data[sex],$EC$11,0)),MATCH(ROW(bhpc_data[sku]),ROW(bhpc_data[sku])),""),ROWS($A$15:A139)+$B$3)),INDEX(bhpc_data[sku],SMALL(IF(ISNUMBER(MATCH(bhpc_data[sex],$EC$11,0)*MATCH(bhpc_data[size],$EC$13,0)),MATCH(ROW(bhpc_data[sku]),ROW(bhpc_data[sku])),""),ROWS($A$15:A139)+$B$3)))),IF($EC$11="",IF($EC$13="",INDEX(bhpc_data[sku],SMALL(IF(ISNUMBER(MATCH(bhpc_data[category],$EC$9,0)),MATCH(ROW(bhpc_data[sku]),ROW(bhpc_data[sku])),""),ROWS($A$15:A139)+$B$3)),INDEX(bhpc_data[sku],SMALL(IF(ISNUMBER(MATCH(bhpc_data[category],$EC$9,0)*MATCH(bhpc_data[size],$EC$13,0)),MATCH(ROW(bhpc_data[sku]),ROW(bhpc_data[sku])),""),ROWS($A$15:A139)+$B$3))),IF($EC$13="",INDEX(bhpc_data[sku],SMALL(IF(ISNUMBER(MATCH(bhpc_data[category],$EC$9,0)*MATCH(bhpc_data[sex],$EC$11,0)),MATCH(ROW(bhpc_data[sku]),ROW(bhpc_data[sku])),""),ROWS($A$15:A139)+$B$3)),INDEX(bhpc_data[sku],SMALL(IF(ISNUMBER(MATCH(bhpc_data[category],$EC$9,0)*MATCH(bhpc_data[sex],$EC$11,0)*MATCH(bhpc_data[size],$EC$13,0)),MATCH(ROW(bhpc_data[sku]),ROW(bhpc_data[sku])),""),ROWS($A$15:A139)+$B$3))))),"")</f>
        <v>GS5050</v>
      </c>
      <c r="EF134" s="446" t="str" cm="1">
        <f t="array" ref="EF134">IFERROR(IF($EC$9="",IF($EC$11="",IF($EC$13="",INDEX(bhpc_data[description],SMALL(MATCH(ROW(bhpc_data[sku]),ROW(bhpc_data[sku])),ROWS($A$15:A139)+$B$3)),INDEX(bhpc_data[description],SMALL(IF(ISNUMBER(MATCH(bhpc_data[size],$EC$13,0)),MATCH(ROW(bhpc_data[sku]),ROW(bhpc_data[sku])),""),ROWS($A$15:A139)+$B$3))),IF($EC$13="",INDEX(bhpc_data[description],SMALL(IF(ISNUMBER(MATCH(bhpc_data[sex],$EC$11,0)),MATCH(ROW(bhpc_data[sku]),ROW(bhpc_data[sku])),""),ROWS($A$15:A139)+$B$3)),INDEX(bhpc_data[description],SMALL(IF(ISNUMBER(MATCH(bhpc_data[sex],$EC$11,0)*MATCH(bhpc_data[size],$EC$13,0)),MATCH(ROW(bhpc_data[sku]),ROW(bhpc_data[sku])),""),ROWS($A$15:A139)+$B$3)))),IF($EC$11="",IF($EC$13="",INDEX(bhpc_data[description],SMALL(IF(ISNUMBER(MATCH(bhpc_data[category],$EC$9,0)),MATCH(ROW(bhpc_data[sku]),ROW(bhpc_data[sku])),""),ROWS($A$15:A139)+$B$3)),INDEX(bhpc_data[description],SMALL(IF(ISNUMBER(MATCH(bhpc_data[category],$EC$9,0)*MATCH(bhpc_data[size],$EC$13,0)),MATCH(ROW(bhpc_data[sku]),ROW(bhpc_data[sku])),""),ROWS($A$15:A139)+$B$3))),IF($EC$13="",INDEX(bhpc_data[description],SMALL(IF(ISNUMBER(MATCH(bhpc_data[category],$EC$9,0)*MATCH(bhpc_data[sex],$EC$11,0)),MATCH(ROW(bhpc_data[sku]),ROW(bhpc_data[sku])),""),ROWS($A$15:A139)+$B$3)),INDEX(bhpc_data[description],SMALL(IF(ISNUMBER(MATCH(bhpc_data[category],$EC$9,0)*MATCH(bhpc_data[sex],$EC$11,0)*MATCH(bhpc_data[size],$EC$13,0)),MATCH(ROW(bhpc_data[sku]),ROW(bhpc_data[sku])),""),ROWS($A$15:A139)+$B$3))))),"")</f>
        <v>BHPC GIFT SET WOMEN 1 EDP 100ML + DEO 150ML</v>
      </c>
      <c r="EG134" s="447">
        <f>IFERROR(IF('BHPC MANAGER'!$EE134="","",INDEX(inventory[ESISTENZA],MATCH('BHPC MANAGER'!$EE134,inventory[SKU],0))),0)</f>
        <v>0</v>
      </c>
      <c r="EH134" s="448">
        <v>3</v>
      </c>
      <c r="EI134" s="448">
        <f t="shared" si="14"/>
        <v>3</v>
      </c>
      <c r="EJ134" s="449">
        <v>-3</v>
      </c>
      <c r="EK134" s="450">
        <f t="shared" si="15"/>
        <v>0</v>
      </c>
    </row>
    <row r="135" spans="63:141" x14ac:dyDescent="0.35">
      <c r="BK135" s="296"/>
      <c r="BL135" s="297"/>
      <c r="BM135" s="298"/>
      <c r="BN135" s="297"/>
      <c r="BO135" s="298"/>
      <c r="EE135" s="439" t="str" cm="1">
        <f t="array" ref="EE135">IFERROR(IF($EC$9="",IF($EC$11="",IF($EC$13="",INDEX(bhpc_data[sku],SMALL(MATCH(ROW(bhpc_data[sku]),ROW(bhpc_data[sku])),ROWS($A$15:A140)+$B$3)),INDEX(bhpc_data[sku],SMALL(IF(ISNUMBER(MATCH(bhpc_data[size],$EC$13,0)),MATCH(ROW(bhpc_data[sku]),ROW(bhpc_data[sku])),""),ROWS($A$15:A140)+$B$3))),IF($EC$13="",INDEX(bhpc_data[sku],SMALL(IF(ISNUMBER(MATCH(bhpc_data[sex],$EC$11,0)),MATCH(ROW(bhpc_data[sku]),ROW(bhpc_data[sku])),""),ROWS($A$15:A140)+$B$3)),INDEX(bhpc_data[sku],SMALL(IF(ISNUMBER(MATCH(bhpc_data[sex],$EC$11,0)*MATCH(bhpc_data[size],$EC$13,0)),MATCH(ROW(bhpc_data[sku]),ROW(bhpc_data[sku])),""),ROWS($A$15:A140)+$B$3)))),IF($EC$11="",IF($EC$13="",INDEX(bhpc_data[sku],SMALL(IF(ISNUMBER(MATCH(bhpc_data[category],$EC$9,0)),MATCH(ROW(bhpc_data[sku]),ROW(bhpc_data[sku])),""),ROWS($A$15:A140)+$B$3)),INDEX(bhpc_data[sku],SMALL(IF(ISNUMBER(MATCH(bhpc_data[category],$EC$9,0)*MATCH(bhpc_data[size],$EC$13,0)),MATCH(ROW(bhpc_data[sku]),ROW(bhpc_data[sku])),""),ROWS($A$15:A140)+$B$3))),IF($EC$13="",INDEX(bhpc_data[sku],SMALL(IF(ISNUMBER(MATCH(bhpc_data[category],$EC$9,0)*MATCH(bhpc_data[sex],$EC$11,0)),MATCH(ROW(bhpc_data[sku]),ROW(bhpc_data[sku])),""),ROWS($A$15:A140)+$B$3)),INDEX(bhpc_data[sku],SMALL(IF(ISNUMBER(MATCH(bhpc_data[category],$EC$9,0)*MATCH(bhpc_data[sex],$EC$11,0)*MATCH(bhpc_data[size],$EC$13,0)),MATCH(ROW(bhpc_data[sku]),ROW(bhpc_data[sku])),""),ROWS($A$15:A140)+$B$3))))),"")</f>
        <v>GS5051</v>
      </c>
      <c r="EF135" s="440" t="str" cm="1">
        <f t="array" ref="EF135">IFERROR(IF($EC$9="",IF($EC$11="",IF($EC$13="",INDEX(bhpc_data[description],SMALL(MATCH(ROW(bhpc_data[sku]),ROW(bhpc_data[sku])),ROWS($A$15:A140)+$B$3)),INDEX(bhpc_data[description],SMALL(IF(ISNUMBER(MATCH(bhpc_data[size],$EC$13,0)),MATCH(ROW(bhpc_data[sku]),ROW(bhpc_data[sku])),""),ROWS($A$15:A140)+$B$3))),IF($EC$13="",INDEX(bhpc_data[description],SMALL(IF(ISNUMBER(MATCH(bhpc_data[sex],$EC$11,0)),MATCH(ROW(bhpc_data[sku]),ROW(bhpc_data[sku])),""),ROWS($A$15:A140)+$B$3)),INDEX(bhpc_data[description],SMALL(IF(ISNUMBER(MATCH(bhpc_data[sex],$EC$11,0)*MATCH(bhpc_data[size],$EC$13,0)),MATCH(ROW(bhpc_data[sku]),ROW(bhpc_data[sku])),""),ROWS($A$15:A140)+$B$3)))),IF($EC$11="",IF($EC$13="",INDEX(bhpc_data[description],SMALL(IF(ISNUMBER(MATCH(bhpc_data[category],$EC$9,0)),MATCH(ROW(bhpc_data[sku]),ROW(bhpc_data[sku])),""),ROWS($A$15:A140)+$B$3)),INDEX(bhpc_data[description],SMALL(IF(ISNUMBER(MATCH(bhpc_data[category],$EC$9,0)*MATCH(bhpc_data[size],$EC$13,0)),MATCH(ROW(bhpc_data[sku]),ROW(bhpc_data[sku])),""),ROWS($A$15:A140)+$B$3))),IF($EC$13="",INDEX(bhpc_data[description],SMALL(IF(ISNUMBER(MATCH(bhpc_data[category],$EC$9,0)*MATCH(bhpc_data[sex],$EC$11,0)),MATCH(ROW(bhpc_data[sku]),ROW(bhpc_data[sku])),""),ROWS($A$15:A140)+$B$3)),INDEX(bhpc_data[description],SMALL(IF(ISNUMBER(MATCH(bhpc_data[category],$EC$9,0)*MATCH(bhpc_data[sex],$EC$11,0)*MATCH(bhpc_data[size],$EC$13,0)),MATCH(ROW(bhpc_data[sku]),ROW(bhpc_data[sku])),""),ROWS($A$15:A140)+$B$3))))),"")</f>
        <v>BHPC GIFT SET WOMEN 9 EDP 100ML + DEO 150ML</v>
      </c>
      <c r="EG135" s="441">
        <f>IFERROR(IF('BHPC MANAGER'!$EE135="","",INDEX(inventory[ESISTENZA],MATCH('BHPC MANAGER'!$EE135,inventory[SKU],0))),0)</f>
        <v>0</v>
      </c>
      <c r="EH135" s="442">
        <v>3</v>
      </c>
      <c r="EI135" s="442">
        <f t="shared" si="14"/>
        <v>3</v>
      </c>
      <c r="EJ135" s="443">
        <v>-3</v>
      </c>
      <c r="EK135" s="444">
        <f t="shared" si="15"/>
        <v>0</v>
      </c>
    </row>
    <row r="136" spans="63:141" x14ac:dyDescent="0.35">
      <c r="BK136" s="296"/>
      <c r="BL136" s="297"/>
      <c r="BM136" s="298"/>
      <c r="BN136" s="297"/>
      <c r="BO136" s="298"/>
      <c r="EE136" s="445" t="str" cm="1">
        <f t="array" ref="EE136">IFERROR(IF($EC$9="",IF($EC$11="",IF($EC$13="",INDEX(bhpc_data[sku],SMALL(MATCH(ROW(bhpc_data[sku]),ROW(bhpc_data[sku])),ROWS($A$15:A141)+$B$3)),INDEX(bhpc_data[sku],SMALL(IF(ISNUMBER(MATCH(bhpc_data[size],$EC$13,0)),MATCH(ROW(bhpc_data[sku]),ROW(bhpc_data[sku])),""),ROWS($A$15:A141)+$B$3))),IF($EC$13="",INDEX(bhpc_data[sku],SMALL(IF(ISNUMBER(MATCH(bhpc_data[sex],$EC$11,0)),MATCH(ROW(bhpc_data[sku]),ROW(bhpc_data[sku])),""),ROWS($A$15:A141)+$B$3)),INDEX(bhpc_data[sku],SMALL(IF(ISNUMBER(MATCH(bhpc_data[sex],$EC$11,0)*MATCH(bhpc_data[size],$EC$13,0)),MATCH(ROW(bhpc_data[sku]),ROW(bhpc_data[sku])),""),ROWS($A$15:A141)+$B$3)))),IF($EC$11="",IF($EC$13="",INDEX(bhpc_data[sku],SMALL(IF(ISNUMBER(MATCH(bhpc_data[category],$EC$9,0)),MATCH(ROW(bhpc_data[sku]),ROW(bhpc_data[sku])),""),ROWS($A$15:A141)+$B$3)),INDEX(bhpc_data[sku],SMALL(IF(ISNUMBER(MATCH(bhpc_data[category],$EC$9,0)*MATCH(bhpc_data[size],$EC$13,0)),MATCH(ROW(bhpc_data[sku]),ROW(bhpc_data[sku])),""),ROWS($A$15:A141)+$B$3))),IF($EC$13="",INDEX(bhpc_data[sku],SMALL(IF(ISNUMBER(MATCH(bhpc_data[category],$EC$9,0)*MATCH(bhpc_data[sex],$EC$11,0)),MATCH(ROW(bhpc_data[sku]),ROW(bhpc_data[sku])),""),ROWS($A$15:A141)+$B$3)),INDEX(bhpc_data[sku],SMALL(IF(ISNUMBER(MATCH(bhpc_data[category],$EC$9,0)*MATCH(bhpc_data[sex],$EC$11,0)*MATCH(bhpc_data[size],$EC$13,0)),MATCH(ROW(bhpc_data[sku]),ROW(bhpc_data[sku])),""),ROWS($A$15:A141)+$B$3))))),"")</f>
        <v>GS5052</v>
      </c>
      <c r="EF136" s="446" t="str" cm="1">
        <f t="array" ref="EF136">IFERROR(IF($EC$9="",IF($EC$11="",IF($EC$13="",INDEX(bhpc_data[description],SMALL(MATCH(ROW(bhpc_data[sku]),ROW(bhpc_data[sku])),ROWS($A$15:A141)+$B$3)),INDEX(bhpc_data[description],SMALL(IF(ISNUMBER(MATCH(bhpc_data[size],$EC$13,0)),MATCH(ROW(bhpc_data[sku]),ROW(bhpc_data[sku])),""),ROWS($A$15:A141)+$B$3))),IF($EC$13="",INDEX(bhpc_data[description],SMALL(IF(ISNUMBER(MATCH(bhpc_data[sex],$EC$11,0)),MATCH(ROW(bhpc_data[sku]),ROW(bhpc_data[sku])),""),ROWS($A$15:A141)+$B$3)),INDEX(bhpc_data[description],SMALL(IF(ISNUMBER(MATCH(bhpc_data[sex],$EC$11,0)*MATCH(bhpc_data[size],$EC$13,0)),MATCH(ROW(bhpc_data[sku]),ROW(bhpc_data[sku])),""),ROWS($A$15:A141)+$B$3)))),IF($EC$11="",IF($EC$13="",INDEX(bhpc_data[description],SMALL(IF(ISNUMBER(MATCH(bhpc_data[category],$EC$9,0)),MATCH(ROW(bhpc_data[sku]),ROW(bhpc_data[sku])),""),ROWS($A$15:A141)+$B$3)),INDEX(bhpc_data[description],SMALL(IF(ISNUMBER(MATCH(bhpc_data[category],$EC$9,0)*MATCH(bhpc_data[size],$EC$13,0)),MATCH(ROW(bhpc_data[sku]),ROW(bhpc_data[sku])),""),ROWS($A$15:A141)+$B$3))),IF($EC$13="",INDEX(bhpc_data[description],SMALL(IF(ISNUMBER(MATCH(bhpc_data[category],$EC$9,0)*MATCH(bhpc_data[sex],$EC$11,0)),MATCH(ROW(bhpc_data[sku]),ROW(bhpc_data[sku])),""),ROWS($A$15:A141)+$B$3)),INDEX(bhpc_data[description],SMALL(IF(ISNUMBER(MATCH(bhpc_data[category],$EC$9,0)*MATCH(bhpc_data[sex],$EC$11,0)*MATCH(bhpc_data[size],$EC$13,0)),MATCH(ROW(bhpc_data[sku]),ROW(bhpc_data[sku])),""),ROWS($A$15:A141)+$B$3))))),"")</f>
        <v>BHPC GIFT SET WOMEN 8 EDP 100ML + DEO 150ML</v>
      </c>
      <c r="EG136" s="447">
        <f>IFERROR(IF('BHPC MANAGER'!$EE136="","",INDEX(inventory[ESISTENZA],MATCH('BHPC MANAGER'!$EE136,inventory[SKU],0))),0)</f>
        <v>0</v>
      </c>
      <c r="EH136" s="448">
        <v>3</v>
      </c>
      <c r="EI136" s="448">
        <f t="shared" si="14"/>
        <v>3</v>
      </c>
      <c r="EJ136" s="449">
        <v>-3</v>
      </c>
      <c r="EK136" s="450">
        <f t="shared" si="15"/>
        <v>0</v>
      </c>
    </row>
    <row r="137" spans="63:141" x14ac:dyDescent="0.35">
      <c r="BK137" s="296"/>
      <c r="BL137" s="297"/>
      <c r="BM137" s="298"/>
      <c r="BN137" s="297"/>
      <c r="BO137" s="298"/>
      <c r="EE137" s="439" t="str" cm="1">
        <f t="array" ref="EE137">IFERROR(IF($EC$9="",IF($EC$11="",IF($EC$13="",INDEX(bhpc_data[sku],SMALL(MATCH(ROW(bhpc_data[sku]),ROW(bhpc_data[sku])),ROWS($A$15:A142)+$B$3)),INDEX(bhpc_data[sku],SMALL(IF(ISNUMBER(MATCH(bhpc_data[size],$EC$13,0)),MATCH(ROW(bhpc_data[sku]),ROW(bhpc_data[sku])),""),ROWS($A$15:A142)+$B$3))),IF($EC$13="",INDEX(bhpc_data[sku],SMALL(IF(ISNUMBER(MATCH(bhpc_data[sex],$EC$11,0)),MATCH(ROW(bhpc_data[sku]),ROW(bhpc_data[sku])),""),ROWS($A$15:A142)+$B$3)),INDEX(bhpc_data[sku],SMALL(IF(ISNUMBER(MATCH(bhpc_data[sex],$EC$11,0)*MATCH(bhpc_data[size],$EC$13,0)),MATCH(ROW(bhpc_data[sku]),ROW(bhpc_data[sku])),""),ROWS($A$15:A142)+$B$3)))),IF($EC$11="",IF($EC$13="",INDEX(bhpc_data[sku],SMALL(IF(ISNUMBER(MATCH(bhpc_data[category],$EC$9,0)),MATCH(ROW(bhpc_data[sku]),ROW(bhpc_data[sku])),""),ROWS($A$15:A142)+$B$3)),INDEX(bhpc_data[sku],SMALL(IF(ISNUMBER(MATCH(bhpc_data[category],$EC$9,0)*MATCH(bhpc_data[size],$EC$13,0)),MATCH(ROW(bhpc_data[sku]),ROW(bhpc_data[sku])),""),ROWS($A$15:A142)+$B$3))),IF($EC$13="",INDEX(bhpc_data[sku],SMALL(IF(ISNUMBER(MATCH(bhpc_data[category],$EC$9,0)*MATCH(bhpc_data[sex],$EC$11,0)),MATCH(ROW(bhpc_data[sku]),ROW(bhpc_data[sku])),""),ROWS($A$15:A142)+$B$3)),INDEX(bhpc_data[sku],SMALL(IF(ISNUMBER(MATCH(bhpc_data[category],$EC$9,0)*MATCH(bhpc_data[sex],$EC$11,0)*MATCH(bhpc_data[size],$EC$13,0)),MATCH(ROW(bhpc_data[sku]),ROW(bhpc_data[sku])),""),ROWS($A$15:A142)+$B$3))))),"")</f>
        <v>GS5053</v>
      </c>
      <c r="EF137" s="440" t="str" cm="1">
        <f t="array" ref="EF137">IFERROR(IF($EC$9="",IF($EC$11="",IF($EC$13="",INDEX(bhpc_data[description],SMALL(MATCH(ROW(bhpc_data[sku]),ROW(bhpc_data[sku])),ROWS($A$15:A142)+$B$3)),INDEX(bhpc_data[description],SMALL(IF(ISNUMBER(MATCH(bhpc_data[size],$EC$13,0)),MATCH(ROW(bhpc_data[sku]),ROW(bhpc_data[sku])),""),ROWS($A$15:A142)+$B$3))),IF($EC$13="",INDEX(bhpc_data[description],SMALL(IF(ISNUMBER(MATCH(bhpc_data[sex],$EC$11,0)),MATCH(ROW(bhpc_data[sku]),ROW(bhpc_data[sku])),""),ROWS($A$15:A142)+$B$3)),INDEX(bhpc_data[description],SMALL(IF(ISNUMBER(MATCH(bhpc_data[sex],$EC$11,0)*MATCH(bhpc_data[size],$EC$13,0)),MATCH(ROW(bhpc_data[sku]),ROW(bhpc_data[sku])),""),ROWS($A$15:A142)+$B$3)))),IF($EC$11="",IF($EC$13="",INDEX(bhpc_data[description],SMALL(IF(ISNUMBER(MATCH(bhpc_data[category],$EC$9,0)),MATCH(ROW(bhpc_data[sku]),ROW(bhpc_data[sku])),""),ROWS($A$15:A142)+$B$3)),INDEX(bhpc_data[description],SMALL(IF(ISNUMBER(MATCH(bhpc_data[category],$EC$9,0)*MATCH(bhpc_data[size],$EC$13,0)),MATCH(ROW(bhpc_data[sku]),ROW(bhpc_data[sku])),""),ROWS($A$15:A142)+$B$3))),IF($EC$13="",INDEX(bhpc_data[description],SMALL(IF(ISNUMBER(MATCH(bhpc_data[category],$EC$9,0)*MATCH(bhpc_data[sex],$EC$11,0)),MATCH(ROW(bhpc_data[sku]),ROW(bhpc_data[sku])),""),ROWS($A$15:A142)+$B$3)),INDEX(bhpc_data[description],SMALL(IF(ISNUMBER(MATCH(bhpc_data[category],$EC$9,0)*MATCH(bhpc_data[sex],$EC$11,0)*MATCH(bhpc_data[size],$EC$13,0)),MATCH(ROW(bhpc_data[sku]),ROW(bhpc_data[sku])),""),ROWS($A$15:A142)+$B$3))))),"")</f>
        <v>BHPC GIFT SET WOMEN 2 EDP 100ML + DEO 150ML</v>
      </c>
      <c r="EG137" s="441">
        <f>IFERROR(IF('BHPC MANAGER'!$EE137="","",INDEX(inventory[ESISTENZA],MATCH('BHPC MANAGER'!$EE137,inventory[SKU],0))),0)</f>
        <v>0</v>
      </c>
      <c r="EH137" s="442">
        <v>3</v>
      </c>
      <c r="EI137" s="442">
        <f t="shared" si="14"/>
        <v>3</v>
      </c>
      <c r="EJ137" s="443">
        <v>-3</v>
      </c>
      <c r="EK137" s="444">
        <f t="shared" si="15"/>
        <v>0</v>
      </c>
    </row>
    <row r="138" spans="63:141" x14ac:dyDescent="0.35">
      <c r="BK138" s="296"/>
      <c r="BL138" s="297"/>
      <c r="BM138" s="298"/>
      <c r="BN138" s="297"/>
      <c r="BO138" s="298"/>
      <c r="EE138" s="445" t="str" cm="1">
        <f t="array" ref="EE138">IFERROR(IF($EC$9="",IF($EC$11="",IF($EC$13="",INDEX(bhpc_data[sku],SMALL(MATCH(ROW(bhpc_data[sku]),ROW(bhpc_data[sku])),ROWS($A$15:A143)+$B$3)),INDEX(bhpc_data[sku],SMALL(IF(ISNUMBER(MATCH(bhpc_data[size],$EC$13,0)),MATCH(ROW(bhpc_data[sku]),ROW(bhpc_data[sku])),""),ROWS($A$15:A143)+$B$3))),IF($EC$13="",INDEX(bhpc_data[sku],SMALL(IF(ISNUMBER(MATCH(bhpc_data[sex],$EC$11,0)),MATCH(ROW(bhpc_data[sku]),ROW(bhpc_data[sku])),""),ROWS($A$15:A143)+$B$3)),INDEX(bhpc_data[sku],SMALL(IF(ISNUMBER(MATCH(bhpc_data[sex],$EC$11,0)*MATCH(bhpc_data[size],$EC$13,0)),MATCH(ROW(bhpc_data[sku]),ROW(bhpc_data[sku])),""),ROWS($A$15:A143)+$B$3)))),IF($EC$11="",IF($EC$13="",INDEX(bhpc_data[sku],SMALL(IF(ISNUMBER(MATCH(bhpc_data[category],$EC$9,0)),MATCH(ROW(bhpc_data[sku]),ROW(bhpc_data[sku])),""),ROWS($A$15:A143)+$B$3)),INDEX(bhpc_data[sku],SMALL(IF(ISNUMBER(MATCH(bhpc_data[category],$EC$9,0)*MATCH(bhpc_data[size],$EC$13,0)),MATCH(ROW(bhpc_data[sku]),ROW(bhpc_data[sku])),""),ROWS($A$15:A143)+$B$3))),IF($EC$13="",INDEX(bhpc_data[sku],SMALL(IF(ISNUMBER(MATCH(bhpc_data[category],$EC$9,0)*MATCH(bhpc_data[sex],$EC$11,0)),MATCH(ROW(bhpc_data[sku]),ROW(bhpc_data[sku])),""),ROWS($A$15:A143)+$B$3)),INDEX(bhpc_data[sku],SMALL(IF(ISNUMBER(MATCH(bhpc_data[category],$EC$9,0)*MATCH(bhpc_data[sex],$EC$11,0)*MATCH(bhpc_data[size],$EC$13,0)),MATCH(ROW(bhpc_data[sku]),ROW(bhpc_data[sku])),""),ROWS($A$15:A143)+$B$3))))),"")</f>
        <v>GSELE3</v>
      </c>
      <c r="EF138" s="446" t="str" cm="1">
        <f t="array" ref="EF138">IFERROR(IF($EC$9="",IF($EC$11="",IF($EC$13="",INDEX(bhpc_data[description],SMALL(MATCH(ROW(bhpc_data[sku]),ROW(bhpc_data[sku])),ROWS($A$15:A143)+$B$3)),INDEX(bhpc_data[description],SMALL(IF(ISNUMBER(MATCH(bhpc_data[size],$EC$13,0)),MATCH(ROW(bhpc_data[sku]),ROW(bhpc_data[sku])),""),ROWS($A$15:A143)+$B$3))),IF($EC$13="",INDEX(bhpc_data[description],SMALL(IF(ISNUMBER(MATCH(bhpc_data[sex],$EC$11,0)),MATCH(ROW(bhpc_data[sku]),ROW(bhpc_data[sku])),""),ROWS($A$15:A143)+$B$3)),INDEX(bhpc_data[description],SMALL(IF(ISNUMBER(MATCH(bhpc_data[sex],$EC$11,0)*MATCH(bhpc_data[size],$EC$13,0)),MATCH(ROW(bhpc_data[sku]),ROW(bhpc_data[sku])),""),ROWS($A$15:A143)+$B$3)))),IF($EC$11="",IF($EC$13="",INDEX(bhpc_data[description],SMALL(IF(ISNUMBER(MATCH(bhpc_data[category],$EC$9,0)),MATCH(ROW(bhpc_data[sku]),ROW(bhpc_data[sku])),""),ROWS($A$15:A143)+$B$3)),INDEX(bhpc_data[description],SMALL(IF(ISNUMBER(MATCH(bhpc_data[category],$EC$9,0)*MATCH(bhpc_data[size],$EC$13,0)),MATCH(ROW(bhpc_data[sku]),ROW(bhpc_data[sku])),""),ROWS($A$15:A143)+$B$3))),IF($EC$13="",INDEX(bhpc_data[description],SMALL(IF(ISNUMBER(MATCH(bhpc_data[category],$EC$9,0)*MATCH(bhpc_data[sex],$EC$11,0)),MATCH(ROW(bhpc_data[sku]),ROW(bhpc_data[sku])),""),ROWS($A$15:A143)+$B$3)),INDEX(bhpc_data[description],SMALL(IF(ISNUMBER(MATCH(bhpc_data[category],$EC$9,0)*MATCH(bhpc_data[sex],$EC$11,0)*MATCH(bhpc_data[size],$EC$13,0)),MATCH(ROW(bhpc_data[sku]),ROW(bhpc_data[sku])),""),ROWS($A$15:A143)+$B$3))))),"")</f>
        <v xml:space="preserve">BHPC GIFTSET PRESTIGE ELEGANCE EDP100ML + DEO 250ML </v>
      </c>
      <c r="EG138" s="447">
        <f>IFERROR(IF('BHPC MANAGER'!$EE138="","",INDEX(inventory[ESISTENZA],MATCH('BHPC MANAGER'!$EE138,inventory[SKU],0))),0)</f>
        <v>0</v>
      </c>
      <c r="EH138" s="448" t="s">
        <v>861</v>
      </c>
      <c r="EI138" s="448">
        <f t="shared" si="14"/>
        <v>0</v>
      </c>
      <c r="EJ138" s="449" t="s">
        <v>861</v>
      </c>
      <c r="EK138" s="450">
        <f t="shared" si="15"/>
        <v>0</v>
      </c>
    </row>
    <row r="139" spans="63:141" x14ac:dyDescent="0.35">
      <c r="BK139" s="296"/>
      <c r="BL139" s="297"/>
      <c r="BM139" s="298"/>
      <c r="BN139" s="297"/>
      <c r="BO139" s="298"/>
      <c r="EE139" s="439" t="str" cm="1">
        <f t="array" ref="EE139">IFERROR(IF($EC$9="",IF($EC$11="",IF($EC$13="",INDEX(bhpc_data[sku],SMALL(MATCH(ROW(bhpc_data[sku]),ROW(bhpc_data[sku])),ROWS($A$15:A144)+$B$3)),INDEX(bhpc_data[sku],SMALL(IF(ISNUMBER(MATCH(bhpc_data[size],$EC$13,0)),MATCH(ROW(bhpc_data[sku]),ROW(bhpc_data[sku])),""),ROWS($A$15:A144)+$B$3))),IF($EC$13="",INDEX(bhpc_data[sku],SMALL(IF(ISNUMBER(MATCH(bhpc_data[sex],$EC$11,0)),MATCH(ROW(bhpc_data[sku]),ROW(bhpc_data[sku])),""),ROWS($A$15:A144)+$B$3)),INDEX(bhpc_data[sku],SMALL(IF(ISNUMBER(MATCH(bhpc_data[sex],$EC$11,0)*MATCH(bhpc_data[size],$EC$13,0)),MATCH(ROW(bhpc_data[sku]),ROW(bhpc_data[sku])),""),ROWS($A$15:A144)+$B$3)))),IF($EC$11="",IF($EC$13="",INDEX(bhpc_data[sku],SMALL(IF(ISNUMBER(MATCH(bhpc_data[category],$EC$9,0)),MATCH(ROW(bhpc_data[sku]),ROW(bhpc_data[sku])),""),ROWS($A$15:A144)+$B$3)),INDEX(bhpc_data[sku],SMALL(IF(ISNUMBER(MATCH(bhpc_data[category],$EC$9,0)*MATCH(bhpc_data[size],$EC$13,0)),MATCH(ROW(bhpc_data[sku]),ROW(bhpc_data[sku])),""),ROWS($A$15:A144)+$B$3))),IF($EC$13="",INDEX(bhpc_data[sku],SMALL(IF(ISNUMBER(MATCH(bhpc_data[category],$EC$9,0)*MATCH(bhpc_data[sex],$EC$11,0)),MATCH(ROW(bhpc_data[sku]),ROW(bhpc_data[sku])),""),ROWS($A$15:A144)+$B$3)),INDEX(bhpc_data[sku],SMALL(IF(ISNUMBER(MATCH(bhpc_data[category],$EC$9,0)*MATCH(bhpc_data[sex],$EC$11,0)*MATCH(bhpc_data[size],$EC$13,0)),MATCH(ROW(bhpc_data[sku]),ROW(bhpc_data[sku])),""),ROWS($A$15:A144)+$B$3))))),"")</f>
        <v>GSTRO3</v>
      </c>
      <c r="EF139" s="440" t="str" cm="1">
        <f t="array" ref="EF139">IFERROR(IF($EC$9="",IF($EC$11="",IF($EC$13="",INDEX(bhpc_data[description],SMALL(MATCH(ROW(bhpc_data[sku]),ROW(bhpc_data[sku])),ROWS($A$15:A144)+$B$3)),INDEX(bhpc_data[description],SMALL(IF(ISNUMBER(MATCH(bhpc_data[size],$EC$13,0)),MATCH(ROW(bhpc_data[sku]),ROW(bhpc_data[sku])),""),ROWS($A$15:A144)+$B$3))),IF($EC$13="",INDEX(bhpc_data[description],SMALL(IF(ISNUMBER(MATCH(bhpc_data[sex],$EC$11,0)),MATCH(ROW(bhpc_data[sku]),ROW(bhpc_data[sku])),""),ROWS($A$15:A144)+$B$3)),INDEX(bhpc_data[description],SMALL(IF(ISNUMBER(MATCH(bhpc_data[sex],$EC$11,0)*MATCH(bhpc_data[size],$EC$13,0)),MATCH(ROW(bhpc_data[sku]),ROW(bhpc_data[sku])),""),ROWS($A$15:A144)+$B$3)))),IF($EC$11="",IF($EC$13="",INDEX(bhpc_data[description],SMALL(IF(ISNUMBER(MATCH(bhpc_data[category],$EC$9,0)),MATCH(ROW(bhpc_data[sku]),ROW(bhpc_data[sku])),""),ROWS($A$15:A144)+$B$3)),INDEX(bhpc_data[description],SMALL(IF(ISNUMBER(MATCH(bhpc_data[category],$EC$9,0)*MATCH(bhpc_data[size],$EC$13,0)),MATCH(ROW(bhpc_data[sku]),ROW(bhpc_data[sku])),""),ROWS($A$15:A144)+$B$3))),IF($EC$13="",INDEX(bhpc_data[description],SMALL(IF(ISNUMBER(MATCH(bhpc_data[category],$EC$9,0)*MATCH(bhpc_data[sex],$EC$11,0)),MATCH(ROW(bhpc_data[sku]),ROW(bhpc_data[sku])),""),ROWS($A$15:A144)+$B$3)),INDEX(bhpc_data[description],SMALL(IF(ISNUMBER(MATCH(bhpc_data[category],$EC$9,0)*MATCH(bhpc_data[sex],$EC$11,0)*MATCH(bhpc_data[size],$EC$13,0)),MATCH(ROW(bhpc_data[sku]),ROW(bhpc_data[sku])),""),ROWS($A$15:A144)+$B$3))))),"")</f>
        <v xml:space="preserve">BHPC GIFTSET PRESTIGE TROPHY EDP100ML + DEO 300ML </v>
      </c>
      <c r="EG139" s="441">
        <f>IFERROR(IF('BHPC MANAGER'!$EE139="","",INDEX(inventory[ESISTENZA],MATCH('BHPC MANAGER'!$EE139,inventory[SKU],0))),0)</f>
        <v>0</v>
      </c>
      <c r="EH139" s="442">
        <v>1966</v>
      </c>
      <c r="EI139" s="442">
        <f t="shared" ref="EI139:EI202" si="17">IF(EE139="","",IFERROR(EG139+EH139,EG139))</f>
        <v>1966</v>
      </c>
      <c r="EJ139" s="443">
        <v>-1966</v>
      </c>
      <c r="EK139" s="444">
        <f t="shared" ref="EK139:EK202" si="18">IF(EE139="","",IFERROR(EI139+EJ139,EI139))</f>
        <v>0</v>
      </c>
    </row>
    <row r="140" spans="63:141" x14ac:dyDescent="0.35">
      <c r="BK140" s="296"/>
      <c r="BL140" s="297"/>
      <c r="BM140" s="298"/>
      <c r="BN140" s="297"/>
      <c r="BO140" s="298"/>
      <c r="EE140" s="445" t="str" cm="1">
        <f t="array" ref="EE140">IFERROR(IF($EC$9="",IF($EC$11="",IF($EC$13="",INDEX(bhpc_data[sku],SMALL(MATCH(ROW(bhpc_data[sku]),ROW(bhpc_data[sku])),ROWS($A$15:A145)+$B$3)),INDEX(bhpc_data[sku],SMALL(IF(ISNUMBER(MATCH(bhpc_data[size],$EC$13,0)),MATCH(ROW(bhpc_data[sku]),ROW(bhpc_data[sku])),""),ROWS($A$15:A145)+$B$3))),IF($EC$13="",INDEX(bhpc_data[sku],SMALL(IF(ISNUMBER(MATCH(bhpc_data[sex],$EC$11,0)),MATCH(ROW(bhpc_data[sku]),ROW(bhpc_data[sku])),""),ROWS($A$15:A145)+$B$3)),INDEX(bhpc_data[sku],SMALL(IF(ISNUMBER(MATCH(bhpc_data[sex],$EC$11,0)*MATCH(bhpc_data[size],$EC$13,0)),MATCH(ROW(bhpc_data[sku]),ROW(bhpc_data[sku])),""),ROWS($A$15:A145)+$B$3)))),IF($EC$11="",IF($EC$13="",INDEX(bhpc_data[sku],SMALL(IF(ISNUMBER(MATCH(bhpc_data[category],$EC$9,0)),MATCH(ROW(bhpc_data[sku]),ROW(bhpc_data[sku])),""),ROWS($A$15:A145)+$B$3)),INDEX(bhpc_data[sku],SMALL(IF(ISNUMBER(MATCH(bhpc_data[category],$EC$9,0)*MATCH(bhpc_data[size],$EC$13,0)),MATCH(ROW(bhpc_data[sku]),ROW(bhpc_data[sku])),""),ROWS($A$15:A145)+$B$3))),IF($EC$13="",INDEX(bhpc_data[sku],SMALL(IF(ISNUMBER(MATCH(bhpc_data[category],$EC$9,0)*MATCH(bhpc_data[sex],$EC$11,0)),MATCH(ROW(bhpc_data[sku]),ROW(bhpc_data[sku])),""),ROWS($A$15:A145)+$B$3)),INDEX(bhpc_data[sku],SMALL(IF(ISNUMBER(MATCH(bhpc_data[category],$EC$9,0)*MATCH(bhpc_data[sex],$EC$11,0)*MATCH(bhpc_data[size],$EC$13,0)),MATCH(ROW(bhpc_data[sku]),ROW(bhpc_data[sku])),""),ROWS($A$15:A145)+$B$3))))),"")</f>
        <v>GSTM12</v>
      </c>
      <c r="EF140" s="446" t="str" cm="1">
        <f t="array" ref="EF140">IFERROR(IF($EC$9="",IF($EC$11="",IF($EC$13="",INDEX(bhpc_data[description],SMALL(MATCH(ROW(bhpc_data[sku]),ROW(bhpc_data[sku])),ROWS($A$15:A145)+$B$3)),INDEX(bhpc_data[description],SMALL(IF(ISNUMBER(MATCH(bhpc_data[size],$EC$13,0)),MATCH(ROW(bhpc_data[sku]),ROW(bhpc_data[sku])),""),ROWS($A$15:A145)+$B$3))),IF($EC$13="",INDEX(bhpc_data[description],SMALL(IF(ISNUMBER(MATCH(bhpc_data[sex],$EC$11,0)),MATCH(ROW(bhpc_data[sku]),ROW(bhpc_data[sku])),""),ROWS($A$15:A145)+$B$3)),INDEX(bhpc_data[description],SMALL(IF(ISNUMBER(MATCH(bhpc_data[sex],$EC$11,0)*MATCH(bhpc_data[size],$EC$13,0)),MATCH(ROW(bhpc_data[sku]),ROW(bhpc_data[sku])),""),ROWS($A$15:A145)+$B$3)))),IF($EC$11="",IF($EC$13="",INDEX(bhpc_data[description],SMALL(IF(ISNUMBER(MATCH(bhpc_data[category],$EC$9,0)),MATCH(ROW(bhpc_data[sku]),ROW(bhpc_data[sku])),""),ROWS($A$15:A145)+$B$3)),INDEX(bhpc_data[description],SMALL(IF(ISNUMBER(MATCH(bhpc_data[category],$EC$9,0)*MATCH(bhpc_data[size],$EC$13,0)),MATCH(ROW(bhpc_data[sku]),ROW(bhpc_data[sku])),""),ROWS($A$15:A145)+$B$3))),IF($EC$13="",INDEX(bhpc_data[description],SMALL(IF(ISNUMBER(MATCH(bhpc_data[category],$EC$9,0)*MATCH(bhpc_data[sex],$EC$11,0)),MATCH(ROW(bhpc_data[sku]),ROW(bhpc_data[sku])),""),ROWS($A$15:A145)+$B$3)),INDEX(bhpc_data[description],SMALL(IF(ISNUMBER(MATCH(bhpc_data[category],$EC$9,0)*MATCH(bhpc_data[sex],$EC$11,0)*MATCH(bhpc_data[size],$EC$13,0)),MATCH(ROW(bhpc_data[sku]),ROW(bhpc_data[sku])),""),ROWS($A$15:A145)+$B$3))))),"")</f>
        <v>BHPC TWINPACK SPORTS MEN DEO #1 #2 175ML</v>
      </c>
      <c r="EG140" s="447">
        <f>IFERROR(IF('BHPC MANAGER'!$EE140="","",INDEX(inventory[ESISTENZA],MATCH('BHPC MANAGER'!$EE140,inventory[SKU],0))),0)</f>
        <v>0</v>
      </c>
      <c r="EH140" s="448">
        <v>0</v>
      </c>
      <c r="EI140" s="448">
        <f t="shared" si="17"/>
        <v>0</v>
      </c>
      <c r="EJ140" s="449">
        <v>0</v>
      </c>
      <c r="EK140" s="450">
        <f t="shared" si="18"/>
        <v>0</v>
      </c>
    </row>
    <row r="141" spans="63:141" x14ac:dyDescent="0.35">
      <c r="BK141" s="296"/>
      <c r="BL141" s="297"/>
      <c r="BM141" s="298"/>
      <c r="BN141" s="297"/>
      <c r="BO141" s="298"/>
      <c r="EE141" s="439" t="str" cm="1">
        <f t="array" ref="EE141">IFERROR(IF($EC$9="",IF($EC$11="",IF($EC$13="",INDEX(bhpc_data[sku],SMALL(MATCH(ROW(bhpc_data[sku]),ROW(bhpc_data[sku])),ROWS($A$15:A146)+$B$3)),INDEX(bhpc_data[sku],SMALL(IF(ISNUMBER(MATCH(bhpc_data[size],$EC$13,0)),MATCH(ROW(bhpc_data[sku]),ROW(bhpc_data[sku])),""),ROWS($A$15:A146)+$B$3))),IF($EC$13="",INDEX(bhpc_data[sku],SMALL(IF(ISNUMBER(MATCH(bhpc_data[sex],$EC$11,0)),MATCH(ROW(bhpc_data[sku]),ROW(bhpc_data[sku])),""),ROWS($A$15:A146)+$B$3)),INDEX(bhpc_data[sku],SMALL(IF(ISNUMBER(MATCH(bhpc_data[sex],$EC$11,0)*MATCH(bhpc_data[size],$EC$13,0)),MATCH(ROW(bhpc_data[sku]),ROW(bhpc_data[sku])),""),ROWS($A$15:A146)+$B$3)))),IF($EC$11="",IF($EC$13="",INDEX(bhpc_data[sku],SMALL(IF(ISNUMBER(MATCH(bhpc_data[category],$EC$9,0)),MATCH(ROW(bhpc_data[sku]),ROW(bhpc_data[sku])),""),ROWS($A$15:A146)+$B$3)),INDEX(bhpc_data[sku],SMALL(IF(ISNUMBER(MATCH(bhpc_data[category],$EC$9,0)*MATCH(bhpc_data[size],$EC$13,0)),MATCH(ROW(bhpc_data[sku]),ROW(bhpc_data[sku])),""),ROWS($A$15:A146)+$B$3))),IF($EC$13="",INDEX(bhpc_data[sku],SMALL(IF(ISNUMBER(MATCH(bhpc_data[category],$EC$9,0)*MATCH(bhpc_data[sex],$EC$11,0)),MATCH(ROW(bhpc_data[sku]),ROW(bhpc_data[sku])),""),ROWS($A$15:A146)+$B$3)),INDEX(bhpc_data[sku],SMALL(IF(ISNUMBER(MATCH(bhpc_data[category],$EC$9,0)*MATCH(bhpc_data[sex],$EC$11,0)*MATCH(bhpc_data[size],$EC$13,0)),MATCH(ROW(bhpc_data[sku]),ROW(bhpc_data[sku])),""),ROWS($A$15:A146)+$B$3))))),"")</f>
        <v>GSTM18</v>
      </c>
      <c r="EF141" s="440" t="str" cm="1">
        <f t="array" ref="EF141">IFERROR(IF($EC$9="",IF($EC$11="",IF($EC$13="",INDEX(bhpc_data[description],SMALL(MATCH(ROW(bhpc_data[sku]),ROW(bhpc_data[sku])),ROWS($A$15:A146)+$B$3)),INDEX(bhpc_data[description],SMALL(IF(ISNUMBER(MATCH(bhpc_data[size],$EC$13,0)),MATCH(ROW(bhpc_data[sku]),ROW(bhpc_data[sku])),""),ROWS($A$15:A146)+$B$3))),IF($EC$13="",INDEX(bhpc_data[description],SMALL(IF(ISNUMBER(MATCH(bhpc_data[sex],$EC$11,0)),MATCH(ROW(bhpc_data[sku]),ROW(bhpc_data[sku])),""),ROWS($A$15:A146)+$B$3)),INDEX(bhpc_data[description],SMALL(IF(ISNUMBER(MATCH(bhpc_data[sex],$EC$11,0)*MATCH(bhpc_data[size],$EC$13,0)),MATCH(ROW(bhpc_data[sku]),ROW(bhpc_data[sku])),""),ROWS($A$15:A146)+$B$3)))),IF($EC$11="",IF($EC$13="",INDEX(bhpc_data[description],SMALL(IF(ISNUMBER(MATCH(bhpc_data[category],$EC$9,0)),MATCH(ROW(bhpc_data[sku]),ROW(bhpc_data[sku])),""),ROWS($A$15:A146)+$B$3)),INDEX(bhpc_data[description],SMALL(IF(ISNUMBER(MATCH(bhpc_data[category],$EC$9,0)*MATCH(bhpc_data[size],$EC$13,0)),MATCH(ROW(bhpc_data[sku]),ROW(bhpc_data[sku])),""),ROWS($A$15:A146)+$B$3))),IF($EC$13="",INDEX(bhpc_data[description],SMALL(IF(ISNUMBER(MATCH(bhpc_data[category],$EC$9,0)*MATCH(bhpc_data[sex],$EC$11,0)),MATCH(ROW(bhpc_data[sku]),ROW(bhpc_data[sku])),""),ROWS($A$15:A146)+$B$3)),INDEX(bhpc_data[description],SMALL(IF(ISNUMBER(MATCH(bhpc_data[category],$EC$9,0)*MATCH(bhpc_data[sex],$EC$11,0)*MATCH(bhpc_data[size],$EC$13,0)),MATCH(ROW(bhpc_data[sku]),ROW(bhpc_data[sku])),""),ROWS($A$15:A146)+$B$3))))),"")</f>
        <v>BHPC TWINPACK SPORTS MEN DEO #1 #8 175ML</v>
      </c>
      <c r="EG141" s="441">
        <f>IFERROR(IF('BHPC MANAGER'!$EE141="","",INDEX(inventory[ESISTENZA],MATCH('BHPC MANAGER'!$EE141,inventory[SKU],0))),0)</f>
        <v>0</v>
      </c>
      <c r="EH141" s="442">
        <v>0</v>
      </c>
      <c r="EI141" s="442">
        <f t="shared" si="17"/>
        <v>0</v>
      </c>
      <c r="EJ141" s="443">
        <v>0</v>
      </c>
      <c r="EK141" s="444">
        <f t="shared" si="18"/>
        <v>0</v>
      </c>
    </row>
    <row r="142" spans="63:141" x14ac:dyDescent="0.35">
      <c r="BK142" s="296"/>
      <c r="BL142" s="297"/>
      <c r="BM142" s="298"/>
      <c r="BN142" s="297"/>
      <c r="BO142" s="298"/>
      <c r="EE142" s="445" t="str" cm="1">
        <f t="array" ref="EE142">IFERROR(IF($EC$9="",IF($EC$11="",IF($EC$13="",INDEX(bhpc_data[sku],SMALL(MATCH(ROW(bhpc_data[sku]),ROW(bhpc_data[sku])),ROWS($A$15:A147)+$B$3)),INDEX(bhpc_data[sku],SMALL(IF(ISNUMBER(MATCH(bhpc_data[size],$EC$13,0)),MATCH(ROW(bhpc_data[sku]),ROW(bhpc_data[sku])),""),ROWS($A$15:A147)+$B$3))),IF($EC$13="",INDEX(bhpc_data[sku],SMALL(IF(ISNUMBER(MATCH(bhpc_data[sex],$EC$11,0)),MATCH(ROW(bhpc_data[sku]),ROW(bhpc_data[sku])),""),ROWS($A$15:A147)+$B$3)),INDEX(bhpc_data[sku],SMALL(IF(ISNUMBER(MATCH(bhpc_data[sex],$EC$11,0)*MATCH(bhpc_data[size],$EC$13,0)),MATCH(ROW(bhpc_data[sku]),ROW(bhpc_data[sku])),""),ROWS($A$15:A147)+$B$3)))),IF($EC$11="",IF($EC$13="",INDEX(bhpc_data[sku],SMALL(IF(ISNUMBER(MATCH(bhpc_data[category],$EC$9,0)),MATCH(ROW(bhpc_data[sku]),ROW(bhpc_data[sku])),""),ROWS($A$15:A147)+$B$3)),INDEX(bhpc_data[sku],SMALL(IF(ISNUMBER(MATCH(bhpc_data[category],$EC$9,0)*MATCH(bhpc_data[size],$EC$13,0)),MATCH(ROW(bhpc_data[sku]),ROW(bhpc_data[sku])),""),ROWS($A$15:A147)+$B$3))),IF($EC$13="",INDEX(bhpc_data[sku],SMALL(IF(ISNUMBER(MATCH(bhpc_data[category],$EC$9,0)*MATCH(bhpc_data[sex],$EC$11,0)),MATCH(ROW(bhpc_data[sku]),ROW(bhpc_data[sku])),""),ROWS($A$15:A147)+$B$3)),INDEX(bhpc_data[sku],SMALL(IF(ISNUMBER(MATCH(bhpc_data[category],$EC$9,0)*MATCH(bhpc_data[sex],$EC$11,0)*MATCH(bhpc_data[size],$EC$13,0)),MATCH(ROW(bhpc_data[sku]),ROW(bhpc_data[sku])),""),ROWS($A$15:A147)+$B$3))))),"")</f>
        <v>GSTM19</v>
      </c>
      <c r="EF142" s="446" t="str" cm="1">
        <f t="array" ref="EF142">IFERROR(IF($EC$9="",IF($EC$11="",IF($EC$13="",INDEX(bhpc_data[description],SMALL(MATCH(ROW(bhpc_data[sku]),ROW(bhpc_data[sku])),ROWS($A$15:A147)+$B$3)),INDEX(bhpc_data[description],SMALL(IF(ISNUMBER(MATCH(bhpc_data[size],$EC$13,0)),MATCH(ROW(bhpc_data[sku]),ROW(bhpc_data[sku])),""),ROWS($A$15:A147)+$B$3))),IF($EC$13="",INDEX(bhpc_data[description],SMALL(IF(ISNUMBER(MATCH(bhpc_data[sex],$EC$11,0)),MATCH(ROW(bhpc_data[sku]),ROW(bhpc_data[sku])),""),ROWS($A$15:A147)+$B$3)),INDEX(bhpc_data[description],SMALL(IF(ISNUMBER(MATCH(bhpc_data[sex],$EC$11,0)*MATCH(bhpc_data[size],$EC$13,0)),MATCH(ROW(bhpc_data[sku]),ROW(bhpc_data[sku])),""),ROWS($A$15:A147)+$B$3)))),IF($EC$11="",IF($EC$13="",INDEX(bhpc_data[description],SMALL(IF(ISNUMBER(MATCH(bhpc_data[category],$EC$9,0)),MATCH(ROW(bhpc_data[sku]),ROW(bhpc_data[sku])),""),ROWS($A$15:A147)+$B$3)),INDEX(bhpc_data[description],SMALL(IF(ISNUMBER(MATCH(bhpc_data[category],$EC$9,0)*MATCH(bhpc_data[size],$EC$13,0)),MATCH(ROW(bhpc_data[sku]),ROW(bhpc_data[sku])),""),ROWS($A$15:A147)+$B$3))),IF($EC$13="",INDEX(bhpc_data[description],SMALL(IF(ISNUMBER(MATCH(bhpc_data[category],$EC$9,0)*MATCH(bhpc_data[sex],$EC$11,0)),MATCH(ROW(bhpc_data[sku]),ROW(bhpc_data[sku])),""),ROWS($A$15:A147)+$B$3)),INDEX(bhpc_data[description],SMALL(IF(ISNUMBER(MATCH(bhpc_data[category],$EC$9,0)*MATCH(bhpc_data[sex],$EC$11,0)*MATCH(bhpc_data[size],$EC$13,0)),MATCH(ROW(bhpc_data[sku]),ROW(bhpc_data[sku])),""),ROWS($A$15:A147)+$B$3))))),"")</f>
        <v>BHPC TWINPACK SPORTS MEN DEO #1 #9 175ML</v>
      </c>
      <c r="EG142" s="447">
        <f>IFERROR(IF('BHPC MANAGER'!$EE142="","",INDEX(inventory[ESISTENZA],MATCH('BHPC MANAGER'!$EE142,inventory[SKU],0))),0)</f>
        <v>0</v>
      </c>
      <c r="EH142" s="448">
        <v>0</v>
      </c>
      <c r="EI142" s="448">
        <f t="shared" si="17"/>
        <v>0</v>
      </c>
      <c r="EJ142" s="449">
        <v>0</v>
      </c>
      <c r="EK142" s="450">
        <f t="shared" si="18"/>
        <v>0</v>
      </c>
    </row>
    <row r="143" spans="63:141" x14ac:dyDescent="0.35">
      <c r="BK143" s="296"/>
      <c r="BL143" s="297"/>
      <c r="BM143" s="298"/>
      <c r="BN143" s="297"/>
      <c r="BO143" s="298"/>
      <c r="EE143" s="439" t="str" cm="1">
        <f t="array" ref="EE143">IFERROR(IF($EC$9="",IF($EC$11="",IF($EC$13="",INDEX(bhpc_data[sku],SMALL(MATCH(ROW(bhpc_data[sku]),ROW(bhpc_data[sku])),ROWS($A$15:A148)+$B$3)),INDEX(bhpc_data[sku],SMALL(IF(ISNUMBER(MATCH(bhpc_data[size],$EC$13,0)),MATCH(ROW(bhpc_data[sku]),ROW(bhpc_data[sku])),""),ROWS($A$15:A148)+$B$3))),IF($EC$13="",INDEX(bhpc_data[sku],SMALL(IF(ISNUMBER(MATCH(bhpc_data[sex],$EC$11,0)),MATCH(ROW(bhpc_data[sku]),ROW(bhpc_data[sku])),""),ROWS($A$15:A148)+$B$3)),INDEX(bhpc_data[sku],SMALL(IF(ISNUMBER(MATCH(bhpc_data[sex],$EC$11,0)*MATCH(bhpc_data[size],$EC$13,0)),MATCH(ROW(bhpc_data[sku]),ROW(bhpc_data[sku])),""),ROWS($A$15:A148)+$B$3)))),IF($EC$11="",IF($EC$13="",INDEX(bhpc_data[sku],SMALL(IF(ISNUMBER(MATCH(bhpc_data[category],$EC$9,0)),MATCH(ROW(bhpc_data[sku]),ROW(bhpc_data[sku])),""),ROWS($A$15:A148)+$B$3)),INDEX(bhpc_data[sku],SMALL(IF(ISNUMBER(MATCH(bhpc_data[category],$EC$9,0)*MATCH(bhpc_data[size],$EC$13,0)),MATCH(ROW(bhpc_data[sku]),ROW(bhpc_data[sku])),""),ROWS($A$15:A148)+$B$3))),IF($EC$13="",INDEX(bhpc_data[sku],SMALL(IF(ISNUMBER(MATCH(bhpc_data[category],$EC$9,0)*MATCH(bhpc_data[sex],$EC$11,0)),MATCH(ROW(bhpc_data[sku]),ROW(bhpc_data[sku])),""),ROWS($A$15:A148)+$B$3)),INDEX(bhpc_data[sku],SMALL(IF(ISNUMBER(MATCH(bhpc_data[category],$EC$9,0)*MATCH(bhpc_data[sex],$EC$11,0)*MATCH(bhpc_data[size],$EC$13,0)),MATCH(ROW(bhpc_data[sku]),ROW(bhpc_data[sku])),""),ROWS($A$15:A148)+$B$3))))),"")</f>
        <v>GSTM28</v>
      </c>
      <c r="EF143" s="440" t="str" cm="1">
        <f t="array" ref="EF143">IFERROR(IF($EC$9="",IF($EC$11="",IF($EC$13="",INDEX(bhpc_data[description],SMALL(MATCH(ROW(bhpc_data[sku]),ROW(bhpc_data[sku])),ROWS($A$15:A148)+$B$3)),INDEX(bhpc_data[description],SMALL(IF(ISNUMBER(MATCH(bhpc_data[size],$EC$13,0)),MATCH(ROW(bhpc_data[sku]),ROW(bhpc_data[sku])),""),ROWS($A$15:A148)+$B$3))),IF($EC$13="",INDEX(bhpc_data[description],SMALL(IF(ISNUMBER(MATCH(bhpc_data[sex],$EC$11,0)),MATCH(ROW(bhpc_data[sku]),ROW(bhpc_data[sku])),""),ROWS($A$15:A148)+$B$3)),INDEX(bhpc_data[description],SMALL(IF(ISNUMBER(MATCH(bhpc_data[sex],$EC$11,0)*MATCH(bhpc_data[size],$EC$13,0)),MATCH(ROW(bhpc_data[sku]),ROW(bhpc_data[sku])),""),ROWS($A$15:A148)+$B$3)))),IF($EC$11="",IF($EC$13="",INDEX(bhpc_data[description],SMALL(IF(ISNUMBER(MATCH(bhpc_data[category],$EC$9,0)),MATCH(ROW(bhpc_data[sku]),ROW(bhpc_data[sku])),""),ROWS($A$15:A148)+$B$3)),INDEX(bhpc_data[description],SMALL(IF(ISNUMBER(MATCH(bhpc_data[category],$EC$9,0)*MATCH(bhpc_data[size],$EC$13,0)),MATCH(ROW(bhpc_data[sku]),ROW(bhpc_data[sku])),""),ROWS($A$15:A148)+$B$3))),IF($EC$13="",INDEX(bhpc_data[description],SMALL(IF(ISNUMBER(MATCH(bhpc_data[category],$EC$9,0)*MATCH(bhpc_data[sex],$EC$11,0)),MATCH(ROW(bhpc_data[sku]),ROW(bhpc_data[sku])),""),ROWS($A$15:A148)+$B$3)),INDEX(bhpc_data[description],SMALL(IF(ISNUMBER(MATCH(bhpc_data[category],$EC$9,0)*MATCH(bhpc_data[sex],$EC$11,0)*MATCH(bhpc_data[size],$EC$13,0)),MATCH(ROW(bhpc_data[sku]),ROW(bhpc_data[sku])),""),ROWS($A$15:A148)+$B$3))))),"")</f>
        <v>BHPC TWINPACK SPORTS MEN DEO #2 #8 175ML</v>
      </c>
      <c r="EG143" s="441">
        <f>IFERROR(IF('BHPC MANAGER'!$EE143="","",INDEX(inventory[ESISTENZA],MATCH('BHPC MANAGER'!$EE143,inventory[SKU],0))),0)</f>
        <v>0</v>
      </c>
      <c r="EH143" s="442">
        <v>0</v>
      </c>
      <c r="EI143" s="442">
        <f t="shared" si="17"/>
        <v>0</v>
      </c>
      <c r="EJ143" s="443">
        <v>0</v>
      </c>
      <c r="EK143" s="444">
        <f t="shared" si="18"/>
        <v>0</v>
      </c>
    </row>
    <row r="144" spans="63:141" x14ac:dyDescent="0.35">
      <c r="BK144" s="296"/>
      <c r="BL144" s="297"/>
      <c r="BM144" s="298"/>
      <c r="BN144" s="297"/>
      <c r="BO144" s="298"/>
      <c r="EE144" s="445" t="str" cm="1">
        <f t="array" ref="EE144">IFERROR(IF($EC$9="",IF($EC$11="",IF($EC$13="",INDEX(bhpc_data[sku],SMALL(MATCH(ROW(bhpc_data[sku]),ROW(bhpc_data[sku])),ROWS($A$15:A149)+$B$3)),INDEX(bhpc_data[sku],SMALL(IF(ISNUMBER(MATCH(bhpc_data[size],$EC$13,0)),MATCH(ROW(bhpc_data[sku]),ROW(bhpc_data[sku])),""),ROWS($A$15:A149)+$B$3))),IF($EC$13="",INDEX(bhpc_data[sku],SMALL(IF(ISNUMBER(MATCH(bhpc_data[sex],$EC$11,0)),MATCH(ROW(bhpc_data[sku]),ROW(bhpc_data[sku])),""),ROWS($A$15:A149)+$B$3)),INDEX(bhpc_data[sku],SMALL(IF(ISNUMBER(MATCH(bhpc_data[sex],$EC$11,0)*MATCH(bhpc_data[size],$EC$13,0)),MATCH(ROW(bhpc_data[sku]),ROW(bhpc_data[sku])),""),ROWS($A$15:A149)+$B$3)))),IF($EC$11="",IF($EC$13="",INDEX(bhpc_data[sku],SMALL(IF(ISNUMBER(MATCH(bhpc_data[category],$EC$9,0)),MATCH(ROW(bhpc_data[sku]),ROW(bhpc_data[sku])),""),ROWS($A$15:A149)+$B$3)),INDEX(bhpc_data[sku],SMALL(IF(ISNUMBER(MATCH(bhpc_data[category],$EC$9,0)*MATCH(bhpc_data[size],$EC$13,0)),MATCH(ROW(bhpc_data[sku]),ROW(bhpc_data[sku])),""),ROWS($A$15:A149)+$B$3))),IF($EC$13="",INDEX(bhpc_data[sku],SMALL(IF(ISNUMBER(MATCH(bhpc_data[category],$EC$9,0)*MATCH(bhpc_data[sex],$EC$11,0)),MATCH(ROW(bhpc_data[sku]),ROW(bhpc_data[sku])),""),ROWS($A$15:A149)+$B$3)),INDEX(bhpc_data[sku],SMALL(IF(ISNUMBER(MATCH(bhpc_data[category],$EC$9,0)*MATCH(bhpc_data[sex],$EC$11,0)*MATCH(bhpc_data[size],$EC$13,0)),MATCH(ROW(bhpc_data[sku]),ROW(bhpc_data[sku])),""),ROWS($A$15:A149)+$B$3))))),"")</f>
        <v>GSTM29</v>
      </c>
      <c r="EF144" s="446" t="str" cm="1">
        <f t="array" ref="EF144">IFERROR(IF($EC$9="",IF($EC$11="",IF($EC$13="",INDEX(bhpc_data[description],SMALL(MATCH(ROW(bhpc_data[sku]),ROW(bhpc_data[sku])),ROWS($A$15:A149)+$B$3)),INDEX(bhpc_data[description],SMALL(IF(ISNUMBER(MATCH(bhpc_data[size],$EC$13,0)),MATCH(ROW(bhpc_data[sku]),ROW(bhpc_data[sku])),""),ROWS($A$15:A149)+$B$3))),IF($EC$13="",INDEX(bhpc_data[description],SMALL(IF(ISNUMBER(MATCH(bhpc_data[sex],$EC$11,0)),MATCH(ROW(bhpc_data[sku]),ROW(bhpc_data[sku])),""),ROWS($A$15:A149)+$B$3)),INDEX(bhpc_data[description],SMALL(IF(ISNUMBER(MATCH(bhpc_data[sex],$EC$11,0)*MATCH(bhpc_data[size],$EC$13,0)),MATCH(ROW(bhpc_data[sku]),ROW(bhpc_data[sku])),""),ROWS($A$15:A149)+$B$3)))),IF($EC$11="",IF($EC$13="",INDEX(bhpc_data[description],SMALL(IF(ISNUMBER(MATCH(bhpc_data[category],$EC$9,0)),MATCH(ROW(bhpc_data[sku]),ROW(bhpc_data[sku])),""),ROWS($A$15:A149)+$B$3)),INDEX(bhpc_data[description],SMALL(IF(ISNUMBER(MATCH(bhpc_data[category],$EC$9,0)*MATCH(bhpc_data[size],$EC$13,0)),MATCH(ROW(bhpc_data[sku]),ROW(bhpc_data[sku])),""),ROWS($A$15:A149)+$B$3))),IF($EC$13="",INDEX(bhpc_data[description],SMALL(IF(ISNUMBER(MATCH(bhpc_data[category],$EC$9,0)*MATCH(bhpc_data[sex],$EC$11,0)),MATCH(ROW(bhpc_data[sku]),ROW(bhpc_data[sku])),""),ROWS($A$15:A149)+$B$3)),INDEX(bhpc_data[description],SMALL(IF(ISNUMBER(MATCH(bhpc_data[category],$EC$9,0)*MATCH(bhpc_data[sex],$EC$11,0)*MATCH(bhpc_data[size],$EC$13,0)),MATCH(ROW(bhpc_data[sku]),ROW(bhpc_data[sku])),""),ROWS($A$15:A149)+$B$3))))),"")</f>
        <v>BHPC TWINPACK SPORTS MEN DEO #2 #9 175ML</v>
      </c>
      <c r="EG144" s="447">
        <f>IFERROR(IF('BHPC MANAGER'!$EE144="","",INDEX(inventory[ESISTENZA],MATCH('BHPC MANAGER'!$EE144,inventory[SKU],0))),0)</f>
        <v>0</v>
      </c>
      <c r="EH144" s="448">
        <v>0</v>
      </c>
      <c r="EI144" s="448">
        <f t="shared" si="17"/>
        <v>0</v>
      </c>
      <c r="EJ144" s="449">
        <v>0</v>
      </c>
      <c r="EK144" s="450">
        <f t="shared" si="18"/>
        <v>0</v>
      </c>
    </row>
    <row r="145" spans="63:141" x14ac:dyDescent="0.35">
      <c r="BK145" s="296"/>
      <c r="BL145" s="297"/>
      <c r="BM145" s="298"/>
      <c r="BN145" s="297"/>
      <c r="BO145" s="298"/>
      <c r="EE145" s="439" t="str" cm="1">
        <f t="array" ref="EE145">IFERROR(IF($EC$9="",IF($EC$11="",IF($EC$13="",INDEX(bhpc_data[sku],SMALL(MATCH(ROW(bhpc_data[sku]),ROW(bhpc_data[sku])),ROWS($A$15:A150)+$B$3)),INDEX(bhpc_data[sku],SMALL(IF(ISNUMBER(MATCH(bhpc_data[size],$EC$13,0)),MATCH(ROW(bhpc_data[sku]),ROW(bhpc_data[sku])),""),ROWS($A$15:A150)+$B$3))),IF($EC$13="",INDEX(bhpc_data[sku],SMALL(IF(ISNUMBER(MATCH(bhpc_data[sex],$EC$11,0)),MATCH(ROW(bhpc_data[sku]),ROW(bhpc_data[sku])),""),ROWS($A$15:A150)+$B$3)),INDEX(bhpc_data[sku],SMALL(IF(ISNUMBER(MATCH(bhpc_data[sex],$EC$11,0)*MATCH(bhpc_data[size],$EC$13,0)),MATCH(ROW(bhpc_data[sku]),ROW(bhpc_data[sku])),""),ROWS($A$15:A150)+$B$3)))),IF($EC$11="",IF($EC$13="",INDEX(bhpc_data[sku],SMALL(IF(ISNUMBER(MATCH(bhpc_data[category],$EC$9,0)),MATCH(ROW(bhpc_data[sku]),ROW(bhpc_data[sku])),""),ROWS($A$15:A150)+$B$3)),INDEX(bhpc_data[sku],SMALL(IF(ISNUMBER(MATCH(bhpc_data[category],$EC$9,0)*MATCH(bhpc_data[size],$EC$13,0)),MATCH(ROW(bhpc_data[sku]),ROW(bhpc_data[sku])),""),ROWS($A$15:A150)+$B$3))),IF($EC$13="",INDEX(bhpc_data[sku],SMALL(IF(ISNUMBER(MATCH(bhpc_data[category],$EC$9,0)*MATCH(bhpc_data[sex],$EC$11,0)),MATCH(ROW(bhpc_data[sku]),ROW(bhpc_data[sku])),""),ROWS($A$15:A150)+$B$3)),INDEX(bhpc_data[sku],SMALL(IF(ISNUMBER(MATCH(bhpc_data[category],$EC$9,0)*MATCH(bhpc_data[sex],$EC$11,0)*MATCH(bhpc_data[size],$EC$13,0)),MATCH(ROW(bhpc_data[sku]),ROW(bhpc_data[sku])),""),ROWS($A$15:A150)+$B$3))))),"")</f>
        <v>GSTM89</v>
      </c>
      <c r="EF145" s="440" t="str" cm="1">
        <f t="array" ref="EF145">IFERROR(IF($EC$9="",IF($EC$11="",IF($EC$13="",INDEX(bhpc_data[description],SMALL(MATCH(ROW(bhpc_data[sku]),ROW(bhpc_data[sku])),ROWS($A$15:A150)+$B$3)),INDEX(bhpc_data[description],SMALL(IF(ISNUMBER(MATCH(bhpc_data[size],$EC$13,0)),MATCH(ROW(bhpc_data[sku]),ROW(bhpc_data[sku])),""),ROWS($A$15:A150)+$B$3))),IF($EC$13="",INDEX(bhpc_data[description],SMALL(IF(ISNUMBER(MATCH(bhpc_data[sex],$EC$11,0)),MATCH(ROW(bhpc_data[sku]),ROW(bhpc_data[sku])),""),ROWS($A$15:A150)+$B$3)),INDEX(bhpc_data[description],SMALL(IF(ISNUMBER(MATCH(bhpc_data[sex],$EC$11,0)*MATCH(bhpc_data[size],$EC$13,0)),MATCH(ROW(bhpc_data[sku]),ROW(bhpc_data[sku])),""),ROWS($A$15:A150)+$B$3)))),IF($EC$11="",IF($EC$13="",INDEX(bhpc_data[description],SMALL(IF(ISNUMBER(MATCH(bhpc_data[category],$EC$9,0)),MATCH(ROW(bhpc_data[sku]),ROW(bhpc_data[sku])),""),ROWS($A$15:A150)+$B$3)),INDEX(bhpc_data[description],SMALL(IF(ISNUMBER(MATCH(bhpc_data[category],$EC$9,0)*MATCH(bhpc_data[size],$EC$13,0)),MATCH(ROW(bhpc_data[sku]),ROW(bhpc_data[sku])),""),ROWS($A$15:A150)+$B$3))),IF($EC$13="",INDEX(bhpc_data[description],SMALL(IF(ISNUMBER(MATCH(bhpc_data[category],$EC$9,0)*MATCH(bhpc_data[sex],$EC$11,0)),MATCH(ROW(bhpc_data[sku]),ROW(bhpc_data[sku])),""),ROWS($A$15:A150)+$B$3)),INDEX(bhpc_data[description],SMALL(IF(ISNUMBER(MATCH(bhpc_data[category],$EC$9,0)*MATCH(bhpc_data[sex],$EC$11,0)*MATCH(bhpc_data[size],$EC$13,0)),MATCH(ROW(bhpc_data[sku]),ROW(bhpc_data[sku])),""),ROWS($A$15:A150)+$B$3))))),"")</f>
        <v>BHPC TWINPACK SPORTS MEN DEO #8 #9 175ML</v>
      </c>
      <c r="EG145" s="441">
        <f>IFERROR(IF('BHPC MANAGER'!$EE145="","",INDEX(inventory[ESISTENZA],MATCH('BHPC MANAGER'!$EE145,inventory[SKU],0))),0)</f>
        <v>0</v>
      </c>
      <c r="EH145" s="442">
        <v>0</v>
      </c>
      <c r="EI145" s="442">
        <f t="shared" si="17"/>
        <v>0</v>
      </c>
      <c r="EJ145" s="443">
        <v>0</v>
      </c>
      <c r="EK145" s="444">
        <f t="shared" si="18"/>
        <v>0</v>
      </c>
    </row>
    <row r="146" spans="63:141" x14ac:dyDescent="0.35">
      <c r="BK146" s="296"/>
      <c r="BL146" s="297"/>
      <c r="BM146" s="298"/>
      <c r="BN146" s="297"/>
      <c r="BO146" s="298"/>
      <c r="EE146" s="445" t="str" cm="1">
        <f t="array" ref="EE146">IFERROR(IF($EC$9="",IF($EC$11="",IF($EC$13="",INDEX(bhpc_data[sku],SMALL(MATCH(ROW(bhpc_data[sku]),ROW(bhpc_data[sku])),ROWS($A$15:A151)+$B$3)),INDEX(bhpc_data[sku],SMALL(IF(ISNUMBER(MATCH(bhpc_data[size],$EC$13,0)),MATCH(ROW(bhpc_data[sku]),ROW(bhpc_data[sku])),""),ROWS($A$15:A151)+$B$3))),IF($EC$13="",INDEX(bhpc_data[sku],SMALL(IF(ISNUMBER(MATCH(bhpc_data[sex],$EC$11,0)),MATCH(ROW(bhpc_data[sku]),ROW(bhpc_data[sku])),""),ROWS($A$15:A151)+$B$3)),INDEX(bhpc_data[sku],SMALL(IF(ISNUMBER(MATCH(bhpc_data[sex],$EC$11,0)*MATCH(bhpc_data[size],$EC$13,0)),MATCH(ROW(bhpc_data[sku]),ROW(bhpc_data[sku])),""),ROWS($A$15:A151)+$B$3)))),IF($EC$11="",IF($EC$13="",INDEX(bhpc_data[sku],SMALL(IF(ISNUMBER(MATCH(bhpc_data[category],$EC$9,0)),MATCH(ROW(bhpc_data[sku]),ROW(bhpc_data[sku])),""),ROWS($A$15:A151)+$B$3)),INDEX(bhpc_data[sku],SMALL(IF(ISNUMBER(MATCH(bhpc_data[category],$EC$9,0)*MATCH(bhpc_data[size],$EC$13,0)),MATCH(ROW(bhpc_data[sku]),ROW(bhpc_data[sku])),""),ROWS($A$15:A151)+$B$3))),IF($EC$13="",INDEX(bhpc_data[sku],SMALL(IF(ISNUMBER(MATCH(bhpc_data[category],$EC$9,0)*MATCH(bhpc_data[sex],$EC$11,0)),MATCH(ROW(bhpc_data[sku]),ROW(bhpc_data[sku])),""),ROWS($A$15:A151)+$B$3)),INDEX(bhpc_data[sku],SMALL(IF(ISNUMBER(MATCH(bhpc_data[category],$EC$9,0)*MATCH(bhpc_data[sex],$EC$11,0)*MATCH(bhpc_data[size],$EC$13,0)),MATCH(ROW(bhpc_data[sku]),ROW(bhpc_data[sku])),""),ROWS($A$15:A151)+$B$3))))),"")</f>
        <v>GSTW18</v>
      </c>
      <c r="EF146" s="446" t="str" cm="1">
        <f t="array" ref="EF146">IFERROR(IF($EC$9="",IF($EC$11="",IF($EC$13="",INDEX(bhpc_data[description],SMALL(MATCH(ROW(bhpc_data[sku]),ROW(bhpc_data[sku])),ROWS($A$15:A151)+$B$3)),INDEX(bhpc_data[description],SMALL(IF(ISNUMBER(MATCH(bhpc_data[size],$EC$13,0)),MATCH(ROW(bhpc_data[sku]),ROW(bhpc_data[sku])),""),ROWS($A$15:A151)+$B$3))),IF($EC$13="",INDEX(bhpc_data[description],SMALL(IF(ISNUMBER(MATCH(bhpc_data[sex],$EC$11,0)),MATCH(ROW(bhpc_data[sku]),ROW(bhpc_data[sku])),""),ROWS($A$15:A151)+$B$3)),INDEX(bhpc_data[description],SMALL(IF(ISNUMBER(MATCH(bhpc_data[sex],$EC$11,0)*MATCH(bhpc_data[size],$EC$13,0)),MATCH(ROW(bhpc_data[sku]),ROW(bhpc_data[sku])),""),ROWS($A$15:A151)+$B$3)))),IF($EC$11="",IF($EC$13="",INDEX(bhpc_data[description],SMALL(IF(ISNUMBER(MATCH(bhpc_data[category],$EC$9,0)),MATCH(ROW(bhpc_data[sku]),ROW(bhpc_data[sku])),""),ROWS($A$15:A151)+$B$3)),INDEX(bhpc_data[description],SMALL(IF(ISNUMBER(MATCH(bhpc_data[category],$EC$9,0)*MATCH(bhpc_data[size],$EC$13,0)),MATCH(ROW(bhpc_data[sku]),ROW(bhpc_data[sku])),""),ROWS($A$15:A151)+$B$3))),IF($EC$13="",INDEX(bhpc_data[description],SMALL(IF(ISNUMBER(MATCH(bhpc_data[category],$EC$9,0)*MATCH(bhpc_data[sex],$EC$11,0)),MATCH(ROW(bhpc_data[sku]),ROW(bhpc_data[sku])),""),ROWS($A$15:A151)+$B$3)),INDEX(bhpc_data[description],SMALL(IF(ISNUMBER(MATCH(bhpc_data[category],$EC$9,0)*MATCH(bhpc_data[sex],$EC$11,0)*MATCH(bhpc_data[size],$EC$13,0)),MATCH(ROW(bhpc_data[sku]),ROW(bhpc_data[sku])),""),ROWS($A$15:A151)+$B$3))))),"")</f>
        <v>BHPC TWINPACK DEO WOMEN #1 #8 150ML</v>
      </c>
      <c r="EG146" s="447">
        <f>IFERROR(IF('BHPC MANAGER'!$EE146="","",INDEX(inventory[ESISTENZA],MATCH('BHPC MANAGER'!$EE146,inventory[SKU],0))),0)</f>
        <v>0</v>
      </c>
      <c r="EH146" s="448">
        <v>0</v>
      </c>
      <c r="EI146" s="448">
        <f t="shared" si="17"/>
        <v>0</v>
      </c>
      <c r="EJ146" s="449">
        <v>0</v>
      </c>
      <c r="EK146" s="450">
        <f t="shared" si="18"/>
        <v>0</v>
      </c>
    </row>
    <row r="147" spans="63:141" x14ac:dyDescent="0.35">
      <c r="BK147" s="296"/>
      <c r="BL147" s="297"/>
      <c r="BM147" s="298"/>
      <c r="BN147" s="297"/>
      <c r="BO147" s="298"/>
      <c r="EE147" s="439" t="str" cm="1">
        <f t="array" ref="EE147">IFERROR(IF($EC$9="",IF($EC$11="",IF($EC$13="",INDEX(bhpc_data[sku],SMALL(MATCH(ROW(bhpc_data[sku]),ROW(bhpc_data[sku])),ROWS($A$15:A152)+$B$3)),INDEX(bhpc_data[sku],SMALL(IF(ISNUMBER(MATCH(bhpc_data[size],$EC$13,0)),MATCH(ROW(bhpc_data[sku]),ROW(bhpc_data[sku])),""),ROWS($A$15:A152)+$B$3))),IF($EC$13="",INDEX(bhpc_data[sku],SMALL(IF(ISNUMBER(MATCH(bhpc_data[sex],$EC$11,0)),MATCH(ROW(bhpc_data[sku]),ROW(bhpc_data[sku])),""),ROWS($A$15:A152)+$B$3)),INDEX(bhpc_data[sku],SMALL(IF(ISNUMBER(MATCH(bhpc_data[sex],$EC$11,0)*MATCH(bhpc_data[size],$EC$13,0)),MATCH(ROW(bhpc_data[sku]),ROW(bhpc_data[sku])),""),ROWS($A$15:A152)+$B$3)))),IF($EC$11="",IF($EC$13="",INDEX(bhpc_data[sku],SMALL(IF(ISNUMBER(MATCH(bhpc_data[category],$EC$9,0)),MATCH(ROW(bhpc_data[sku]),ROW(bhpc_data[sku])),""),ROWS($A$15:A152)+$B$3)),INDEX(bhpc_data[sku],SMALL(IF(ISNUMBER(MATCH(bhpc_data[category],$EC$9,0)*MATCH(bhpc_data[size],$EC$13,0)),MATCH(ROW(bhpc_data[sku]),ROW(bhpc_data[sku])),""),ROWS($A$15:A152)+$B$3))),IF($EC$13="",INDEX(bhpc_data[sku],SMALL(IF(ISNUMBER(MATCH(bhpc_data[category],$EC$9,0)*MATCH(bhpc_data[sex],$EC$11,0)),MATCH(ROW(bhpc_data[sku]),ROW(bhpc_data[sku])),""),ROWS($A$15:A152)+$B$3)),INDEX(bhpc_data[sku],SMALL(IF(ISNUMBER(MATCH(bhpc_data[category],$EC$9,0)*MATCH(bhpc_data[sex],$EC$11,0)*MATCH(bhpc_data[size],$EC$13,0)),MATCH(ROW(bhpc_data[sku]),ROW(bhpc_data[sku])),""),ROWS($A$15:A152)+$B$3))))),"")</f>
        <v>GSTW19</v>
      </c>
      <c r="EF147" s="440" t="str" cm="1">
        <f t="array" ref="EF147">IFERROR(IF($EC$9="",IF($EC$11="",IF($EC$13="",INDEX(bhpc_data[description],SMALL(MATCH(ROW(bhpc_data[sku]),ROW(bhpc_data[sku])),ROWS($A$15:A152)+$B$3)),INDEX(bhpc_data[description],SMALL(IF(ISNUMBER(MATCH(bhpc_data[size],$EC$13,0)),MATCH(ROW(bhpc_data[sku]),ROW(bhpc_data[sku])),""),ROWS($A$15:A152)+$B$3))),IF($EC$13="",INDEX(bhpc_data[description],SMALL(IF(ISNUMBER(MATCH(bhpc_data[sex],$EC$11,0)),MATCH(ROW(bhpc_data[sku]),ROW(bhpc_data[sku])),""),ROWS($A$15:A152)+$B$3)),INDEX(bhpc_data[description],SMALL(IF(ISNUMBER(MATCH(bhpc_data[sex],$EC$11,0)*MATCH(bhpc_data[size],$EC$13,0)),MATCH(ROW(bhpc_data[sku]),ROW(bhpc_data[sku])),""),ROWS($A$15:A152)+$B$3)))),IF($EC$11="",IF($EC$13="",INDEX(bhpc_data[description],SMALL(IF(ISNUMBER(MATCH(bhpc_data[category],$EC$9,0)),MATCH(ROW(bhpc_data[sku]),ROW(bhpc_data[sku])),""),ROWS($A$15:A152)+$B$3)),INDEX(bhpc_data[description],SMALL(IF(ISNUMBER(MATCH(bhpc_data[category],$EC$9,0)*MATCH(bhpc_data[size],$EC$13,0)),MATCH(ROW(bhpc_data[sku]),ROW(bhpc_data[sku])),""),ROWS($A$15:A152)+$B$3))),IF($EC$13="",INDEX(bhpc_data[description],SMALL(IF(ISNUMBER(MATCH(bhpc_data[category],$EC$9,0)*MATCH(bhpc_data[sex],$EC$11,0)),MATCH(ROW(bhpc_data[sku]),ROW(bhpc_data[sku])),""),ROWS($A$15:A152)+$B$3)),INDEX(bhpc_data[description],SMALL(IF(ISNUMBER(MATCH(bhpc_data[category],$EC$9,0)*MATCH(bhpc_data[sex],$EC$11,0)*MATCH(bhpc_data[size],$EC$13,0)),MATCH(ROW(bhpc_data[sku]),ROW(bhpc_data[sku])),""),ROWS($A$15:A152)+$B$3))))),"")</f>
        <v>BHPC TWINPACK DEO WOMEN #1 #9 150ML</v>
      </c>
      <c r="EG147" s="441">
        <f>IFERROR(IF('BHPC MANAGER'!$EE147="","",INDEX(inventory[ESISTENZA],MATCH('BHPC MANAGER'!$EE147,inventory[SKU],0))),0)</f>
        <v>0</v>
      </c>
      <c r="EH147" s="442">
        <v>0</v>
      </c>
      <c r="EI147" s="442">
        <f t="shared" si="17"/>
        <v>0</v>
      </c>
      <c r="EJ147" s="443">
        <v>0</v>
      </c>
      <c r="EK147" s="444">
        <f t="shared" si="18"/>
        <v>0</v>
      </c>
    </row>
    <row r="148" spans="63:141" x14ac:dyDescent="0.35">
      <c r="BK148" s="296"/>
      <c r="BL148" s="297"/>
      <c r="BM148" s="298"/>
      <c r="BN148" s="297"/>
      <c r="BO148" s="298"/>
      <c r="EE148" s="445" t="str" cm="1">
        <f t="array" ref="EE148">IFERROR(IF($EC$9="",IF($EC$11="",IF($EC$13="",INDEX(bhpc_data[sku],SMALL(MATCH(ROW(bhpc_data[sku]),ROW(bhpc_data[sku])),ROWS($A$15:A153)+$B$3)),INDEX(bhpc_data[sku],SMALL(IF(ISNUMBER(MATCH(bhpc_data[size],$EC$13,0)),MATCH(ROW(bhpc_data[sku]),ROW(bhpc_data[sku])),""),ROWS($A$15:A153)+$B$3))),IF($EC$13="",INDEX(bhpc_data[sku],SMALL(IF(ISNUMBER(MATCH(bhpc_data[sex],$EC$11,0)),MATCH(ROW(bhpc_data[sku]),ROW(bhpc_data[sku])),""),ROWS($A$15:A153)+$B$3)),INDEX(bhpc_data[sku],SMALL(IF(ISNUMBER(MATCH(bhpc_data[sex],$EC$11,0)*MATCH(bhpc_data[size],$EC$13,0)),MATCH(ROW(bhpc_data[sku]),ROW(bhpc_data[sku])),""),ROWS($A$15:A153)+$B$3)))),IF($EC$11="",IF($EC$13="",INDEX(bhpc_data[sku],SMALL(IF(ISNUMBER(MATCH(bhpc_data[category],$EC$9,0)),MATCH(ROW(bhpc_data[sku]),ROW(bhpc_data[sku])),""),ROWS($A$15:A153)+$B$3)),INDEX(bhpc_data[sku],SMALL(IF(ISNUMBER(MATCH(bhpc_data[category],$EC$9,0)*MATCH(bhpc_data[size],$EC$13,0)),MATCH(ROW(bhpc_data[sku]),ROW(bhpc_data[sku])),""),ROWS($A$15:A153)+$B$3))),IF($EC$13="",INDEX(bhpc_data[sku],SMALL(IF(ISNUMBER(MATCH(bhpc_data[category],$EC$9,0)*MATCH(bhpc_data[sex],$EC$11,0)),MATCH(ROW(bhpc_data[sku]),ROW(bhpc_data[sku])),""),ROWS($A$15:A153)+$B$3)),INDEX(bhpc_data[sku],SMALL(IF(ISNUMBER(MATCH(bhpc_data[category],$EC$9,0)*MATCH(bhpc_data[sex],$EC$11,0)*MATCH(bhpc_data[size],$EC$13,0)),MATCH(ROW(bhpc_data[sku]),ROW(bhpc_data[sku])),""),ROWS($A$15:A153)+$B$3))))),"")</f>
        <v>GSTW89</v>
      </c>
      <c r="EF148" s="446" t="str" cm="1">
        <f t="array" ref="EF148">IFERROR(IF($EC$9="",IF($EC$11="",IF($EC$13="",INDEX(bhpc_data[description],SMALL(MATCH(ROW(bhpc_data[sku]),ROW(bhpc_data[sku])),ROWS($A$15:A153)+$B$3)),INDEX(bhpc_data[description],SMALL(IF(ISNUMBER(MATCH(bhpc_data[size],$EC$13,0)),MATCH(ROW(bhpc_data[sku]),ROW(bhpc_data[sku])),""),ROWS($A$15:A153)+$B$3))),IF($EC$13="",INDEX(bhpc_data[description],SMALL(IF(ISNUMBER(MATCH(bhpc_data[sex],$EC$11,0)),MATCH(ROW(bhpc_data[sku]),ROW(bhpc_data[sku])),""),ROWS($A$15:A153)+$B$3)),INDEX(bhpc_data[description],SMALL(IF(ISNUMBER(MATCH(bhpc_data[sex],$EC$11,0)*MATCH(bhpc_data[size],$EC$13,0)),MATCH(ROW(bhpc_data[sku]),ROW(bhpc_data[sku])),""),ROWS($A$15:A153)+$B$3)))),IF($EC$11="",IF($EC$13="",INDEX(bhpc_data[description],SMALL(IF(ISNUMBER(MATCH(bhpc_data[category],$EC$9,0)),MATCH(ROW(bhpc_data[sku]),ROW(bhpc_data[sku])),""),ROWS($A$15:A153)+$B$3)),INDEX(bhpc_data[description],SMALL(IF(ISNUMBER(MATCH(bhpc_data[category],$EC$9,0)*MATCH(bhpc_data[size],$EC$13,0)),MATCH(ROW(bhpc_data[sku]),ROW(bhpc_data[sku])),""),ROWS($A$15:A153)+$B$3))),IF($EC$13="",INDEX(bhpc_data[description],SMALL(IF(ISNUMBER(MATCH(bhpc_data[category],$EC$9,0)*MATCH(bhpc_data[sex],$EC$11,0)),MATCH(ROW(bhpc_data[sku]),ROW(bhpc_data[sku])),""),ROWS($A$15:A153)+$B$3)),INDEX(bhpc_data[description],SMALL(IF(ISNUMBER(MATCH(bhpc_data[category],$EC$9,0)*MATCH(bhpc_data[sex],$EC$11,0)*MATCH(bhpc_data[size],$EC$13,0)),MATCH(ROW(bhpc_data[sku]),ROW(bhpc_data[sku])),""),ROWS($A$15:A153)+$B$3))))),"")</f>
        <v>BHPC TWINPACK DEO WOMEN #8 #9 150ML</v>
      </c>
      <c r="EG148" s="447">
        <f>IFERROR(IF('BHPC MANAGER'!$EE148="","",INDEX(inventory[ESISTENZA],MATCH('BHPC MANAGER'!$EE148,inventory[SKU],0))),0)</f>
        <v>0</v>
      </c>
      <c r="EH148" s="448">
        <v>0</v>
      </c>
      <c r="EI148" s="448">
        <f t="shared" si="17"/>
        <v>0</v>
      </c>
      <c r="EJ148" s="449">
        <v>0</v>
      </c>
      <c r="EK148" s="450">
        <f t="shared" si="18"/>
        <v>0</v>
      </c>
    </row>
    <row r="149" spans="63:141" x14ac:dyDescent="0.35">
      <c r="BK149" s="296"/>
      <c r="BL149" s="297"/>
      <c r="BM149" s="298"/>
      <c r="BN149" s="297"/>
      <c r="BO149" s="298"/>
      <c r="EE149" s="439" t="str" cm="1">
        <f t="array" ref="EE149">IFERROR(IF($EC$9="",IF($EC$11="",IF($EC$13="",INDEX(bhpc_data[sku],SMALL(MATCH(ROW(bhpc_data[sku]),ROW(bhpc_data[sku])),ROWS($A$15:A154)+$B$3)),INDEX(bhpc_data[sku],SMALL(IF(ISNUMBER(MATCH(bhpc_data[size],$EC$13,0)),MATCH(ROW(bhpc_data[sku]),ROW(bhpc_data[sku])),""),ROWS($A$15:A154)+$B$3))),IF($EC$13="",INDEX(bhpc_data[sku],SMALL(IF(ISNUMBER(MATCH(bhpc_data[sex],$EC$11,0)),MATCH(ROW(bhpc_data[sku]),ROW(bhpc_data[sku])),""),ROWS($A$15:A154)+$B$3)),INDEX(bhpc_data[sku],SMALL(IF(ISNUMBER(MATCH(bhpc_data[sex],$EC$11,0)*MATCH(bhpc_data[size],$EC$13,0)),MATCH(ROW(bhpc_data[sku]),ROW(bhpc_data[sku])),""),ROWS($A$15:A154)+$B$3)))),IF($EC$11="",IF($EC$13="",INDEX(bhpc_data[sku],SMALL(IF(ISNUMBER(MATCH(bhpc_data[category],$EC$9,0)),MATCH(ROW(bhpc_data[sku]),ROW(bhpc_data[sku])),""),ROWS($A$15:A154)+$B$3)),INDEX(bhpc_data[sku],SMALL(IF(ISNUMBER(MATCH(bhpc_data[category],$EC$9,0)*MATCH(bhpc_data[size],$EC$13,0)),MATCH(ROW(bhpc_data[sku]),ROW(bhpc_data[sku])),""),ROWS($A$15:A154)+$B$3))),IF($EC$13="",INDEX(bhpc_data[sku],SMALL(IF(ISNUMBER(MATCH(bhpc_data[category],$EC$9,0)*MATCH(bhpc_data[sex],$EC$11,0)),MATCH(ROW(bhpc_data[sku]),ROW(bhpc_data[sku])),""),ROWS($A$15:A154)+$B$3)),INDEX(bhpc_data[sku],SMALL(IF(ISNUMBER(MATCH(bhpc_data[category],$EC$9,0)*MATCH(bhpc_data[sex],$EC$11,0)*MATCH(bhpc_data[size],$EC$13,0)),MATCH(ROW(bhpc_data[sku]),ROW(bhpc_data[sku])),""),ROWS($A$15:A154)+$B$3))))),"")</f>
        <v>GSSP4M</v>
      </c>
      <c r="EF149" s="440" t="str" cm="1">
        <f t="array" ref="EF149">IFERROR(IF($EC$9="",IF($EC$11="",IF($EC$13="",INDEX(bhpc_data[description],SMALL(MATCH(ROW(bhpc_data[sku]),ROW(bhpc_data[sku])),ROWS($A$15:A154)+$B$3)),INDEX(bhpc_data[description],SMALL(IF(ISNUMBER(MATCH(bhpc_data[size],$EC$13,0)),MATCH(ROW(bhpc_data[sku]),ROW(bhpc_data[sku])),""),ROWS($A$15:A154)+$B$3))),IF($EC$13="",INDEX(bhpc_data[description],SMALL(IF(ISNUMBER(MATCH(bhpc_data[sex],$EC$11,0)),MATCH(ROW(bhpc_data[sku]),ROW(bhpc_data[sku])),""),ROWS($A$15:A154)+$B$3)),INDEX(bhpc_data[description],SMALL(IF(ISNUMBER(MATCH(bhpc_data[sex],$EC$11,0)*MATCH(bhpc_data[size],$EC$13,0)),MATCH(ROW(bhpc_data[sku]),ROW(bhpc_data[sku])),""),ROWS($A$15:A154)+$B$3)))),IF($EC$11="",IF($EC$13="",INDEX(bhpc_data[description],SMALL(IF(ISNUMBER(MATCH(bhpc_data[category],$EC$9,0)),MATCH(ROW(bhpc_data[sku]),ROW(bhpc_data[sku])),""),ROWS($A$15:A154)+$B$3)),INDEX(bhpc_data[description],SMALL(IF(ISNUMBER(MATCH(bhpc_data[category],$EC$9,0)*MATCH(bhpc_data[size],$EC$13,0)),MATCH(ROW(bhpc_data[sku]),ROW(bhpc_data[sku])),""),ROWS($A$15:A154)+$B$3))),IF($EC$13="",INDEX(bhpc_data[description],SMALL(IF(ISNUMBER(MATCH(bhpc_data[category],$EC$9,0)*MATCH(bhpc_data[sex],$EC$11,0)),MATCH(ROW(bhpc_data[sku]),ROW(bhpc_data[sku])),""),ROWS($A$15:A154)+$B$3)),INDEX(bhpc_data[description],SMALL(IF(ISNUMBER(MATCH(bhpc_data[category],$EC$9,0)*MATCH(bhpc_data[sex],$EC$11,0)*MATCH(bhpc_data[size],$EC$13,0)),MATCH(ROW(bhpc_data[sku]),ROW(bhpc_data[sku])),""),ROWS($A$15:A154)+$B$3))))),"")</f>
        <v>BHPC SPORTS DEO 4X175ML FOR MEN SERIES COLLECTION</v>
      </c>
      <c r="EG149" s="441">
        <f>IFERROR(IF('BHPC MANAGER'!$EE149="","",INDEX(inventory[ESISTENZA],MATCH('BHPC MANAGER'!$EE149,inventory[SKU],0))),0)</f>
        <v>0</v>
      </c>
      <c r="EH149" s="442">
        <v>0</v>
      </c>
      <c r="EI149" s="442">
        <f t="shared" si="17"/>
        <v>0</v>
      </c>
      <c r="EJ149" s="443">
        <v>0</v>
      </c>
      <c r="EK149" s="444">
        <f t="shared" si="18"/>
        <v>0</v>
      </c>
    </row>
    <row r="150" spans="63:141" x14ac:dyDescent="0.35">
      <c r="BK150" s="296"/>
      <c r="BL150" s="297"/>
      <c r="BM150" s="298"/>
      <c r="BN150" s="297"/>
      <c r="BO150" s="298"/>
      <c r="EE150" s="445" t="str" cm="1">
        <f t="array" ref="EE150">IFERROR(IF($EC$9="",IF($EC$11="",IF($EC$13="",INDEX(bhpc_data[sku],SMALL(MATCH(ROW(bhpc_data[sku]),ROW(bhpc_data[sku])),ROWS($A$15:A155)+$B$3)),INDEX(bhpc_data[sku],SMALL(IF(ISNUMBER(MATCH(bhpc_data[size],$EC$13,0)),MATCH(ROW(bhpc_data[sku]),ROW(bhpc_data[sku])),""),ROWS($A$15:A155)+$B$3))),IF($EC$13="",INDEX(bhpc_data[sku],SMALL(IF(ISNUMBER(MATCH(bhpc_data[sex],$EC$11,0)),MATCH(ROW(bhpc_data[sku]),ROW(bhpc_data[sku])),""),ROWS($A$15:A155)+$B$3)),INDEX(bhpc_data[sku],SMALL(IF(ISNUMBER(MATCH(bhpc_data[sex],$EC$11,0)*MATCH(bhpc_data[size],$EC$13,0)),MATCH(ROW(bhpc_data[sku]),ROW(bhpc_data[sku])),""),ROWS($A$15:A155)+$B$3)))),IF($EC$11="",IF($EC$13="",INDEX(bhpc_data[sku],SMALL(IF(ISNUMBER(MATCH(bhpc_data[category],$EC$9,0)),MATCH(ROW(bhpc_data[sku]),ROW(bhpc_data[sku])),""),ROWS($A$15:A155)+$B$3)),INDEX(bhpc_data[sku],SMALL(IF(ISNUMBER(MATCH(bhpc_data[category],$EC$9,0)*MATCH(bhpc_data[size],$EC$13,0)),MATCH(ROW(bhpc_data[sku]),ROW(bhpc_data[sku])),""),ROWS($A$15:A155)+$B$3))),IF($EC$13="",INDEX(bhpc_data[sku],SMALL(IF(ISNUMBER(MATCH(bhpc_data[category],$EC$9,0)*MATCH(bhpc_data[sex],$EC$11,0)),MATCH(ROW(bhpc_data[sku]),ROW(bhpc_data[sku])),""),ROWS($A$15:A155)+$B$3)),INDEX(bhpc_data[sku],SMALL(IF(ISNUMBER(MATCH(bhpc_data[category],$EC$9,0)*MATCH(bhpc_data[sex],$EC$11,0)*MATCH(bhpc_data[size],$EC$13,0)),MATCH(ROW(bhpc_data[sku]),ROW(bhpc_data[sku])),""),ROWS($A$15:A155)+$B$3))))),"")</f>
        <v>C00001</v>
      </c>
      <c r="EF150" s="446" t="str" cm="1">
        <f t="array" ref="EF150">IFERROR(IF($EC$9="",IF($EC$11="",IF($EC$13="",INDEX(bhpc_data[description],SMALL(MATCH(ROW(bhpc_data[sku]),ROW(bhpc_data[sku])),ROWS($A$15:A155)+$B$3)),INDEX(bhpc_data[description],SMALL(IF(ISNUMBER(MATCH(bhpc_data[size],$EC$13,0)),MATCH(ROW(bhpc_data[sku]),ROW(bhpc_data[sku])),""),ROWS($A$15:A155)+$B$3))),IF($EC$13="",INDEX(bhpc_data[description],SMALL(IF(ISNUMBER(MATCH(bhpc_data[sex],$EC$11,0)),MATCH(ROW(bhpc_data[sku]),ROW(bhpc_data[sku])),""),ROWS($A$15:A155)+$B$3)),INDEX(bhpc_data[description],SMALL(IF(ISNUMBER(MATCH(bhpc_data[sex],$EC$11,0)*MATCH(bhpc_data[size],$EC$13,0)),MATCH(ROW(bhpc_data[sku]),ROW(bhpc_data[sku])),""),ROWS($A$15:A155)+$B$3)))),IF($EC$11="",IF($EC$13="",INDEX(bhpc_data[description],SMALL(IF(ISNUMBER(MATCH(bhpc_data[category],$EC$9,0)),MATCH(ROW(bhpc_data[sku]),ROW(bhpc_data[sku])),""),ROWS($A$15:A155)+$B$3)),INDEX(bhpc_data[description],SMALL(IF(ISNUMBER(MATCH(bhpc_data[category],$EC$9,0)*MATCH(bhpc_data[size],$EC$13,0)),MATCH(ROW(bhpc_data[sku]),ROW(bhpc_data[sku])),""),ROWS($A$15:A155)+$B$3))),IF($EC$13="",INDEX(bhpc_data[description],SMALL(IF(ISNUMBER(MATCH(bhpc_data[category],$EC$9,0)*MATCH(bhpc_data[sex],$EC$11,0)),MATCH(ROW(bhpc_data[sku]),ROW(bhpc_data[sku])),""),ROWS($A$15:A155)+$B$3)),INDEX(bhpc_data[description],SMALL(IF(ISNUMBER(MATCH(bhpc_data[category],$EC$9,0)*MATCH(bhpc_data[sex],$EC$11,0)*MATCH(bhpc_data[size],$EC$13,0)),MATCH(ROW(bhpc_data[sku]),ROW(bhpc_data[sku])),""),ROWS($A$15:A155)+$B$3))))),"")</f>
        <v>BHPC CAP RED</v>
      </c>
      <c r="EG150" s="447">
        <f>IFERROR(IF('BHPC MANAGER'!$EE150="","",INDEX(inventory[ESISTENZA],MATCH('BHPC MANAGER'!$EE150,inventory[SKU],0))),0)</f>
        <v>35</v>
      </c>
      <c r="EH150" s="448">
        <v>-35</v>
      </c>
      <c r="EI150" s="448">
        <f t="shared" si="17"/>
        <v>0</v>
      </c>
      <c r="EJ150" s="449">
        <v>0</v>
      </c>
      <c r="EK150" s="450">
        <f t="shared" si="18"/>
        <v>0</v>
      </c>
    </row>
    <row r="151" spans="63:141" x14ac:dyDescent="0.35">
      <c r="BK151" s="296"/>
      <c r="BL151" s="297"/>
      <c r="BM151" s="298"/>
      <c r="BN151" s="297"/>
      <c r="BO151" s="298"/>
      <c r="EE151" s="439" t="str" cm="1">
        <f t="array" ref="EE151">IFERROR(IF($EC$9="",IF($EC$11="",IF($EC$13="",INDEX(bhpc_data[sku],SMALL(MATCH(ROW(bhpc_data[sku]),ROW(bhpc_data[sku])),ROWS($A$15:A156)+$B$3)),INDEX(bhpc_data[sku],SMALL(IF(ISNUMBER(MATCH(bhpc_data[size],$EC$13,0)),MATCH(ROW(bhpc_data[sku]),ROW(bhpc_data[sku])),""),ROWS($A$15:A156)+$B$3))),IF($EC$13="",INDEX(bhpc_data[sku],SMALL(IF(ISNUMBER(MATCH(bhpc_data[sex],$EC$11,0)),MATCH(ROW(bhpc_data[sku]),ROW(bhpc_data[sku])),""),ROWS($A$15:A156)+$B$3)),INDEX(bhpc_data[sku],SMALL(IF(ISNUMBER(MATCH(bhpc_data[sex],$EC$11,0)*MATCH(bhpc_data[size],$EC$13,0)),MATCH(ROW(bhpc_data[sku]),ROW(bhpc_data[sku])),""),ROWS($A$15:A156)+$B$3)))),IF($EC$11="",IF($EC$13="",INDEX(bhpc_data[sku],SMALL(IF(ISNUMBER(MATCH(bhpc_data[category],$EC$9,0)),MATCH(ROW(bhpc_data[sku]),ROW(bhpc_data[sku])),""),ROWS($A$15:A156)+$B$3)),INDEX(bhpc_data[sku],SMALL(IF(ISNUMBER(MATCH(bhpc_data[category],$EC$9,0)*MATCH(bhpc_data[size],$EC$13,0)),MATCH(ROW(bhpc_data[sku]),ROW(bhpc_data[sku])),""),ROWS($A$15:A156)+$B$3))),IF($EC$13="",INDEX(bhpc_data[sku],SMALL(IF(ISNUMBER(MATCH(bhpc_data[category],$EC$9,0)*MATCH(bhpc_data[sex],$EC$11,0)),MATCH(ROW(bhpc_data[sku]),ROW(bhpc_data[sku])),""),ROWS($A$15:A156)+$B$3)),INDEX(bhpc_data[sku],SMALL(IF(ISNUMBER(MATCH(bhpc_data[category],$EC$9,0)*MATCH(bhpc_data[sex],$EC$11,0)*MATCH(bhpc_data[size],$EC$13,0)),MATCH(ROW(bhpc_data[sku]),ROW(bhpc_data[sku])),""),ROWS($A$15:A156)+$B$3))))),"")</f>
        <v>C00002</v>
      </c>
      <c r="EF151" s="440" t="str" cm="1">
        <f t="array" ref="EF151">IFERROR(IF($EC$9="",IF($EC$11="",IF($EC$13="",INDEX(bhpc_data[description],SMALL(MATCH(ROW(bhpc_data[sku]),ROW(bhpc_data[sku])),ROWS($A$15:A156)+$B$3)),INDEX(bhpc_data[description],SMALL(IF(ISNUMBER(MATCH(bhpc_data[size],$EC$13,0)),MATCH(ROW(bhpc_data[sku]),ROW(bhpc_data[sku])),""),ROWS($A$15:A156)+$B$3))),IF($EC$13="",INDEX(bhpc_data[description],SMALL(IF(ISNUMBER(MATCH(bhpc_data[sex],$EC$11,0)),MATCH(ROW(bhpc_data[sku]),ROW(bhpc_data[sku])),""),ROWS($A$15:A156)+$B$3)),INDEX(bhpc_data[description],SMALL(IF(ISNUMBER(MATCH(bhpc_data[sex],$EC$11,0)*MATCH(bhpc_data[size],$EC$13,0)),MATCH(ROW(bhpc_data[sku]),ROW(bhpc_data[sku])),""),ROWS($A$15:A156)+$B$3)))),IF($EC$11="",IF($EC$13="",INDEX(bhpc_data[description],SMALL(IF(ISNUMBER(MATCH(bhpc_data[category],$EC$9,0)),MATCH(ROW(bhpc_data[sku]),ROW(bhpc_data[sku])),""),ROWS($A$15:A156)+$B$3)),INDEX(bhpc_data[description],SMALL(IF(ISNUMBER(MATCH(bhpc_data[category],$EC$9,0)*MATCH(bhpc_data[size],$EC$13,0)),MATCH(ROW(bhpc_data[sku]),ROW(bhpc_data[sku])),""),ROWS($A$15:A156)+$B$3))),IF($EC$13="",INDEX(bhpc_data[description],SMALL(IF(ISNUMBER(MATCH(bhpc_data[category],$EC$9,0)*MATCH(bhpc_data[sex],$EC$11,0)),MATCH(ROW(bhpc_data[sku]),ROW(bhpc_data[sku])),""),ROWS($A$15:A156)+$B$3)),INDEX(bhpc_data[description],SMALL(IF(ISNUMBER(MATCH(bhpc_data[category],$EC$9,0)*MATCH(bhpc_data[sex],$EC$11,0)*MATCH(bhpc_data[size],$EC$13,0)),MATCH(ROW(bhpc_data[sku]),ROW(bhpc_data[sku])),""),ROWS($A$15:A156)+$B$3))))),"")</f>
        <v>BHPC CAP BLU</v>
      </c>
      <c r="EG151" s="441">
        <f>IFERROR(IF('BHPC MANAGER'!$EE151="","",INDEX(inventory[ESISTENZA],MATCH('BHPC MANAGER'!$EE151,inventory[SKU],0))),0)</f>
        <v>16</v>
      </c>
      <c r="EH151" s="442">
        <v>-16</v>
      </c>
      <c r="EI151" s="442">
        <f t="shared" si="17"/>
        <v>0</v>
      </c>
      <c r="EJ151" s="443">
        <v>0</v>
      </c>
      <c r="EK151" s="444">
        <f t="shared" si="18"/>
        <v>0</v>
      </c>
    </row>
    <row r="152" spans="63:141" x14ac:dyDescent="0.35">
      <c r="BK152" s="296"/>
      <c r="BL152" s="297"/>
      <c r="BM152" s="298"/>
      <c r="BN152" s="297"/>
      <c r="BO152" s="298"/>
      <c r="EE152" s="445" t="str" cm="1">
        <f t="array" ref="EE152">IFERROR(IF($EC$9="",IF($EC$11="",IF($EC$13="",INDEX(bhpc_data[sku],SMALL(MATCH(ROW(bhpc_data[sku]),ROW(bhpc_data[sku])),ROWS($A$15:A157)+$B$3)),INDEX(bhpc_data[sku],SMALL(IF(ISNUMBER(MATCH(bhpc_data[size],$EC$13,0)),MATCH(ROW(bhpc_data[sku]),ROW(bhpc_data[sku])),""),ROWS($A$15:A157)+$B$3))),IF($EC$13="",INDEX(bhpc_data[sku],SMALL(IF(ISNUMBER(MATCH(bhpc_data[sex],$EC$11,0)),MATCH(ROW(bhpc_data[sku]),ROW(bhpc_data[sku])),""),ROWS($A$15:A157)+$B$3)),INDEX(bhpc_data[sku],SMALL(IF(ISNUMBER(MATCH(bhpc_data[sex],$EC$11,0)*MATCH(bhpc_data[size],$EC$13,0)),MATCH(ROW(bhpc_data[sku]),ROW(bhpc_data[sku])),""),ROWS($A$15:A157)+$B$3)))),IF($EC$11="",IF($EC$13="",INDEX(bhpc_data[sku],SMALL(IF(ISNUMBER(MATCH(bhpc_data[category],$EC$9,0)),MATCH(ROW(bhpc_data[sku]),ROW(bhpc_data[sku])),""),ROWS($A$15:A157)+$B$3)),INDEX(bhpc_data[sku],SMALL(IF(ISNUMBER(MATCH(bhpc_data[category],$EC$9,0)*MATCH(bhpc_data[size],$EC$13,0)),MATCH(ROW(bhpc_data[sku]),ROW(bhpc_data[sku])),""),ROWS($A$15:A157)+$B$3))),IF($EC$13="",INDEX(bhpc_data[sku],SMALL(IF(ISNUMBER(MATCH(bhpc_data[category],$EC$9,0)*MATCH(bhpc_data[sex],$EC$11,0)),MATCH(ROW(bhpc_data[sku]),ROW(bhpc_data[sku])),""),ROWS($A$15:A157)+$B$3)),INDEX(bhpc_data[sku],SMALL(IF(ISNUMBER(MATCH(bhpc_data[category],$EC$9,0)*MATCH(bhpc_data[sex],$EC$11,0)*MATCH(bhpc_data[size],$EC$13,0)),MATCH(ROW(bhpc_data[sku]),ROW(bhpc_data[sku])),""),ROWS($A$15:A157)+$B$3))))),"")</f>
        <v>C00003</v>
      </c>
      <c r="EF152" s="446" t="str" cm="1">
        <f t="array" ref="EF152">IFERROR(IF($EC$9="",IF($EC$11="",IF($EC$13="",INDEX(bhpc_data[description],SMALL(MATCH(ROW(bhpc_data[sku]),ROW(bhpc_data[sku])),ROWS($A$15:A157)+$B$3)),INDEX(bhpc_data[description],SMALL(IF(ISNUMBER(MATCH(bhpc_data[size],$EC$13,0)),MATCH(ROW(bhpc_data[sku]),ROW(bhpc_data[sku])),""),ROWS($A$15:A157)+$B$3))),IF($EC$13="",INDEX(bhpc_data[description],SMALL(IF(ISNUMBER(MATCH(bhpc_data[sex],$EC$11,0)),MATCH(ROW(bhpc_data[sku]),ROW(bhpc_data[sku])),""),ROWS($A$15:A157)+$B$3)),INDEX(bhpc_data[description],SMALL(IF(ISNUMBER(MATCH(bhpc_data[sex],$EC$11,0)*MATCH(bhpc_data[size],$EC$13,0)),MATCH(ROW(bhpc_data[sku]),ROW(bhpc_data[sku])),""),ROWS($A$15:A157)+$B$3)))),IF($EC$11="",IF($EC$13="",INDEX(bhpc_data[description],SMALL(IF(ISNUMBER(MATCH(bhpc_data[category],$EC$9,0)),MATCH(ROW(bhpc_data[sku]),ROW(bhpc_data[sku])),""),ROWS($A$15:A157)+$B$3)),INDEX(bhpc_data[description],SMALL(IF(ISNUMBER(MATCH(bhpc_data[category],$EC$9,0)*MATCH(bhpc_data[size],$EC$13,0)),MATCH(ROW(bhpc_data[sku]),ROW(bhpc_data[sku])),""),ROWS($A$15:A157)+$B$3))),IF($EC$13="",INDEX(bhpc_data[description],SMALL(IF(ISNUMBER(MATCH(bhpc_data[category],$EC$9,0)*MATCH(bhpc_data[sex],$EC$11,0)),MATCH(ROW(bhpc_data[sku]),ROW(bhpc_data[sku])),""),ROWS($A$15:A157)+$B$3)),INDEX(bhpc_data[description],SMALL(IF(ISNUMBER(MATCH(bhpc_data[category],$EC$9,0)*MATCH(bhpc_data[sex],$EC$11,0)*MATCH(bhpc_data[size],$EC$13,0)),MATCH(ROW(bhpc_data[sku]),ROW(bhpc_data[sku])),""),ROWS($A$15:A157)+$B$3))))),"")</f>
        <v>BHPC CAP DARK BLU</v>
      </c>
      <c r="EG152" s="447">
        <f>IFERROR(IF('BHPC MANAGER'!$EE152="","",INDEX(inventory[ESISTENZA],MATCH('BHPC MANAGER'!$EE152,inventory[SKU],0))),0)</f>
        <v>32</v>
      </c>
      <c r="EH152" s="448">
        <v>-32</v>
      </c>
      <c r="EI152" s="448">
        <f t="shared" si="17"/>
        <v>0</v>
      </c>
      <c r="EJ152" s="449">
        <v>0</v>
      </c>
      <c r="EK152" s="450">
        <f t="shared" si="18"/>
        <v>0</v>
      </c>
    </row>
    <row r="153" spans="63:141" x14ac:dyDescent="0.35">
      <c r="BK153" s="296"/>
      <c r="BL153" s="297"/>
      <c r="BM153" s="298"/>
      <c r="BN153" s="297"/>
      <c r="BO153" s="298"/>
      <c r="EE153" s="439" t="str" cm="1">
        <f t="array" ref="EE153">IFERROR(IF($EC$9="",IF($EC$11="",IF($EC$13="",INDEX(bhpc_data[sku],SMALL(MATCH(ROW(bhpc_data[sku]),ROW(bhpc_data[sku])),ROWS($A$15:A158)+$B$3)),INDEX(bhpc_data[sku],SMALL(IF(ISNUMBER(MATCH(bhpc_data[size],$EC$13,0)),MATCH(ROW(bhpc_data[sku]),ROW(bhpc_data[sku])),""),ROWS($A$15:A158)+$B$3))),IF($EC$13="",INDEX(bhpc_data[sku],SMALL(IF(ISNUMBER(MATCH(bhpc_data[sex],$EC$11,0)),MATCH(ROW(bhpc_data[sku]),ROW(bhpc_data[sku])),""),ROWS($A$15:A158)+$B$3)),INDEX(bhpc_data[sku],SMALL(IF(ISNUMBER(MATCH(bhpc_data[sex],$EC$11,0)*MATCH(bhpc_data[size],$EC$13,0)),MATCH(ROW(bhpc_data[sku]),ROW(bhpc_data[sku])),""),ROWS($A$15:A158)+$B$3)))),IF($EC$11="",IF($EC$13="",INDEX(bhpc_data[sku],SMALL(IF(ISNUMBER(MATCH(bhpc_data[category],$EC$9,0)),MATCH(ROW(bhpc_data[sku]),ROW(bhpc_data[sku])),""),ROWS($A$15:A158)+$B$3)),INDEX(bhpc_data[sku],SMALL(IF(ISNUMBER(MATCH(bhpc_data[category],$EC$9,0)*MATCH(bhpc_data[size],$EC$13,0)),MATCH(ROW(bhpc_data[sku]),ROW(bhpc_data[sku])),""),ROWS($A$15:A158)+$B$3))),IF($EC$13="",INDEX(bhpc_data[sku],SMALL(IF(ISNUMBER(MATCH(bhpc_data[category],$EC$9,0)*MATCH(bhpc_data[sex],$EC$11,0)),MATCH(ROW(bhpc_data[sku]),ROW(bhpc_data[sku])),""),ROWS($A$15:A158)+$B$3)),INDEX(bhpc_data[sku],SMALL(IF(ISNUMBER(MATCH(bhpc_data[category],$EC$9,0)*MATCH(bhpc_data[sex],$EC$11,0)*MATCH(bhpc_data[size],$EC$13,0)),MATCH(ROW(bhpc_data[sku]),ROW(bhpc_data[sku])),""),ROWS($A$15:A158)+$B$3))))),"")</f>
        <v>C00004</v>
      </c>
      <c r="EF153" s="440" t="str" cm="1">
        <f t="array" ref="EF153">IFERROR(IF($EC$9="",IF($EC$11="",IF($EC$13="",INDEX(bhpc_data[description],SMALL(MATCH(ROW(bhpc_data[sku]),ROW(bhpc_data[sku])),ROWS($A$15:A158)+$B$3)),INDEX(bhpc_data[description],SMALL(IF(ISNUMBER(MATCH(bhpc_data[size],$EC$13,0)),MATCH(ROW(bhpc_data[sku]),ROW(bhpc_data[sku])),""),ROWS($A$15:A158)+$B$3))),IF($EC$13="",INDEX(bhpc_data[description],SMALL(IF(ISNUMBER(MATCH(bhpc_data[sex],$EC$11,0)),MATCH(ROW(bhpc_data[sku]),ROW(bhpc_data[sku])),""),ROWS($A$15:A158)+$B$3)),INDEX(bhpc_data[description],SMALL(IF(ISNUMBER(MATCH(bhpc_data[sex],$EC$11,0)*MATCH(bhpc_data[size],$EC$13,0)),MATCH(ROW(bhpc_data[sku]),ROW(bhpc_data[sku])),""),ROWS($A$15:A158)+$B$3)))),IF($EC$11="",IF($EC$13="",INDEX(bhpc_data[description],SMALL(IF(ISNUMBER(MATCH(bhpc_data[category],$EC$9,0)),MATCH(ROW(bhpc_data[sku]),ROW(bhpc_data[sku])),""),ROWS($A$15:A158)+$B$3)),INDEX(bhpc_data[description],SMALL(IF(ISNUMBER(MATCH(bhpc_data[category],$EC$9,0)*MATCH(bhpc_data[size],$EC$13,0)),MATCH(ROW(bhpc_data[sku]),ROW(bhpc_data[sku])),""),ROWS($A$15:A158)+$B$3))),IF($EC$13="",INDEX(bhpc_data[description],SMALL(IF(ISNUMBER(MATCH(bhpc_data[category],$EC$9,0)*MATCH(bhpc_data[sex],$EC$11,0)),MATCH(ROW(bhpc_data[sku]),ROW(bhpc_data[sku])),""),ROWS($A$15:A158)+$B$3)),INDEX(bhpc_data[description],SMALL(IF(ISNUMBER(MATCH(bhpc_data[category],$EC$9,0)*MATCH(bhpc_data[sex],$EC$11,0)*MATCH(bhpc_data[size],$EC$13,0)),MATCH(ROW(bhpc_data[sku]),ROW(bhpc_data[sku])),""),ROWS($A$15:A158)+$B$3))))),"")</f>
        <v>BHPC CAP WHITE</v>
      </c>
      <c r="EG153" s="441">
        <f>IFERROR(IF('BHPC MANAGER'!$EE153="","",INDEX(inventory[ESISTENZA],MATCH('BHPC MANAGER'!$EE153,inventory[SKU],0))),0)</f>
        <v>52</v>
      </c>
      <c r="EH153" s="442">
        <v>-52</v>
      </c>
      <c r="EI153" s="442">
        <f t="shared" si="17"/>
        <v>0</v>
      </c>
      <c r="EJ153" s="443">
        <v>0</v>
      </c>
      <c r="EK153" s="444">
        <f t="shared" si="18"/>
        <v>0</v>
      </c>
    </row>
    <row r="154" spans="63:141" x14ac:dyDescent="0.35">
      <c r="BK154" s="296"/>
      <c r="BL154" s="297"/>
      <c r="BM154" s="298"/>
      <c r="BN154" s="297"/>
      <c r="BO154" s="298"/>
      <c r="EE154" s="445" t="str" cm="1">
        <f t="array" ref="EE154">IFERROR(IF($EC$9="",IF($EC$11="",IF($EC$13="",INDEX(bhpc_data[sku],SMALL(MATCH(ROW(bhpc_data[sku]),ROW(bhpc_data[sku])),ROWS($A$15:A159)+$B$3)),INDEX(bhpc_data[sku],SMALL(IF(ISNUMBER(MATCH(bhpc_data[size],$EC$13,0)),MATCH(ROW(bhpc_data[sku]),ROW(bhpc_data[sku])),""),ROWS($A$15:A159)+$B$3))),IF($EC$13="",INDEX(bhpc_data[sku],SMALL(IF(ISNUMBER(MATCH(bhpc_data[sex],$EC$11,0)),MATCH(ROW(bhpc_data[sku]),ROW(bhpc_data[sku])),""),ROWS($A$15:A159)+$B$3)),INDEX(bhpc_data[sku],SMALL(IF(ISNUMBER(MATCH(bhpc_data[sex],$EC$11,0)*MATCH(bhpc_data[size],$EC$13,0)),MATCH(ROW(bhpc_data[sku]),ROW(bhpc_data[sku])),""),ROWS($A$15:A159)+$B$3)))),IF($EC$11="",IF($EC$13="",INDEX(bhpc_data[sku],SMALL(IF(ISNUMBER(MATCH(bhpc_data[category],$EC$9,0)),MATCH(ROW(bhpc_data[sku]),ROW(bhpc_data[sku])),""),ROWS($A$15:A159)+$B$3)),INDEX(bhpc_data[sku],SMALL(IF(ISNUMBER(MATCH(bhpc_data[category],$EC$9,0)*MATCH(bhpc_data[size],$EC$13,0)),MATCH(ROW(bhpc_data[sku]),ROW(bhpc_data[sku])),""),ROWS($A$15:A159)+$B$3))),IF($EC$13="",INDEX(bhpc_data[sku],SMALL(IF(ISNUMBER(MATCH(bhpc_data[category],$EC$9,0)*MATCH(bhpc_data[sex],$EC$11,0)),MATCH(ROW(bhpc_data[sku]),ROW(bhpc_data[sku])),""),ROWS($A$15:A159)+$B$3)),INDEX(bhpc_data[sku],SMALL(IF(ISNUMBER(MATCH(bhpc_data[category],$EC$9,0)*MATCH(bhpc_data[sex],$EC$11,0)*MATCH(bhpc_data[size],$EC$13,0)),MATCH(ROW(bhpc_data[sku]),ROW(bhpc_data[sku])),""),ROWS($A$15:A159)+$B$3))))),"")</f>
        <v>CSB00L</v>
      </c>
      <c r="EF154" s="446" t="str" cm="1">
        <f t="array" ref="EF154">IFERROR(IF($EC$9="",IF($EC$11="",IF($EC$13="",INDEX(bhpc_data[description],SMALL(MATCH(ROW(bhpc_data[sku]),ROW(bhpc_data[sku])),ROWS($A$15:A159)+$B$3)),INDEX(bhpc_data[description],SMALL(IF(ISNUMBER(MATCH(bhpc_data[size],$EC$13,0)),MATCH(ROW(bhpc_data[sku]),ROW(bhpc_data[sku])),""),ROWS($A$15:A159)+$B$3))),IF($EC$13="",INDEX(bhpc_data[description],SMALL(IF(ISNUMBER(MATCH(bhpc_data[sex],$EC$11,0)),MATCH(ROW(bhpc_data[sku]),ROW(bhpc_data[sku])),""),ROWS($A$15:A159)+$B$3)),INDEX(bhpc_data[description],SMALL(IF(ISNUMBER(MATCH(bhpc_data[sex],$EC$11,0)*MATCH(bhpc_data[size],$EC$13,0)),MATCH(ROW(bhpc_data[sku]),ROW(bhpc_data[sku])),""),ROWS($A$15:A159)+$B$3)))),IF($EC$11="",IF($EC$13="",INDEX(bhpc_data[description],SMALL(IF(ISNUMBER(MATCH(bhpc_data[category],$EC$9,0)),MATCH(ROW(bhpc_data[sku]),ROW(bhpc_data[sku])),""),ROWS($A$15:A159)+$B$3)),INDEX(bhpc_data[description],SMALL(IF(ISNUMBER(MATCH(bhpc_data[category],$EC$9,0)*MATCH(bhpc_data[size],$EC$13,0)),MATCH(ROW(bhpc_data[sku]),ROW(bhpc_data[sku])),""),ROWS($A$15:A159)+$B$3))),IF($EC$13="",INDEX(bhpc_data[description],SMALL(IF(ISNUMBER(MATCH(bhpc_data[category],$EC$9,0)*MATCH(bhpc_data[sex],$EC$11,0)),MATCH(ROW(bhpc_data[sku]),ROW(bhpc_data[sku])),""),ROWS($A$15:A159)+$B$3)),INDEX(bhpc_data[description],SMALL(IF(ISNUMBER(MATCH(bhpc_data[category],$EC$9,0)*MATCH(bhpc_data[sex],$EC$11,0)*MATCH(bhpc_data[size],$EC$13,0)),MATCH(ROW(bhpc_data[sku]),ROW(bhpc_data[sku])),""),ROWS($A$15:A159)+$B$3))))),"")</f>
        <v>BHPC COLLAR T-SHIRT COBALT - LARGE</v>
      </c>
      <c r="EG154" s="447">
        <f>IFERROR(IF('BHPC MANAGER'!$EE154="","",INDEX(inventory[ESISTENZA],MATCH('BHPC MANAGER'!$EE154,inventory[SKU],0))),0)</f>
        <v>0</v>
      </c>
      <c r="EH154" s="448" t="s">
        <v>861</v>
      </c>
      <c r="EI154" s="448">
        <f t="shared" si="17"/>
        <v>0</v>
      </c>
      <c r="EJ154" s="449" t="s">
        <v>861</v>
      </c>
      <c r="EK154" s="450">
        <f t="shared" si="18"/>
        <v>0</v>
      </c>
    </row>
    <row r="155" spans="63:141" x14ac:dyDescent="0.35">
      <c r="BK155" s="296"/>
      <c r="BL155" s="297"/>
      <c r="BM155" s="298"/>
      <c r="BN155" s="297"/>
      <c r="BO155" s="298"/>
      <c r="EE155" s="439" t="str" cm="1">
        <f t="array" ref="EE155">IFERROR(IF($EC$9="",IF($EC$11="",IF($EC$13="",INDEX(bhpc_data[sku],SMALL(MATCH(ROW(bhpc_data[sku]),ROW(bhpc_data[sku])),ROWS($A$15:A160)+$B$3)),INDEX(bhpc_data[sku],SMALL(IF(ISNUMBER(MATCH(bhpc_data[size],$EC$13,0)),MATCH(ROW(bhpc_data[sku]),ROW(bhpc_data[sku])),""),ROWS($A$15:A160)+$B$3))),IF($EC$13="",INDEX(bhpc_data[sku],SMALL(IF(ISNUMBER(MATCH(bhpc_data[sex],$EC$11,0)),MATCH(ROW(bhpc_data[sku]),ROW(bhpc_data[sku])),""),ROWS($A$15:A160)+$B$3)),INDEX(bhpc_data[sku],SMALL(IF(ISNUMBER(MATCH(bhpc_data[sex],$EC$11,0)*MATCH(bhpc_data[size],$EC$13,0)),MATCH(ROW(bhpc_data[sku]),ROW(bhpc_data[sku])),""),ROWS($A$15:A160)+$B$3)))),IF($EC$11="",IF($EC$13="",INDEX(bhpc_data[sku],SMALL(IF(ISNUMBER(MATCH(bhpc_data[category],$EC$9,0)),MATCH(ROW(bhpc_data[sku]),ROW(bhpc_data[sku])),""),ROWS($A$15:A160)+$B$3)),INDEX(bhpc_data[sku],SMALL(IF(ISNUMBER(MATCH(bhpc_data[category],$EC$9,0)*MATCH(bhpc_data[size],$EC$13,0)),MATCH(ROW(bhpc_data[sku]),ROW(bhpc_data[sku])),""),ROWS($A$15:A160)+$B$3))),IF($EC$13="",INDEX(bhpc_data[sku],SMALL(IF(ISNUMBER(MATCH(bhpc_data[category],$EC$9,0)*MATCH(bhpc_data[sex],$EC$11,0)),MATCH(ROW(bhpc_data[sku]),ROW(bhpc_data[sku])),""),ROWS($A$15:A160)+$B$3)),INDEX(bhpc_data[sku],SMALL(IF(ISNUMBER(MATCH(bhpc_data[category],$EC$9,0)*MATCH(bhpc_data[sex],$EC$11,0)*MATCH(bhpc_data[size],$EC$13,0)),MATCH(ROW(bhpc_data[sku]),ROW(bhpc_data[sku])),""),ROWS($A$15:A160)+$B$3))))),"")</f>
        <v>CSB00M</v>
      </c>
      <c r="EF155" s="440" t="str" cm="1">
        <f t="array" ref="EF155">IFERROR(IF($EC$9="",IF($EC$11="",IF($EC$13="",INDEX(bhpc_data[description],SMALL(MATCH(ROW(bhpc_data[sku]),ROW(bhpc_data[sku])),ROWS($A$15:A160)+$B$3)),INDEX(bhpc_data[description],SMALL(IF(ISNUMBER(MATCH(bhpc_data[size],$EC$13,0)),MATCH(ROW(bhpc_data[sku]),ROW(bhpc_data[sku])),""),ROWS($A$15:A160)+$B$3))),IF($EC$13="",INDEX(bhpc_data[description],SMALL(IF(ISNUMBER(MATCH(bhpc_data[sex],$EC$11,0)),MATCH(ROW(bhpc_data[sku]),ROW(bhpc_data[sku])),""),ROWS($A$15:A160)+$B$3)),INDEX(bhpc_data[description],SMALL(IF(ISNUMBER(MATCH(bhpc_data[sex],$EC$11,0)*MATCH(bhpc_data[size],$EC$13,0)),MATCH(ROW(bhpc_data[sku]),ROW(bhpc_data[sku])),""),ROWS($A$15:A160)+$B$3)))),IF($EC$11="",IF($EC$13="",INDEX(bhpc_data[description],SMALL(IF(ISNUMBER(MATCH(bhpc_data[category],$EC$9,0)),MATCH(ROW(bhpc_data[sku]),ROW(bhpc_data[sku])),""),ROWS($A$15:A160)+$B$3)),INDEX(bhpc_data[description],SMALL(IF(ISNUMBER(MATCH(bhpc_data[category],$EC$9,0)*MATCH(bhpc_data[size],$EC$13,0)),MATCH(ROW(bhpc_data[sku]),ROW(bhpc_data[sku])),""),ROWS($A$15:A160)+$B$3))),IF($EC$13="",INDEX(bhpc_data[description],SMALL(IF(ISNUMBER(MATCH(bhpc_data[category],$EC$9,0)*MATCH(bhpc_data[sex],$EC$11,0)),MATCH(ROW(bhpc_data[sku]),ROW(bhpc_data[sku])),""),ROWS($A$15:A160)+$B$3)),INDEX(bhpc_data[description],SMALL(IF(ISNUMBER(MATCH(bhpc_data[category],$EC$9,0)*MATCH(bhpc_data[sex],$EC$11,0)*MATCH(bhpc_data[size],$EC$13,0)),MATCH(ROW(bhpc_data[sku]),ROW(bhpc_data[sku])),""),ROWS($A$15:A160)+$B$3))))),"")</f>
        <v>BHPC COLLAR T-SHIRT COBALT - MEDIUM</v>
      </c>
      <c r="EG155" s="441">
        <f>IFERROR(IF('BHPC MANAGER'!$EE155="","",INDEX(inventory[ESISTENZA],MATCH('BHPC MANAGER'!$EE155,inventory[SKU],0))),0)</f>
        <v>0</v>
      </c>
      <c r="EH155" s="442" t="s">
        <v>861</v>
      </c>
      <c r="EI155" s="442">
        <f t="shared" si="17"/>
        <v>0</v>
      </c>
      <c r="EJ155" s="443" t="s">
        <v>861</v>
      </c>
      <c r="EK155" s="444">
        <f t="shared" si="18"/>
        <v>0</v>
      </c>
    </row>
    <row r="156" spans="63:141" x14ac:dyDescent="0.35">
      <c r="BK156" s="296"/>
      <c r="BL156" s="297"/>
      <c r="BM156" s="298"/>
      <c r="BN156" s="297"/>
      <c r="BO156" s="298"/>
      <c r="EE156" s="445" t="str" cm="1">
        <f t="array" ref="EE156">IFERROR(IF($EC$9="",IF($EC$11="",IF($EC$13="",INDEX(bhpc_data[sku],SMALL(MATCH(ROW(bhpc_data[sku]),ROW(bhpc_data[sku])),ROWS($A$15:A161)+$B$3)),INDEX(bhpc_data[sku],SMALL(IF(ISNUMBER(MATCH(bhpc_data[size],$EC$13,0)),MATCH(ROW(bhpc_data[sku]),ROW(bhpc_data[sku])),""),ROWS($A$15:A161)+$B$3))),IF($EC$13="",INDEX(bhpc_data[sku],SMALL(IF(ISNUMBER(MATCH(bhpc_data[sex],$EC$11,0)),MATCH(ROW(bhpc_data[sku]),ROW(bhpc_data[sku])),""),ROWS($A$15:A161)+$B$3)),INDEX(bhpc_data[sku],SMALL(IF(ISNUMBER(MATCH(bhpc_data[sex],$EC$11,0)*MATCH(bhpc_data[size],$EC$13,0)),MATCH(ROW(bhpc_data[sku]),ROW(bhpc_data[sku])),""),ROWS($A$15:A161)+$B$3)))),IF($EC$11="",IF($EC$13="",INDEX(bhpc_data[sku],SMALL(IF(ISNUMBER(MATCH(bhpc_data[category],$EC$9,0)),MATCH(ROW(bhpc_data[sku]),ROW(bhpc_data[sku])),""),ROWS($A$15:A161)+$B$3)),INDEX(bhpc_data[sku],SMALL(IF(ISNUMBER(MATCH(bhpc_data[category],$EC$9,0)*MATCH(bhpc_data[size],$EC$13,0)),MATCH(ROW(bhpc_data[sku]),ROW(bhpc_data[sku])),""),ROWS($A$15:A161)+$B$3))),IF($EC$13="",INDEX(bhpc_data[sku],SMALL(IF(ISNUMBER(MATCH(bhpc_data[category],$EC$9,0)*MATCH(bhpc_data[sex],$EC$11,0)),MATCH(ROW(bhpc_data[sku]),ROW(bhpc_data[sku])),""),ROWS($A$15:A161)+$B$3)),INDEX(bhpc_data[sku],SMALL(IF(ISNUMBER(MATCH(bhpc_data[category],$EC$9,0)*MATCH(bhpc_data[sex],$EC$11,0)*MATCH(bhpc_data[size],$EC$13,0)),MATCH(ROW(bhpc_data[sku]),ROW(bhpc_data[sku])),""),ROWS($A$15:A161)+$B$3))))),"")</f>
        <v>CSB00S</v>
      </c>
      <c r="EF156" s="446" t="str" cm="1">
        <f t="array" ref="EF156">IFERROR(IF($EC$9="",IF($EC$11="",IF($EC$13="",INDEX(bhpc_data[description],SMALL(MATCH(ROW(bhpc_data[sku]),ROW(bhpc_data[sku])),ROWS($A$15:A161)+$B$3)),INDEX(bhpc_data[description],SMALL(IF(ISNUMBER(MATCH(bhpc_data[size],$EC$13,0)),MATCH(ROW(bhpc_data[sku]),ROW(bhpc_data[sku])),""),ROWS($A$15:A161)+$B$3))),IF($EC$13="",INDEX(bhpc_data[description],SMALL(IF(ISNUMBER(MATCH(bhpc_data[sex],$EC$11,0)),MATCH(ROW(bhpc_data[sku]),ROW(bhpc_data[sku])),""),ROWS($A$15:A161)+$B$3)),INDEX(bhpc_data[description],SMALL(IF(ISNUMBER(MATCH(bhpc_data[sex],$EC$11,0)*MATCH(bhpc_data[size],$EC$13,0)),MATCH(ROW(bhpc_data[sku]),ROW(bhpc_data[sku])),""),ROWS($A$15:A161)+$B$3)))),IF($EC$11="",IF($EC$13="",INDEX(bhpc_data[description],SMALL(IF(ISNUMBER(MATCH(bhpc_data[category],$EC$9,0)),MATCH(ROW(bhpc_data[sku]),ROW(bhpc_data[sku])),""),ROWS($A$15:A161)+$B$3)),INDEX(bhpc_data[description],SMALL(IF(ISNUMBER(MATCH(bhpc_data[category],$EC$9,0)*MATCH(bhpc_data[size],$EC$13,0)),MATCH(ROW(bhpc_data[sku]),ROW(bhpc_data[sku])),""),ROWS($A$15:A161)+$B$3))),IF($EC$13="",INDEX(bhpc_data[description],SMALL(IF(ISNUMBER(MATCH(bhpc_data[category],$EC$9,0)*MATCH(bhpc_data[sex],$EC$11,0)),MATCH(ROW(bhpc_data[sku]),ROW(bhpc_data[sku])),""),ROWS($A$15:A161)+$B$3)),INDEX(bhpc_data[description],SMALL(IF(ISNUMBER(MATCH(bhpc_data[category],$EC$9,0)*MATCH(bhpc_data[sex],$EC$11,0)*MATCH(bhpc_data[size],$EC$13,0)),MATCH(ROW(bhpc_data[sku]),ROW(bhpc_data[sku])),""),ROWS($A$15:A161)+$B$3))))),"")</f>
        <v>BHPC COLLAR T-SHIRT COBALT - SMALL</v>
      </c>
      <c r="EG156" s="447">
        <f>IFERROR(IF('BHPC MANAGER'!$EE156="","",INDEX(inventory[ESISTENZA],MATCH('BHPC MANAGER'!$EE156,inventory[SKU],0))),0)</f>
        <v>0</v>
      </c>
      <c r="EH156" s="448" t="s">
        <v>861</v>
      </c>
      <c r="EI156" s="448">
        <f t="shared" si="17"/>
        <v>0</v>
      </c>
      <c r="EJ156" s="449" t="s">
        <v>861</v>
      </c>
      <c r="EK156" s="450">
        <f t="shared" si="18"/>
        <v>0</v>
      </c>
    </row>
    <row r="157" spans="63:141" x14ac:dyDescent="0.35">
      <c r="BK157" s="296"/>
      <c r="BL157" s="297"/>
      <c r="BM157" s="298"/>
      <c r="BN157" s="297"/>
      <c r="BO157" s="298"/>
      <c r="EE157" s="439" t="str" cm="1">
        <f t="array" ref="EE157">IFERROR(IF($EC$9="",IF($EC$11="",IF($EC$13="",INDEX(bhpc_data[sku],SMALL(MATCH(ROW(bhpc_data[sku]),ROW(bhpc_data[sku])),ROWS($A$15:A162)+$B$3)),INDEX(bhpc_data[sku],SMALL(IF(ISNUMBER(MATCH(bhpc_data[size],$EC$13,0)),MATCH(ROW(bhpc_data[sku]),ROW(bhpc_data[sku])),""),ROWS($A$15:A162)+$B$3))),IF($EC$13="",INDEX(bhpc_data[sku],SMALL(IF(ISNUMBER(MATCH(bhpc_data[sex],$EC$11,0)),MATCH(ROW(bhpc_data[sku]),ROW(bhpc_data[sku])),""),ROWS($A$15:A162)+$B$3)),INDEX(bhpc_data[sku],SMALL(IF(ISNUMBER(MATCH(bhpc_data[sex],$EC$11,0)*MATCH(bhpc_data[size],$EC$13,0)),MATCH(ROW(bhpc_data[sku]),ROW(bhpc_data[sku])),""),ROWS($A$15:A162)+$B$3)))),IF($EC$11="",IF($EC$13="",INDEX(bhpc_data[sku],SMALL(IF(ISNUMBER(MATCH(bhpc_data[category],$EC$9,0)),MATCH(ROW(bhpc_data[sku]),ROW(bhpc_data[sku])),""),ROWS($A$15:A162)+$B$3)),INDEX(bhpc_data[sku],SMALL(IF(ISNUMBER(MATCH(bhpc_data[category],$EC$9,0)*MATCH(bhpc_data[size],$EC$13,0)),MATCH(ROW(bhpc_data[sku]),ROW(bhpc_data[sku])),""),ROWS($A$15:A162)+$B$3))),IF($EC$13="",INDEX(bhpc_data[sku],SMALL(IF(ISNUMBER(MATCH(bhpc_data[category],$EC$9,0)*MATCH(bhpc_data[sex],$EC$11,0)),MATCH(ROW(bhpc_data[sku]),ROW(bhpc_data[sku])),""),ROWS($A$15:A162)+$B$3)),INDEX(bhpc_data[sku],SMALL(IF(ISNUMBER(MATCH(bhpc_data[category],$EC$9,0)*MATCH(bhpc_data[sex],$EC$11,0)*MATCH(bhpc_data[size],$EC$13,0)),MATCH(ROW(bhpc_data[sku]),ROW(bhpc_data[sku])),""),ROWS($A$15:A162)+$B$3))))),"")</f>
        <v>CSB03X</v>
      </c>
      <c r="EF157" s="440" t="str" cm="1">
        <f t="array" ref="EF157">IFERROR(IF($EC$9="",IF($EC$11="",IF($EC$13="",INDEX(bhpc_data[description],SMALL(MATCH(ROW(bhpc_data[sku]),ROW(bhpc_data[sku])),ROWS($A$15:A162)+$B$3)),INDEX(bhpc_data[description],SMALL(IF(ISNUMBER(MATCH(bhpc_data[size],$EC$13,0)),MATCH(ROW(bhpc_data[sku]),ROW(bhpc_data[sku])),""),ROWS($A$15:A162)+$B$3))),IF($EC$13="",INDEX(bhpc_data[description],SMALL(IF(ISNUMBER(MATCH(bhpc_data[sex],$EC$11,0)),MATCH(ROW(bhpc_data[sku]),ROW(bhpc_data[sku])),""),ROWS($A$15:A162)+$B$3)),INDEX(bhpc_data[description],SMALL(IF(ISNUMBER(MATCH(bhpc_data[sex],$EC$11,0)*MATCH(bhpc_data[size],$EC$13,0)),MATCH(ROW(bhpc_data[sku]),ROW(bhpc_data[sku])),""),ROWS($A$15:A162)+$B$3)))),IF($EC$11="",IF($EC$13="",INDEX(bhpc_data[description],SMALL(IF(ISNUMBER(MATCH(bhpc_data[category],$EC$9,0)),MATCH(ROW(bhpc_data[sku]),ROW(bhpc_data[sku])),""),ROWS($A$15:A162)+$B$3)),INDEX(bhpc_data[description],SMALL(IF(ISNUMBER(MATCH(bhpc_data[category],$EC$9,0)*MATCH(bhpc_data[size],$EC$13,0)),MATCH(ROW(bhpc_data[sku]),ROW(bhpc_data[sku])),""),ROWS($A$15:A162)+$B$3))),IF($EC$13="",INDEX(bhpc_data[description],SMALL(IF(ISNUMBER(MATCH(bhpc_data[category],$EC$9,0)*MATCH(bhpc_data[sex],$EC$11,0)),MATCH(ROW(bhpc_data[sku]),ROW(bhpc_data[sku])),""),ROWS($A$15:A162)+$B$3)),INDEX(bhpc_data[description],SMALL(IF(ISNUMBER(MATCH(bhpc_data[category],$EC$9,0)*MATCH(bhpc_data[sex],$EC$11,0)*MATCH(bhpc_data[size],$EC$13,0)),MATCH(ROW(bhpc_data[sku]),ROW(bhpc_data[sku])),""),ROWS($A$15:A162)+$B$3))))),"")</f>
        <v>BHPC COLLAR T-SHIRT COBALT - 3XL</v>
      </c>
      <c r="EG157" s="441">
        <f>IFERROR(IF('BHPC MANAGER'!$EE157="","",INDEX(inventory[ESISTENZA],MATCH('BHPC MANAGER'!$EE157,inventory[SKU],0))),0)</f>
        <v>1</v>
      </c>
      <c r="EH157" s="442" t="s">
        <v>861</v>
      </c>
      <c r="EI157" s="442">
        <f t="shared" si="17"/>
        <v>1</v>
      </c>
      <c r="EJ157" s="443" t="s">
        <v>861</v>
      </c>
      <c r="EK157" s="444">
        <f t="shared" si="18"/>
        <v>1</v>
      </c>
    </row>
    <row r="158" spans="63:141" x14ac:dyDescent="0.35">
      <c r="BK158" s="296"/>
      <c r="BL158" s="297"/>
      <c r="BM158" s="298"/>
      <c r="BN158" s="297"/>
      <c r="BO158" s="298"/>
      <c r="EE158" s="445" t="str" cm="1">
        <f t="array" ref="EE158">IFERROR(IF($EC$9="",IF($EC$11="",IF($EC$13="",INDEX(bhpc_data[sku],SMALL(MATCH(ROW(bhpc_data[sku]),ROW(bhpc_data[sku])),ROWS($A$15:A163)+$B$3)),INDEX(bhpc_data[sku],SMALL(IF(ISNUMBER(MATCH(bhpc_data[size],$EC$13,0)),MATCH(ROW(bhpc_data[sku]),ROW(bhpc_data[sku])),""),ROWS($A$15:A163)+$B$3))),IF($EC$13="",INDEX(bhpc_data[sku],SMALL(IF(ISNUMBER(MATCH(bhpc_data[sex],$EC$11,0)),MATCH(ROW(bhpc_data[sku]),ROW(bhpc_data[sku])),""),ROWS($A$15:A163)+$B$3)),INDEX(bhpc_data[sku],SMALL(IF(ISNUMBER(MATCH(bhpc_data[sex],$EC$11,0)*MATCH(bhpc_data[size],$EC$13,0)),MATCH(ROW(bhpc_data[sku]),ROW(bhpc_data[sku])),""),ROWS($A$15:A163)+$B$3)))),IF($EC$11="",IF($EC$13="",INDEX(bhpc_data[sku],SMALL(IF(ISNUMBER(MATCH(bhpc_data[category],$EC$9,0)),MATCH(ROW(bhpc_data[sku]),ROW(bhpc_data[sku])),""),ROWS($A$15:A163)+$B$3)),INDEX(bhpc_data[sku],SMALL(IF(ISNUMBER(MATCH(bhpc_data[category],$EC$9,0)*MATCH(bhpc_data[size],$EC$13,0)),MATCH(ROW(bhpc_data[sku]),ROW(bhpc_data[sku])),""),ROWS($A$15:A163)+$B$3))),IF($EC$13="",INDEX(bhpc_data[sku],SMALL(IF(ISNUMBER(MATCH(bhpc_data[category],$EC$9,0)*MATCH(bhpc_data[sex],$EC$11,0)),MATCH(ROW(bhpc_data[sku]),ROW(bhpc_data[sku])),""),ROWS($A$15:A163)+$B$3)),INDEX(bhpc_data[sku],SMALL(IF(ISNUMBER(MATCH(bhpc_data[category],$EC$9,0)*MATCH(bhpc_data[sex],$EC$11,0)*MATCH(bhpc_data[size],$EC$13,0)),MATCH(ROW(bhpc_data[sku]),ROW(bhpc_data[sku])),""),ROWS($A$15:A163)+$B$3))))),"")</f>
        <v>CSB0XL</v>
      </c>
      <c r="EF158" s="446" t="str" cm="1">
        <f t="array" ref="EF158">IFERROR(IF($EC$9="",IF($EC$11="",IF($EC$13="",INDEX(bhpc_data[description],SMALL(MATCH(ROW(bhpc_data[sku]),ROW(bhpc_data[sku])),ROWS($A$15:A163)+$B$3)),INDEX(bhpc_data[description],SMALL(IF(ISNUMBER(MATCH(bhpc_data[size],$EC$13,0)),MATCH(ROW(bhpc_data[sku]),ROW(bhpc_data[sku])),""),ROWS($A$15:A163)+$B$3))),IF($EC$13="",INDEX(bhpc_data[description],SMALL(IF(ISNUMBER(MATCH(bhpc_data[sex],$EC$11,0)),MATCH(ROW(bhpc_data[sku]),ROW(bhpc_data[sku])),""),ROWS($A$15:A163)+$B$3)),INDEX(bhpc_data[description],SMALL(IF(ISNUMBER(MATCH(bhpc_data[sex],$EC$11,0)*MATCH(bhpc_data[size],$EC$13,0)),MATCH(ROW(bhpc_data[sku]),ROW(bhpc_data[sku])),""),ROWS($A$15:A163)+$B$3)))),IF($EC$11="",IF($EC$13="",INDEX(bhpc_data[description],SMALL(IF(ISNUMBER(MATCH(bhpc_data[category],$EC$9,0)),MATCH(ROW(bhpc_data[sku]),ROW(bhpc_data[sku])),""),ROWS($A$15:A163)+$B$3)),INDEX(bhpc_data[description],SMALL(IF(ISNUMBER(MATCH(bhpc_data[category],$EC$9,0)*MATCH(bhpc_data[size],$EC$13,0)),MATCH(ROW(bhpc_data[sku]),ROW(bhpc_data[sku])),""),ROWS($A$15:A163)+$B$3))),IF($EC$13="",INDEX(bhpc_data[description],SMALL(IF(ISNUMBER(MATCH(bhpc_data[category],$EC$9,0)*MATCH(bhpc_data[sex],$EC$11,0)),MATCH(ROW(bhpc_data[sku]),ROW(bhpc_data[sku])),""),ROWS($A$15:A163)+$B$3)),INDEX(bhpc_data[description],SMALL(IF(ISNUMBER(MATCH(bhpc_data[category],$EC$9,0)*MATCH(bhpc_data[sex],$EC$11,0)*MATCH(bhpc_data[size],$EC$13,0)),MATCH(ROW(bhpc_data[sku]),ROW(bhpc_data[sku])),""),ROWS($A$15:A163)+$B$3))))),"")</f>
        <v>BHPC COLLAR T-SHIRT COBALT - XL</v>
      </c>
      <c r="EG158" s="447">
        <f>IFERROR(IF('BHPC MANAGER'!$EE158="","",INDEX(inventory[ESISTENZA],MATCH('BHPC MANAGER'!$EE158,inventory[SKU],0))),0)</f>
        <v>2</v>
      </c>
      <c r="EH158" s="448">
        <v>-2</v>
      </c>
      <c r="EI158" s="448">
        <f t="shared" si="17"/>
        <v>0</v>
      </c>
      <c r="EJ158" s="449">
        <v>0</v>
      </c>
      <c r="EK158" s="450">
        <f t="shared" si="18"/>
        <v>0</v>
      </c>
    </row>
    <row r="159" spans="63:141" x14ac:dyDescent="0.35">
      <c r="BK159" s="296"/>
      <c r="BL159" s="297"/>
      <c r="BM159" s="298"/>
      <c r="BN159" s="297"/>
      <c r="BO159" s="298"/>
      <c r="EE159" s="439" t="str" cm="1">
        <f t="array" ref="EE159">IFERROR(IF($EC$9="",IF($EC$11="",IF($EC$13="",INDEX(bhpc_data[sku],SMALL(MATCH(ROW(bhpc_data[sku]),ROW(bhpc_data[sku])),ROWS($A$15:A164)+$B$3)),INDEX(bhpc_data[sku],SMALL(IF(ISNUMBER(MATCH(bhpc_data[size],$EC$13,0)),MATCH(ROW(bhpc_data[sku]),ROW(bhpc_data[sku])),""),ROWS($A$15:A164)+$B$3))),IF($EC$13="",INDEX(bhpc_data[sku],SMALL(IF(ISNUMBER(MATCH(bhpc_data[sex],$EC$11,0)),MATCH(ROW(bhpc_data[sku]),ROW(bhpc_data[sku])),""),ROWS($A$15:A164)+$B$3)),INDEX(bhpc_data[sku],SMALL(IF(ISNUMBER(MATCH(bhpc_data[sex],$EC$11,0)*MATCH(bhpc_data[size],$EC$13,0)),MATCH(ROW(bhpc_data[sku]),ROW(bhpc_data[sku])),""),ROWS($A$15:A164)+$B$3)))),IF($EC$11="",IF($EC$13="",INDEX(bhpc_data[sku],SMALL(IF(ISNUMBER(MATCH(bhpc_data[category],$EC$9,0)),MATCH(ROW(bhpc_data[sku]),ROW(bhpc_data[sku])),""),ROWS($A$15:A164)+$B$3)),INDEX(bhpc_data[sku],SMALL(IF(ISNUMBER(MATCH(bhpc_data[category],$EC$9,0)*MATCH(bhpc_data[size],$EC$13,0)),MATCH(ROW(bhpc_data[sku]),ROW(bhpc_data[sku])),""),ROWS($A$15:A164)+$B$3))),IF($EC$13="",INDEX(bhpc_data[sku],SMALL(IF(ISNUMBER(MATCH(bhpc_data[category],$EC$9,0)*MATCH(bhpc_data[sex],$EC$11,0)),MATCH(ROW(bhpc_data[sku]),ROW(bhpc_data[sku])),""),ROWS($A$15:A164)+$B$3)),INDEX(bhpc_data[sku],SMALL(IF(ISNUMBER(MATCH(bhpc_data[category],$EC$9,0)*MATCH(bhpc_data[sex],$EC$11,0)*MATCH(bhpc_data[size],$EC$13,0)),MATCH(ROW(bhpc_data[sku]),ROW(bhpc_data[sku])),""),ROWS($A$15:A164)+$B$3))))),"")</f>
        <v>CSB0XX</v>
      </c>
      <c r="EF159" s="440" t="str" cm="1">
        <f t="array" ref="EF159">IFERROR(IF($EC$9="",IF($EC$11="",IF($EC$13="",INDEX(bhpc_data[description],SMALL(MATCH(ROW(bhpc_data[sku]),ROW(bhpc_data[sku])),ROWS($A$15:A164)+$B$3)),INDEX(bhpc_data[description],SMALL(IF(ISNUMBER(MATCH(bhpc_data[size],$EC$13,0)),MATCH(ROW(bhpc_data[sku]),ROW(bhpc_data[sku])),""),ROWS($A$15:A164)+$B$3))),IF($EC$13="",INDEX(bhpc_data[description],SMALL(IF(ISNUMBER(MATCH(bhpc_data[sex],$EC$11,0)),MATCH(ROW(bhpc_data[sku]),ROW(bhpc_data[sku])),""),ROWS($A$15:A164)+$B$3)),INDEX(bhpc_data[description],SMALL(IF(ISNUMBER(MATCH(bhpc_data[sex],$EC$11,0)*MATCH(bhpc_data[size],$EC$13,0)),MATCH(ROW(bhpc_data[sku]),ROW(bhpc_data[sku])),""),ROWS($A$15:A164)+$B$3)))),IF($EC$11="",IF($EC$13="",INDEX(bhpc_data[description],SMALL(IF(ISNUMBER(MATCH(bhpc_data[category],$EC$9,0)),MATCH(ROW(bhpc_data[sku]),ROW(bhpc_data[sku])),""),ROWS($A$15:A164)+$B$3)),INDEX(bhpc_data[description],SMALL(IF(ISNUMBER(MATCH(bhpc_data[category],$EC$9,0)*MATCH(bhpc_data[size],$EC$13,0)),MATCH(ROW(bhpc_data[sku]),ROW(bhpc_data[sku])),""),ROWS($A$15:A164)+$B$3))),IF($EC$13="",INDEX(bhpc_data[description],SMALL(IF(ISNUMBER(MATCH(bhpc_data[category],$EC$9,0)*MATCH(bhpc_data[sex],$EC$11,0)),MATCH(ROW(bhpc_data[sku]),ROW(bhpc_data[sku])),""),ROWS($A$15:A164)+$B$3)),INDEX(bhpc_data[description],SMALL(IF(ISNUMBER(MATCH(bhpc_data[category],$EC$9,0)*MATCH(bhpc_data[sex],$EC$11,0)*MATCH(bhpc_data[size],$EC$13,0)),MATCH(ROW(bhpc_data[sku]),ROW(bhpc_data[sku])),""),ROWS($A$15:A164)+$B$3))))),"")</f>
        <v>BHPC COLLAR T-SHIRT COBALT - XXL</v>
      </c>
      <c r="EG159" s="441">
        <f>IFERROR(IF('BHPC MANAGER'!$EE159="","",INDEX(inventory[ESISTENZA],MATCH('BHPC MANAGER'!$EE159,inventory[SKU],0))),0)</f>
        <v>1</v>
      </c>
      <c r="EH159" s="442">
        <v>-1</v>
      </c>
      <c r="EI159" s="442">
        <f t="shared" si="17"/>
        <v>0</v>
      </c>
      <c r="EJ159" s="443">
        <v>0</v>
      </c>
      <c r="EK159" s="444">
        <f t="shared" si="18"/>
        <v>0</v>
      </c>
    </row>
    <row r="160" spans="63:141" x14ac:dyDescent="0.35">
      <c r="BK160" s="296"/>
      <c r="BL160" s="297"/>
      <c r="BM160" s="298"/>
      <c r="BN160" s="297"/>
      <c r="BO160" s="298"/>
      <c r="EE160" s="445" t="str" cm="1">
        <f t="array" ref="EE160">IFERROR(IF($EC$9="",IF($EC$11="",IF($EC$13="",INDEX(bhpc_data[sku],SMALL(MATCH(ROW(bhpc_data[sku]),ROW(bhpc_data[sku])),ROWS($A$15:A165)+$B$3)),INDEX(bhpc_data[sku],SMALL(IF(ISNUMBER(MATCH(bhpc_data[size],$EC$13,0)),MATCH(ROW(bhpc_data[sku]),ROW(bhpc_data[sku])),""),ROWS($A$15:A165)+$B$3))),IF($EC$13="",INDEX(bhpc_data[sku],SMALL(IF(ISNUMBER(MATCH(bhpc_data[sex],$EC$11,0)),MATCH(ROW(bhpc_data[sku]),ROW(bhpc_data[sku])),""),ROWS($A$15:A165)+$B$3)),INDEX(bhpc_data[sku],SMALL(IF(ISNUMBER(MATCH(bhpc_data[sex],$EC$11,0)*MATCH(bhpc_data[size],$EC$13,0)),MATCH(ROW(bhpc_data[sku]),ROW(bhpc_data[sku])),""),ROWS($A$15:A165)+$B$3)))),IF($EC$11="",IF($EC$13="",INDEX(bhpc_data[sku],SMALL(IF(ISNUMBER(MATCH(bhpc_data[category],$EC$9,0)),MATCH(ROW(bhpc_data[sku]),ROW(bhpc_data[sku])),""),ROWS($A$15:A165)+$B$3)),INDEX(bhpc_data[sku],SMALL(IF(ISNUMBER(MATCH(bhpc_data[category],$EC$9,0)*MATCH(bhpc_data[size],$EC$13,0)),MATCH(ROW(bhpc_data[sku]),ROW(bhpc_data[sku])),""),ROWS($A$15:A165)+$B$3))),IF($EC$13="",INDEX(bhpc_data[sku],SMALL(IF(ISNUMBER(MATCH(bhpc_data[category],$EC$9,0)*MATCH(bhpc_data[sex],$EC$11,0)),MATCH(ROW(bhpc_data[sku]),ROW(bhpc_data[sku])),""),ROWS($A$15:A165)+$B$3)),INDEX(bhpc_data[sku],SMALL(IF(ISNUMBER(MATCH(bhpc_data[category],$EC$9,0)*MATCH(bhpc_data[sex],$EC$11,0)*MATCH(bhpc_data[size],$EC$13,0)),MATCH(ROW(bhpc_data[sku]),ROW(bhpc_data[sku])),""),ROWS($A$15:A165)+$B$3))))),"")</f>
        <v>CSBE0L</v>
      </c>
      <c r="EF160" s="446" t="str" cm="1">
        <f t="array" ref="EF160">IFERROR(IF($EC$9="",IF($EC$11="",IF($EC$13="",INDEX(bhpc_data[description],SMALL(MATCH(ROW(bhpc_data[sku]),ROW(bhpc_data[sku])),ROWS($A$15:A165)+$B$3)),INDEX(bhpc_data[description],SMALL(IF(ISNUMBER(MATCH(bhpc_data[size],$EC$13,0)),MATCH(ROW(bhpc_data[sku]),ROW(bhpc_data[sku])),""),ROWS($A$15:A165)+$B$3))),IF($EC$13="",INDEX(bhpc_data[description],SMALL(IF(ISNUMBER(MATCH(bhpc_data[sex],$EC$11,0)),MATCH(ROW(bhpc_data[sku]),ROW(bhpc_data[sku])),""),ROWS($A$15:A165)+$B$3)),INDEX(bhpc_data[description],SMALL(IF(ISNUMBER(MATCH(bhpc_data[sex],$EC$11,0)*MATCH(bhpc_data[size],$EC$13,0)),MATCH(ROW(bhpc_data[sku]),ROW(bhpc_data[sku])),""),ROWS($A$15:A165)+$B$3)))),IF($EC$11="",IF($EC$13="",INDEX(bhpc_data[description],SMALL(IF(ISNUMBER(MATCH(bhpc_data[category],$EC$9,0)),MATCH(ROW(bhpc_data[sku]),ROW(bhpc_data[sku])),""),ROWS($A$15:A165)+$B$3)),INDEX(bhpc_data[description],SMALL(IF(ISNUMBER(MATCH(bhpc_data[category],$EC$9,0)*MATCH(bhpc_data[size],$EC$13,0)),MATCH(ROW(bhpc_data[sku]),ROW(bhpc_data[sku])),""),ROWS($A$15:A165)+$B$3))),IF($EC$13="",INDEX(bhpc_data[description],SMALL(IF(ISNUMBER(MATCH(bhpc_data[category],$EC$9,0)*MATCH(bhpc_data[sex],$EC$11,0)),MATCH(ROW(bhpc_data[sku]),ROW(bhpc_data[sku])),""),ROWS($A$15:A165)+$B$3)),INDEX(bhpc_data[description],SMALL(IF(ISNUMBER(MATCH(bhpc_data[category],$EC$9,0)*MATCH(bhpc_data[sex],$EC$11,0)*MATCH(bhpc_data[size],$EC$13,0)),MATCH(ROW(bhpc_data[sku]),ROW(bhpc_data[sku])),""),ROWS($A$15:A165)+$B$3))))),"")</f>
        <v>BHPC COLLAR T-SHIRT BERRY - LARGE</v>
      </c>
      <c r="EG160" s="447">
        <f>IFERROR(IF('BHPC MANAGER'!$EE160="","",INDEX(inventory[ESISTENZA],MATCH('BHPC MANAGER'!$EE160,inventory[SKU],0))),0)</f>
        <v>5</v>
      </c>
      <c r="EH160" s="448">
        <v>-5</v>
      </c>
      <c r="EI160" s="448">
        <f t="shared" si="17"/>
        <v>0</v>
      </c>
      <c r="EJ160" s="449">
        <v>0</v>
      </c>
      <c r="EK160" s="450">
        <f t="shared" si="18"/>
        <v>0</v>
      </c>
    </row>
    <row r="161" spans="63:141" x14ac:dyDescent="0.35">
      <c r="BK161" s="296"/>
      <c r="BL161" s="297"/>
      <c r="BM161" s="298"/>
      <c r="BN161" s="297"/>
      <c r="BO161" s="298"/>
      <c r="EE161" s="439" t="str" cm="1">
        <f t="array" ref="EE161">IFERROR(IF($EC$9="",IF($EC$11="",IF($EC$13="",INDEX(bhpc_data[sku],SMALL(MATCH(ROW(bhpc_data[sku]),ROW(bhpc_data[sku])),ROWS($A$15:A166)+$B$3)),INDEX(bhpc_data[sku],SMALL(IF(ISNUMBER(MATCH(bhpc_data[size],$EC$13,0)),MATCH(ROW(bhpc_data[sku]),ROW(bhpc_data[sku])),""),ROWS($A$15:A166)+$B$3))),IF($EC$13="",INDEX(bhpc_data[sku],SMALL(IF(ISNUMBER(MATCH(bhpc_data[sex],$EC$11,0)),MATCH(ROW(bhpc_data[sku]),ROW(bhpc_data[sku])),""),ROWS($A$15:A166)+$B$3)),INDEX(bhpc_data[sku],SMALL(IF(ISNUMBER(MATCH(bhpc_data[sex],$EC$11,0)*MATCH(bhpc_data[size],$EC$13,0)),MATCH(ROW(bhpc_data[sku]),ROW(bhpc_data[sku])),""),ROWS($A$15:A166)+$B$3)))),IF($EC$11="",IF($EC$13="",INDEX(bhpc_data[sku],SMALL(IF(ISNUMBER(MATCH(bhpc_data[category],$EC$9,0)),MATCH(ROW(bhpc_data[sku]),ROW(bhpc_data[sku])),""),ROWS($A$15:A166)+$B$3)),INDEX(bhpc_data[sku],SMALL(IF(ISNUMBER(MATCH(bhpc_data[category],$EC$9,0)*MATCH(bhpc_data[size],$EC$13,0)),MATCH(ROW(bhpc_data[sku]),ROW(bhpc_data[sku])),""),ROWS($A$15:A166)+$B$3))),IF($EC$13="",INDEX(bhpc_data[sku],SMALL(IF(ISNUMBER(MATCH(bhpc_data[category],$EC$9,0)*MATCH(bhpc_data[sex],$EC$11,0)),MATCH(ROW(bhpc_data[sku]),ROW(bhpc_data[sku])),""),ROWS($A$15:A166)+$B$3)),INDEX(bhpc_data[sku],SMALL(IF(ISNUMBER(MATCH(bhpc_data[category],$EC$9,0)*MATCH(bhpc_data[sex],$EC$11,0)*MATCH(bhpc_data[size],$EC$13,0)),MATCH(ROW(bhpc_data[sku]),ROW(bhpc_data[sku])),""),ROWS($A$15:A166)+$B$3))))),"")</f>
        <v>CSBE0M</v>
      </c>
      <c r="EF161" s="440" t="str" cm="1">
        <f t="array" ref="EF161">IFERROR(IF($EC$9="",IF($EC$11="",IF($EC$13="",INDEX(bhpc_data[description],SMALL(MATCH(ROW(bhpc_data[sku]),ROW(bhpc_data[sku])),ROWS($A$15:A166)+$B$3)),INDEX(bhpc_data[description],SMALL(IF(ISNUMBER(MATCH(bhpc_data[size],$EC$13,0)),MATCH(ROW(bhpc_data[sku]),ROW(bhpc_data[sku])),""),ROWS($A$15:A166)+$B$3))),IF($EC$13="",INDEX(bhpc_data[description],SMALL(IF(ISNUMBER(MATCH(bhpc_data[sex],$EC$11,0)),MATCH(ROW(bhpc_data[sku]),ROW(bhpc_data[sku])),""),ROWS($A$15:A166)+$B$3)),INDEX(bhpc_data[description],SMALL(IF(ISNUMBER(MATCH(bhpc_data[sex],$EC$11,0)*MATCH(bhpc_data[size],$EC$13,0)),MATCH(ROW(bhpc_data[sku]),ROW(bhpc_data[sku])),""),ROWS($A$15:A166)+$B$3)))),IF($EC$11="",IF($EC$13="",INDEX(bhpc_data[description],SMALL(IF(ISNUMBER(MATCH(bhpc_data[category],$EC$9,0)),MATCH(ROW(bhpc_data[sku]),ROW(bhpc_data[sku])),""),ROWS($A$15:A166)+$B$3)),INDEX(bhpc_data[description],SMALL(IF(ISNUMBER(MATCH(bhpc_data[category],$EC$9,0)*MATCH(bhpc_data[size],$EC$13,0)),MATCH(ROW(bhpc_data[sku]),ROW(bhpc_data[sku])),""),ROWS($A$15:A166)+$B$3))),IF($EC$13="",INDEX(bhpc_data[description],SMALL(IF(ISNUMBER(MATCH(bhpc_data[category],$EC$9,0)*MATCH(bhpc_data[sex],$EC$11,0)),MATCH(ROW(bhpc_data[sku]),ROW(bhpc_data[sku])),""),ROWS($A$15:A166)+$B$3)),INDEX(bhpc_data[description],SMALL(IF(ISNUMBER(MATCH(bhpc_data[category],$EC$9,0)*MATCH(bhpc_data[sex],$EC$11,0)*MATCH(bhpc_data[size],$EC$13,0)),MATCH(ROW(bhpc_data[sku]),ROW(bhpc_data[sku])),""),ROWS($A$15:A166)+$B$3))))),"")</f>
        <v>BHPC COLLAR T-SHIRT BERRY - MEDIUM</v>
      </c>
      <c r="EG161" s="441">
        <f>IFERROR(IF('BHPC MANAGER'!$EE161="","",INDEX(inventory[ESISTENZA],MATCH('BHPC MANAGER'!$EE161,inventory[SKU],0))),0)</f>
        <v>5</v>
      </c>
      <c r="EH161" s="442">
        <v>-5</v>
      </c>
      <c r="EI161" s="442">
        <f t="shared" si="17"/>
        <v>0</v>
      </c>
      <c r="EJ161" s="443">
        <v>0</v>
      </c>
      <c r="EK161" s="444">
        <f t="shared" si="18"/>
        <v>0</v>
      </c>
    </row>
    <row r="162" spans="63:141" x14ac:dyDescent="0.35">
      <c r="BK162" s="296"/>
      <c r="BL162" s="297"/>
      <c r="BM162" s="298"/>
      <c r="BN162" s="297"/>
      <c r="BO162" s="298"/>
      <c r="EE162" s="445" t="str" cm="1">
        <f t="array" ref="EE162">IFERROR(IF($EC$9="",IF($EC$11="",IF($EC$13="",INDEX(bhpc_data[sku],SMALL(MATCH(ROW(bhpc_data[sku]),ROW(bhpc_data[sku])),ROWS($A$15:A167)+$B$3)),INDEX(bhpc_data[sku],SMALL(IF(ISNUMBER(MATCH(bhpc_data[size],$EC$13,0)),MATCH(ROW(bhpc_data[sku]),ROW(bhpc_data[sku])),""),ROWS($A$15:A167)+$B$3))),IF($EC$13="",INDEX(bhpc_data[sku],SMALL(IF(ISNUMBER(MATCH(bhpc_data[sex],$EC$11,0)),MATCH(ROW(bhpc_data[sku]),ROW(bhpc_data[sku])),""),ROWS($A$15:A167)+$B$3)),INDEX(bhpc_data[sku],SMALL(IF(ISNUMBER(MATCH(bhpc_data[sex],$EC$11,0)*MATCH(bhpc_data[size],$EC$13,0)),MATCH(ROW(bhpc_data[sku]),ROW(bhpc_data[sku])),""),ROWS($A$15:A167)+$B$3)))),IF($EC$11="",IF($EC$13="",INDEX(bhpc_data[sku],SMALL(IF(ISNUMBER(MATCH(bhpc_data[category],$EC$9,0)),MATCH(ROW(bhpc_data[sku]),ROW(bhpc_data[sku])),""),ROWS($A$15:A167)+$B$3)),INDEX(bhpc_data[sku],SMALL(IF(ISNUMBER(MATCH(bhpc_data[category],$EC$9,0)*MATCH(bhpc_data[size],$EC$13,0)),MATCH(ROW(bhpc_data[sku]),ROW(bhpc_data[sku])),""),ROWS($A$15:A167)+$B$3))),IF($EC$13="",INDEX(bhpc_data[sku],SMALL(IF(ISNUMBER(MATCH(bhpc_data[category],$EC$9,0)*MATCH(bhpc_data[sex],$EC$11,0)),MATCH(ROW(bhpc_data[sku]),ROW(bhpc_data[sku])),""),ROWS($A$15:A167)+$B$3)),INDEX(bhpc_data[sku],SMALL(IF(ISNUMBER(MATCH(bhpc_data[category],$EC$9,0)*MATCH(bhpc_data[sex],$EC$11,0)*MATCH(bhpc_data[size],$EC$13,0)),MATCH(ROW(bhpc_data[sku]),ROW(bhpc_data[sku])),""),ROWS($A$15:A167)+$B$3))))),"")</f>
        <v>CSBE0S</v>
      </c>
      <c r="EF162" s="446" t="str" cm="1">
        <f t="array" ref="EF162">IFERROR(IF($EC$9="",IF($EC$11="",IF($EC$13="",INDEX(bhpc_data[description],SMALL(MATCH(ROW(bhpc_data[sku]),ROW(bhpc_data[sku])),ROWS($A$15:A167)+$B$3)),INDEX(bhpc_data[description],SMALL(IF(ISNUMBER(MATCH(bhpc_data[size],$EC$13,0)),MATCH(ROW(bhpc_data[sku]),ROW(bhpc_data[sku])),""),ROWS($A$15:A167)+$B$3))),IF($EC$13="",INDEX(bhpc_data[description],SMALL(IF(ISNUMBER(MATCH(bhpc_data[sex],$EC$11,0)),MATCH(ROW(bhpc_data[sku]),ROW(bhpc_data[sku])),""),ROWS($A$15:A167)+$B$3)),INDEX(bhpc_data[description],SMALL(IF(ISNUMBER(MATCH(bhpc_data[sex],$EC$11,0)*MATCH(bhpc_data[size],$EC$13,0)),MATCH(ROW(bhpc_data[sku]),ROW(bhpc_data[sku])),""),ROWS($A$15:A167)+$B$3)))),IF($EC$11="",IF($EC$13="",INDEX(bhpc_data[description],SMALL(IF(ISNUMBER(MATCH(bhpc_data[category],$EC$9,0)),MATCH(ROW(bhpc_data[sku]),ROW(bhpc_data[sku])),""),ROWS($A$15:A167)+$B$3)),INDEX(bhpc_data[description],SMALL(IF(ISNUMBER(MATCH(bhpc_data[category],$EC$9,0)*MATCH(bhpc_data[size],$EC$13,0)),MATCH(ROW(bhpc_data[sku]),ROW(bhpc_data[sku])),""),ROWS($A$15:A167)+$B$3))),IF($EC$13="",INDEX(bhpc_data[description],SMALL(IF(ISNUMBER(MATCH(bhpc_data[category],$EC$9,0)*MATCH(bhpc_data[sex],$EC$11,0)),MATCH(ROW(bhpc_data[sku]),ROW(bhpc_data[sku])),""),ROWS($A$15:A167)+$B$3)),INDEX(bhpc_data[description],SMALL(IF(ISNUMBER(MATCH(bhpc_data[category],$EC$9,0)*MATCH(bhpc_data[sex],$EC$11,0)*MATCH(bhpc_data[size],$EC$13,0)),MATCH(ROW(bhpc_data[sku]),ROW(bhpc_data[sku])),""),ROWS($A$15:A167)+$B$3))))),"")</f>
        <v>BHPC COLLAR T-SHIRT BERRY - SMALL</v>
      </c>
      <c r="EG162" s="447">
        <f>IFERROR(IF('BHPC MANAGER'!$EE162="","",INDEX(inventory[ESISTENZA],MATCH('BHPC MANAGER'!$EE162,inventory[SKU],0))),0)</f>
        <v>1</v>
      </c>
      <c r="EH162" s="448" t="s">
        <v>861</v>
      </c>
      <c r="EI162" s="448">
        <f t="shared" si="17"/>
        <v>1</v>
      </c>
      <c r="EJ162" s="449" t="s">
        <v>861</v>
      </c>
      <c r="EK162" s="450">
        <f t="shared" si="18"/>
        <v>1</v>
      </c>
    </row>
    <row r="163" spans="63:141" x14ac:dyDescent="0.35">
      <c r="BK163" s="296"/>
      <c r="BL163" s="297"/>
      <c r="BM163" s="298"/>
      <c r="BN163" s="297"/>
      <c r="BO163" s="298"/>
      <c r="EE163" s="439" t="str" cm="1">
        <f t="array" ref="EE163">IFERROR(IF($EC$9="",IF($EC$11="",IF($EC$13="",INDEX(bhpc_data[sku],SMALL(MATCH(ROW(bhpc_data[sku]),ROW(bhpc_data[sku])),ROWS($A$15:A168)+$B$3)),INDEX(bhpc_data[sku],SMALL(IF(ISNUMBER(MATCH(bhpc_data[size],$EC$13,0)),MATCH(ROW(bhpc_data[sku]),ROW(bhpc_data[sku])),""),ROWS($A$15:A168)+$B$3))),IF($EC$13="",INDEX(bhpc_data[sku],SMALL(IF(ISNUMBER(MATCH(bhpc_data[sex],$EC$11,0)),MATCH(ROW(bhpc_data[sku]),ROW(bhpc_data[sku])),""),ROWS($A$15:A168)+$B$3)),INDEX(bhpc_data[sku],SMALL(IF(ISNUMBER(MATCH(bhpc_data[sex],$EC$11,0)*MATCH(bhpc_data[size],$EC$13,0)),MATCH(ROW(bhpc_data[sku]),ROW(bhpc_data[sku])),""),ROWS($A$15:A168)+$B$3)))),IF($EC$11="",IF($EC$13="",INDEX(bhpc_data[sku],SMALL(IF(ISNUMBER(MATCH(bhpc_data[category],$EC$9,0)),MATCH(ROW(bhpc_data[sku]),ROW(bhpc_data[sku])),""),ROWS($A$15:A168)+$B$3)),INDEX(bhpc_data[sku],SMALL(IF(ISNUMBER(MATCH(bhpc_data[category],$EC$9,0)*MATCH(bhpc_data[size],$EC$13,0)),MATCH(ROW(bhpc_data[sku]),ROW(bhpc_data[sku])),""),ROWS($A$15:A168)+$B$3))),IF($EC$13="",INDEX(bhpc_data[sku],SMALL(IF(ISNUMBER(MATCH(bhpc_data[category],$EC$9,0)*MATCH(bhpc_data[sex],$EC$11,0)),MATCH(ROW(bhpc_data[sku]),ROW(bhpc_data[sku])),""),ROWS($A$15:A168)+$B$3)),INDEX(bhpc_data[sku],SMALL(IF(ISNUMBER(MATCH(bhpc_data[category],$EC$9,0)*MATCH(bhpc_data[sex],$EC$11,0)*MATCH(bhpc_data[size],$EC$13,0)),MATCH(ROW(bhpc_data[sku]),ROW(bhpc_data[sku])),""),ROWS($A$15:A168)+$B$3))))),"")</f>
        <v>CSBE3X</v>
      </c>
      <c r="EF163" s="440" t="str" cm="1">
        <f t="array" ref="EF163">IFERROR(IF($EC$9="",IF($EC$11="",IF($EC$13="",INDEX(bhpc_data[description],SMALL(MATCH(ROW(bhpc_data[sku]),ROW(bhpc_data[sku])),ROWS($A$15:A168)+$B$3)),INDEX(bhpc_data[description],SMALL(IF(ISNUMBER(MATCH(bhpc_data[size],$EC$13,0)),MATCH(ROW(bhpc_data[sku]),ROW(bhpc_data[sku])),""),ROWS($A$15:A168)+$B$3))),IF($EC$13="",INDEX(bhpc_data[description],SMALL(IF(ISNUMBER(MATCH(bhpc_data[sex],$EC$11,0)),MATCH(ROW(bhpc_data[sku]),ROW(bhpc_data[sku])),""),ROWS($A$15:A168)+$B$3)),INDEX(bhpc_data[description],SMALL(IF(ISNUMBER(MATCH(bhpc_data[sex],$EC$11,0)*MATCH(bhpc_data[size],$EC$13,0)),MATCH(ROW(bhpc_data[sku]),ROW(bhpc_data[sku])),""),ROWS($A$15:A168)+$B$3)))),IF($EC$11="",IF($EC$13="",INDEX(bhpc_data[description],SMALL(IF(ISNUMBER(MATCH(bhpc_data[category],$EC$9,0)),MATCH(ROW(bhpc_data[sku]),ROW(bhpc_data[sku])),""),ROWS($A$15:A168)+$B$3)),INDEX(bhpc_data[description],SMALL(IF(ISNUMBER(MATCH(bhpc_data[category],$EC$9,0)*MATCH(bhpc_data[size],$EC$13,0)),MATCH(ROW(bhpc_data[sku]),ROW(bhpc_data[sku])),""),ROWS($A$15:A168)+$B$3))),IF($EC$13="",INDEX(bhpc_data[description],SMALL(IF(ISNUMBER(MATCH(bhpc_data[category],$EC$9,0)*MATCH(bhpc_data[sex],$EC$11,0)),MATCH(ROW(bhpc_data[sku]),ROW(bhpc_data[sku])),""),ROWS($A$15:A168)+$B$3)),INDEX(bhpc_data[description],SMALL(IF(ISNUMBER(MATCH(bhpc_data[category],$EC$9,0)*MATCH(bhpc_data[sex],$EC$11,0)*MATCH(bhpc_data[size],$EC$13,0)),MATCH(ROW(bhpc_data[sku]),ROW(bhpc_data[sku])),""),ROWS($A$15:A168)+$B$3))))),"")</f>
        <v>BHPC COLLAR T-SHIRT BERRY - 3XL</v>
      </c>
      <c r="EG163" s="441">
        <f>IFERROR(IF('BHPC MANAGER'!$EE163="","",INDEX(inventory[ESISTENZA],MATCH('BHPC MANAGER'!$EE163,inventory[SKU],0))),0)</f>
        <v>2</v>
      </c>
      <c r="EH163" s="442" t="s">
        <v>861</v>
      </c>
      <c r="EI163" s="442">
        <f t="shared" si="17"/>
        <v>2</v>
      </c>
      <c r="EJ163" s="443" t="s">
        <v>861</v>
      </c>
      <c r="EK163" s="444">
        <f t="shared" si="18"/>
        <v>2</v>
      </c>
    </row>
    <row r="164" spans="63:141" x14ac:dyDescent="0.35">
      <c r="BK164" s="296"/>
      <c r="BL164" s="297"/>
      <c r="BM164" s="298"/>
      <c r="BN164" s="297"/>
      <c r="BO164" s="298"/>
      <c r="EE164" s="445" t="str" cm="1">
        <f t="array" ref="EE164">IFERROR(IF($EC$9="",IF($EC$11="",IF($EC$13="",INDEX(bhpc_data[sku],SMALL(MATCH(ROW(bhpc_data[sku]),ROW(bhpc_data[sku])),ROWS($A$15:A169)+$B$3)),INDEX(bhpc_data[sku],SMALL(IF(ISNUMBER(MATCH(bhpc_data[size],$EC$13,0)),MATCH(ROW(bhpc_data[sku]),ROW(bhpc_data[sku])),""),ROWS($A$15:A169)+$B$3))),IF($EC$13="",INDEX(bhpc_data[sku],SMALL(IF(ISNUMBER(MATCH(bhpc_data[sex],$EC$11,0)),MATCH(ROW(bhpc_data[sku]),ROW(bhpc_data[sku])),""),ROWS($A$15:A169)+$B$3)),INDEX(bhpc_data[sku],SMALL(IF(ISNUMBER(MATCH(bhpc_data[sex],$EC$11,0)*MATCH(bhpc_data[size],$EC$13,0)),MATCH(ROW(bhpc_data[sku]),ROW(bhpc_data[sku])),""),ROWS($A$15:A169)+$B$3)))),IF($EC$11="",IF($EC$13="",INDEX(bhpc_data[sku],SMALL(IF(ISNUMBER(MATCH(bhpc_data[category],$EC$9,0)),MATCH(ROW(bhpc_data[sku]),ROW(bhpc_data[sku])),""),ROWS($A$15:A169)+$B$3)),INDEX(bhpc_data[sku],SMALL(IF(ISNUMBER(MATCH(bhpc_data[category],$EC$9,0)*MATCH(bhpc_data[size],$EC$13,0)),MATCH(ROW(bhpc_data[sku]),ROW(bhpc_data[sku])),""),ROWS($A$15:A169)+$B$3))),IF($EC$13="",INDEX(bhpc_data[sku],SMALL(IF(ISNUMBER(MATCH(bhpc_data[category],$EC$9,0)*MATCH(bhpc_data[sex],$EC$11,0)),MATCH(ROW(bhpc_data[sku]),ROW(bhpc_data[sku])),""),ROWS($A$15:A169)+$B$3)),INDEX(bhpc_data[sku],SMALL(IF(ISNUMBER(MATCH(bhpc_data[category],$EC$9,0)*MATCH(bhpc_data[sex],$EC$11,0)*MATCH(bhpc_data[size],$EC$13,0)),MATCH(ROW(bhpc_data[sku]),ROW(bhpc_data[sku])),""),ROWS($A$15:A169)+$B$3))))),"")</f>
        <v>CSBEXL</v>
      </c>
      <c r="EF164" s="446" t="str" cm="1">
        <f t="array" ref="EF164">IFERROR(IF($EC$9="",IF($EC$11="",IF($EC$13="",INDEX(bhpc_data[description],SMALL(MATCH(ROW(bhpc_data[sku]),ROW(bhpc_data[sku])),ROWS($A$15:A169)+$B$3)),INDEX(bhpc_data[description],SMALL(IF(ISNUMBER(MATCH(bhpc_data[size],$EC$13,0)),MATCH(ROW(bhpc_data[sku]),ROW(bhpc_data[sku])),""),ROWS($A$15:A169)+$B$3))),IF($EC$13="",INDEX(bhpc_data[description],SMALL(IF(ISNUMBER(MATCH(bhpc_data[sex],$EC$11,0)),MATCH(ROW(bhpc_data[sku]),ROW(bhpc_data[sku])),""),ROWS($A$15:A169)+$B$3)),INDEX(bhpc_data[description],SMALL(IF(ISNUMBER(MATCH(bhpc_data[sex],$EC$11,0)*MATCH(bhpc_data[size],$EC$13,0)),MATCH(ROW(bhpc_data[sku]),ROW(bhpc_data[sku])),""),ROWS($A$15:A169)+$B$3)))),IF($EC$11="",IF($EC$13="",INDEX(bhpc_data[description],SMALL(IF(ISNUMBER(MATCH(bhpc_data[category],$EC$9,0)),MATCH(ROW(bhpc_data[sku]),ROW(bhpc_data[sku])),""),ROWS($A$15:A169)+$B$3)),INDEX(bhpc_data[description],SMALL(IF(ISNUMBER(MATCH(bhpc_data[category],$EC$9,0)*MATCH(bhpc_data[size],$EC$13,0)),MATCH(ROW(bhpc_data[sku]),ROW(bhpc_data[sku])),""),ROWS($A$15:A169)+$B$3))),IF($EC$13="",INDEX(bhpc_data[description],SMALL(IF(ISNUMBER(MATCH(bhpc_data[category],$EC$9,0)*MATCH(bhpc_data[sex],$EC$11,0)),MATCH(ROW(bhpc_data[sku]),ROW(bhpc_data[sku])),""),ROWS($A$15:A169)+$B$3)),INDEX(bhpc_data[description],SMALL(IF(ISNUMBER(MATCH(bhpc_data[category],$EC$9,0)*MATCH(bhpc_data[sex],$EC$11,0)*MATCH(bhpc_data[size],$EC$13,0)),MATCH(ROW(bhpc_data[sku]),ROW(bhpc_data[sku])),""),ROWS($A$15:A169)+$B$3))))),"")</f>
        <v>BHPC COLLAR T-SHIRT BERRY - XL</v>
      </c>
      <c r="EG164" s="447">
        <f>IFERROR(IF('BHPC MANAGER'!$EE164="","",INDEX(inventory[ESISTENZA],MATCH('BHPC MANAGER'!$EE164,inventory[SKU],0))),0)</f>
        <v>10</v>
      </c>
      <c r="EH164" s="448">
        <v>-5</v>
      </c>
      <c r="EI164" s="448">
        <f t="shared" si="17"/>
        <v>5</v>
      </c>
      <c r="EJ164" s="449">
        <v>0</v>
      </c>
      <c r="EK164" s="450">
        <f t="shared" si="18"/>
        <v>5</v>
      </c>
    </row>
    <row r="165" spans="63:141" x14ac:dyDescent="0.35">
      <c r="BK165" s="296"/>
      <c r="BL165" s="297"/>
      <c r="BM165" s="298"/>
      <c r="BN165" s="297"/>
      <c r="BO165" s="298"/>
      <c r="EE165" s="439" t="str" cm="1">
        <f t="array" ref="EE165">IFERROR(IF($EC$9="",IF($EC$11="",IF($EC$13="",INDEX(bhpc_data[sku],SMALL(MATCH(ROW(bhpc_data[sku]),ROW(bhpc_data[sku])),ROWS($A$15:A170)+$B$3)),INDEX(bhpc_data[sku],SMALL(IF(ISNUMBER(MATCH(bhpc_data[size],$EC$13,0)),MATCH(ROW(bhpc_data[sku]),ROW(bhpc_data[sku])),""),ROWS($A$15:A170)+$B$3))),IF($EC$13="",INDEX(bhpc_data[sku],SMALL(IF(ISNUMBER(MATCH(bhpc_data[sex],$EC$11,0)),MATCH(ROW(bhpc_data[sku]),ROW(bhpc_data[sku])),""),ROWS($A$15:A170)+$B$3)),INDEX(bhpc_data[sku],SMALL(IF(ISNUMBER(MATCH(bhpc_data[sex],$EC$11,0)*MATCH(bhpc_data[size],$EC$13,0)),MATCH(ROW(bhpc_data[sku]),ROW(bhpc_data[sku])),""),ROWS($A$15:A170)+$B$3)))),IF($EC$11="",IF($EC$13="",INDEX(bhpc_data[sku],SMALL(IF(ISNUMBER(MATCH(bhpc_data[category],$EC$9,0)),MATCH(ROW(bhpc_data[sku]),ROW(bhpc_data[sku])),""),ROWS($A$15:A170)+$B$3)),INDEX(bhpc_data[sku],SMALL(IF(ISNUMBER(MATCH(bhpc_data[category],$EC$9,0)*MATCH(bhpc_data[size],$EC$13,0)),MATCH(ROW(bhpc_data[sku]),ROW(bhpc_data[sku])),""),ROWS($A$15:A170)+$B$3))),IF($EC$13="",INDEX(bhpc_data[sku],SMALL(IF(ISNUMBER(MATCH(bhpc_data[category],$EC$9,0)*MATCH(bhpc_data[sex],$EC$11,0)),MATCH(ROW(bhpc_data[sku]),ROW(bhpc_data[sku])),""),ROWS($A$15:A170)+$B$3)),INDEX(bhpc_data[sku],SMALL(IF(ISNUMBER(MATCH(bhpc_data[category],$EC$9,0)*MATCH(bhpc_data[sex],$EC$11,0)*MATCH(bhpc_data[size],$EC$13,0)),MATCH(ROW(bhpc_data[sku]),ROW(bhpc_data[sku])),""),ROWS($A$15:A170)+$B$3))))),"")</f>
        <v>CSBEXX</v>
      </c>
      <c r="EF165" s="440" t="str" cm="1">
        <f t="array" ref="EF165">IFERROR(IF($EC$9="",IF($EC$11="",IF($EC$13="",INDEX(bhpc_data[description],SMALL(MATCH(ROW(bhpc_data[sku]),ROW(bhpc_data[sku])),ROWS($A$15:A170)+$B$3)),INDEX(bhpc_data[description],SMALL(IF(ISNUMBER(MATCH(bhpc_data[size],$EC$13,0)),MATCH(ROW(bhpc_data[sku]),ROW(bhpc_data[sku])),""),ROWS($A$15:A170)+$B$3))),IF($EC$13="",INDEX(bhpc_data[description],SMALL(IF(ISNUMBER(MATCH(bhpc_data[sex],$EC$11,0)),MATCH(ROW(bhpc_data[sku]),ROW(bhpc_data[sku])),""),ROWS($A$15:A170)+$B$3)),INDEX(bhpc_data[description],SMALL(IF(ISNUMBER(MATCH(bhpc_data[sex],$EC$11,0)*MATCH(bhpc_data[size],$EC$13,0)),MATCH(ROW(bhpc_data[sku]),ROW(bhpc_data[sku])),""),ROWS($A$15:A170)+$B$3)))),IF($EC$11="",IF($EC$13="",INDEX(bhpc_data[description],SMALL(IF(ISNUMBER(MATCH(bhpc_data[category],$EC$9,0)),MATCH(ROW(bhpc_data[sku]),ROW(bhpc_data[sku])),""),ROWS($A$15:A170)+$B$3)),INDEX(bhpc_data[description],SMALL(IF(ISNUMBER(MATCH(bhpc_data[category],$EC$9,0)*MATCH(bhpc_data[size],$EC$13,0)),MATCH(ROW(bhpc_data[sku]),ROW(bhpc_data[sku])),""),ROWS($A$15:A170)+$B$3))),IF($EC$13="",INDEX(bhpc_data[description],SMALL(IF(ISNUMBER(MATCH(bhpc_data[category],$EC$9,0)*MATCH(bhpc_data[sex],$EC$11,0)),MATCH(ROW(bhpc_data[sku]),ROW(bhpc_data[sku])),""),ROWS($A$15:A170)+$B$3)),INDEX(bhpc_data[description],SMALL(IF(ISNUMBER(MATCH(bhpc_data[category],$EC$9,0)*MATCH(bhpc_data[sex],$EC$11,0)*MATCH(bhpc_data[size],$EC$13,0)),MATCH(ROW(bhpc_data[sku]),ROW(bhpc_data[sku])),""),ROWS($A$15:A170)+$B$3))))),"")</f>
        <v>BHPC COLLAR T-SHIRT BERRY - XXL</v>
      </c>
      <c r="EG165" s="441">
        <f>IFERROR(IF('BHPC MANAGER'!$EE165="","",INDEX(inventory[ESISTENZA],MATCH('BHPC MANAGER'!$EE165,inventory[SKU],0))),0)</f>
        <v>4</v>
      </c>
      <c r="EH165" s="442">
        <v>-4</v>
      </c>
      <c r="EI165" s="442">
        <f t="shared" si="17"/>
        <v>0</v>
      </c>
      <c r="EJ165" s="443">
        <v>0</v>
      </c>
      <c r="EK165" s="444">
        <f t="shared" si="18"/>
        <v>0</v>
      </c>
    </row>
    <row r="166" spans="63:141" x14ac:dyDescent="0.35">
      <c r="BK166" s="296"/>
      <c r="BL166" s="297"/>
      <c r="BM166" s="298"/>
      <c r="BN166" s="297"/>
      <c r="BO166" s="298"/>
      <c r="EE166" s="445" t="str" cm="1">
        <f t="array" ref="EE166">IFERROR(IF($EC$9="",IF($EC$11="",IF($EC$13="",INDEX(bhpc_data[sku],SMALL(MATCH(ROW(bhpc_data[sku]),ROW(bhpc_data[sku])),ROWS($A$15:A171)+$B$3)),INDEX(bhpc_data[sku],SMALL(IF(ISNUMBER(MATCH(bhpc_data[size],$EC$13,0)),MATCH(ROW(bhpc_data[sku]),ROW(bhpc_data[sku])),""),ROWS($A$15:A171)+$B$3))),IF($EC$13="",INDEX(bhpc_data[sku],SMALL(IF(ISNUMBER(MATCH(bhpc_data[sex],$EC$11,0)),MATCH(ROW(bhpc_data[sku]),ROW(bhpc_data[sku])),""),ROWS($A$15:A171)+$B$3)),INDEX(bhpc_data[sku],SMALL(IF(ISNUMBER(MATCH(bhpc_data[sex],$EC$11,0)*MATCH(bhpc_data[size],$EC$13,0)),MATCH(ROW(bhpc_data[sku]),ROW(bhpc_data[sku])),""),ROWS($A$15:A171)+$B$3)))),IF($EC$11="",IF($EC$13="",INDEX(bhpc_data[sku],SMALL(IF(ISNUMBER(MATCH(bhpc_data[category],$EC$9,0)),MATCH(ROW(bhpc_data[sku]),ROW(bhpc_data[sku])),""),ROWS($A$15:A171)+$B$3)),INDEX(bhpc_data[sku],SMALL(IF(ISNUMBER(MATCH(bhpc_data[category],$EC$9,0)*MATCH(bhpc_data[size],$EC$13,0)),MATCH(ROW(bhpc_data[sku]),ROW(bhpc_data[sku])),""),ROWS($A$15:A171)+$B$3))),IF($EC$13="",INDEX(bhpc_data[sku],SMALL(IF(ISNUMBER(MATCH(bhpc_data[category],$EC$9,0)*MATCH(bhpc_data[sex],$EC$11,0)),MATCH(ROW(bhpc_data[sku]),ROW(bhpc_data[sku])),""),ROWS($A$15:A171)+$B$3)),INDEX(bhpc_data[sku],SMALL(IF(ISNUMBER(MATCH(bhpc_data[category],$EC$9,0)*MATCH(bhpc_data[sex],$EC$11,0)*MATCH(bhpc_data[size],$EC$13,0)),MATCH(ROW(bhpc_data[sku]),ROW(bhpc_data[sku])),""),ROWS($A$15:A171)+$B$3))))),"")</f>
        <v>CSBL0L</v>
      </c>
      <c r="EF166" s="446" t="str" cm="1">
        <f t="array" ref="EF166">IFERROR(IF($EC$9="",IF($EC$11="",IF($EC$13="",INDEX(bhpc_data[description],SMALL(MATCH(ROW(bhpc_data[sku]),ROW(bhpc_data[sku])),ROWS($A$15:A171)+$B$3)),INDEX(bhpc_data[description],SMALL(IF(ISNUMBER(MATCH(bhpc_data[size],$EC$13,0)),MATCH(ROW(bhpc_data[sku]),ROW(bhpc_data[sku])),""),ROWS($A$15:A171)+$B$3))),IF($EC$13="",INDEX(bhpc_data[description],SMALL(IF(ISNUMBER(MATCH(bhpc_data[sex],$EC$11,0)),MATCH(ROW(bhpc_data[sku]),ROW(bhpc_data[sku])),""),ROWS($A$15:A171)+$B$3)),INDEX(bhpc_data[description],SMALL(IF(ISNUMBER(MATCH(bhpc_data[sex],$EC$11,0)*MATCH(bhpc_data[size],$EC$13,0)),MATCH(ROW(bhpc_data[sku]),ROW(bhpc_data[sku])),""),ROWS($A$15:A171)+$B$3)))),IF($EC$11="",IF($EC$13="",INDEX(bhpc_data[description],SMALL(IF(ISNUMBER(MATCH(bhpc_data[category],$EC$9,0)),MATCH(ROW(bhpc_data[sku]),ROW(bhpc_data[sku])),""),ROWS($A$15:A171)+$B$3)),INDEX(bhpc_data[description],SMALL(IF(ISNUMBER(MATCH(bhpc_data[category],$EC$9,0)*MATCH(bhpc_data[size],$EC$13,0)),MATCH(ROW(bhpc_data[sku]),ROW(bhpc_data[sku])),""),ROWS($A$15:A171)+$B$3))),IF($EC$13="",INDEX(bhpc_data[description],SMALL(IF(ISNUMBER(MATCH(bhpc_data[category],$EC$9,0)*MATCH(bhpc_data[sex],$EC$11,0)),MATCH(ROW(bhpc_data[sku]),ROW(bhpc_data[sku])),""),ROWS($A$15:A171)+$B$3)),INDEX(bhpc_data[description],SMALL(IF(ISNUMBER(MATCH(bhpc_data[category],$EC$9,0)*MATCH(bhpc_data[sex],$EC$11,0)*MATCH(bhpc_data[size],$EC$13,0)),MATCH(ROW(bhpc_data[sku]),ROW(bhpc_data[sku])),""),ROWS($A$15:A171)+$B$3))))),"")</f>
        <v>BHPC COLLAR T-SHIRT BLACK - LARGE</v>
      </c>
      <c r="EG166" s="447">
        <f>IFERROR(IF('BHPC MANAGER'!$EE166="","",INDEX(inventory[ESISTENZA],MATCH('BHPC MANAGER'!$EE166,inventory[SKU],0))),0)</f>
        <v>3</v>
      </c>
      <c r="EH166" s="448">
        <v>-3</v>
      </c>
      <c r="EI166" s="448">
        <f t="shared" si="17"/>
        <v>0</v>
      </c>
      <c r="EJ166" s="449">
        <v>0</v>
      </c>
      <c r="EK166" s="450">
        <f t="shared" si="18"/>
        <v>0</v>
      </c>
    </row>
    <row r="167" spans="63:141" x14ac:dyDescent="0.35">
      <c r="BK167" s="296"/>
      <c r="BL167" s="297"/>
      <c r="BM167" s="298"/>
      <c r="BN167" s="297"/>
      <c r="BO167" s="298"/>
      <c r="EE167" s="439" t="str" cm="1">
        <f t="array" ref="EE167">IFERROR(IF($EC$9="",IF($EC$11="",IF($EC$13="",INDEX(bhpc_data[sku],SMALL(MATCH(ROW(bhpc_data[sku]),ROW(bhpc_data[sku])),ROWS($A$15:A172)+$B$3)),INDEX(bhpc_data[sku],SMALL(IF(ISNUMBER(MATCH(bhpc_data[size],$EC$13,0)),MATCH(ROW(bhpc_data[sku]),ROW(bhpc_data[sku])),""),ROWS($A$15:A172)+$B$3))),IF($EC$13="",INDEX(bhpc_data[sku],SMALL(IF(ISNUMBER(MATCH(bhpc_data[sex],$EC$11,0)),MATCH(ROW(bhpc_data[sku]),ROW(bhpc_data[sku])),""),ROWS($A$15:A172)+$B$3)),INDEX(bhpc_data[sku],SMALL(IF(ISNUMBER(MATCH(bhpc_data[sex],$EC$11,0)*MATCH(bhpc_data[size],$EC$13,0)),MATCH(ROW(bhpc_data[sku]),ROW(bhpc_data[sku])),""),ROWS($A$15:A172)+$B$3)))),IF($EC$11="",IF($EC$13="",INDEX(bhpc_data[sku],SMALL(IF(ISNUMBER(MATCH(bhpc_data[category],$EC$9,0)),MATCH(ROW(bhpc_data[sku]),ROW(bhpc_data[sku])),""),ROWS($A$15:A172)+$B$3)),INDEX(bhpc_data[sku],SMALL(IF(ISNUMBER(MATCH(bhpc_data[category],$EC$9,0)*MATCH(bhpc_data[size],$EC$13,0)),MATCH(ROW(bhpc_data[sku]),ROW(bhpc_data[sku])),""),ROWS($A$15:A172)+$B$3))),IF($EC$13="",INDEX(bhpc_data[sku],SMALL(IF(ISNUMBER(MATCH(bhpc_data[category],$EC$9,0)*MATCH(bhpc_data[sex],$EC$11,0)),MATCH(ROW(bhpc_data[sku]),ROW(bhpc_data[sku])),""),ROWS($A$15:A172)+$B$3)),INDEX(bhpc_data[sku],SMALL(IF(ISNUMBER(MATCH(bhpc_data[category],$EC$9,0)*MATCH(bhpc_data[sex],$EC$11,0)*MATCH(bhpc_data[size],$EC$13,0)),MATCH(ROW(bhpc_data[sku]),ROW(bhpc_data[sku])),""),ROWS($A$15:A172)+$B$3))))),"")</f>
        <v>CSBL0M</v>
      </c>
      <c r="EF167" s="440" t="str" cm="1">
        <f t="array" ref="EF167">IFERROR(IF($EC$9="",IF($EC$11="",IF($EC$13="",INDEX(bhpc_data[description],SMALL(MATCH(ROW(bhpc_data[sku]),ROW(bhpc_data[sku])),ROWS($A$15:A172)+$B$3)),INDEX(bhpc_data[description],SMALL(IF(ISNUMBER(MATCH(bhpc_data[size],$EC$13,0)),MATCH(ROW(bhpc_data[sku]),ROW(bhpc_data[sku])),""),ROWS($A$15:A172)+$B$3))),IF($EC$13="",INDEX(bhpc_data[description],SMALL(IF(ISNUMBER(MATCH(bhpc_data[sex],$EC$11,0)),MATCH(ROW(bhpc_data[sku]),ROW(bhpc_data[sku])),""),ROWS($A$15:A172)+$B$3)),INDEX(bhpc_data[description],SMALL(IF(ISNUMBER(MATCH(bhpc_data[sex],$EC$11,0)*MATCH(bhpc_data[size],$EC$13,0)),MATCH(ROW(bhpc_data[sku]),ROW(bhpc_data[sku])),""),ROWS($A$15:A172)+$B$3)))),IF($EC$11="",IF($EC$13="",INDEX(bhpc_data[description],SMALL(IF(ISNUMBER(MATCH(bhpc_data[category],$EC$9,0)),MATCH(ROW(bhpc_data[sku]),ROW(bhpc_data[sku])),""),ROWS($A$15:A172)+$B$3)),INDEX(bhpc_data[description],SMALL(IF(ISNUMBER(MATCH(bhpc_data[category],$EC$9,0)*MATCH(bhpc_data[size],$EC$13,0)),MATCH(ROW(bhpc_data[sku]),ROW(bhpc_data[sku])),""),ROWS($A$15:A172)+$B$3))),IF($EC$13="",INDEX(bhpc_data[description],SMALL(IF(ISNUMBER(MATCH(bhpc_data[category],$EC$9,0)*MATCH(bhpc_data[sex],$EC$11,0)),MATCH(ROW(bhpc_data[sku]),ROW(bhpc_data[sku])),""),ROWS($A$15:A172)+$B$3)),INDEX(bhpc_data[description],SMALL(IF(ISNUMBER(MATCH(bhpc_data[category],$EC$9,0)*MATCH(bhpc_data[sex],$EC$11,0)*MATCH(bhpc_data[size],$EC$13,0)),MATCH(ROW(bhpc_data[sku]),ROW(bhpc_data[sku])),""),ROWS($A$15:A172)+$B$3))))),"")</f>
        <v>BHPC COLLAR T-SHIRT BLACK - MEDIUM</v>
      </c>
      <c r="EG167" s="441">
        <f>IFERROR(IF('BHPC MANAGER'!$EE167="","",INDEX(inventory[ESISTENZA],MATCH('BHPC MANAGER'!$EE167,inventory[SKU],0))),0)</f>
        <v>0</v>
      </c>
      <c r="EH167" s="442" t="s">
        <v>861</v>
      </c>
      <c r="EI167" s="442">
        <f t="shared" si="17"/>
        <v>0</v>
      </c>
      <c r="EJ167" s="443" t="s">
        <v>861</v>
      </c>
      <c r="EK167" s="444">
        <f t="shared" si="18"/>
        <v>0</v>
      </c>
    </row>
    <row r="168" spans="63:141" x14ac:dyDescent="0.35">
      <c r="BK168" s="296"/>
      <c r="BL168" s="297"/>
      <c r="BM168" s="298"/>
      <c r="BN168" s="297"/>
      <c r="BO168" s="298"/>
      <c r="EE168" s="445" t="str" cm="1">
        <f t="array" ref="EE168">IFERROR(IF($EC$9="",IF($EC$11="",IF($EC$13="",INDEX(bhpc_data[sku],SMALL(MATCH(ROW(bhpc_data[sku]),ROW(bhpc_data[sku])),ROWS($A$15:A173)+$B$3)),INDEX(bhpc_data[sku],SMALL(IF(ISNUMBER(MATCH(bhpc_data[size],$EC$13,0)),MATCH(ROW(bhpc_data[sku]),ROW(bhpc_data[sku])),""),ROWS($A$15:A173)+$B$3))),IF($EC$13="",INDEX(bhpc_data[sku],SMALL(IF(ISNUMBER(MATCH(bhpc_data[sex],$EC$11,0)),MATCH(ROW(bhpc_data[sku]),ROW(bhpc_data[sku])),""),ROWS($A$15:A173)+$B$3)),INDEX(bhpc_data[sku],SMALL(IF(ISNUMBER(MATCH(bhpc_data[sex],$EC$11,0)*MATCH(bhpc_data[size],$EC$13,0)),MATCH(ROW(bhpc_data[sku]),ROW(bhpc_data[sku])),""),ROWS($A$15:A173)+$B$3)))),IF($EC$11="",IF($EC$13="",INDEX(bhpc_data[sku],SMALL(IF(ISNUMBER(MATCH(bhpc_data[category],$EC$9,0)),MATCH(ROW(bhpc_data[sku]),ROW(bhpc_data[sku])),""),ROWS($A$15:A173)+$B$3)),INDEX(bhpc_data[sku],SMALL(IF(ISNUMBER(MATCH(bhpc_data[category],$EC$9,0)*MATCH(bhpc_data[size],$EC$13,0)),MATCH(ROW(bhpc_data[sku]),ROW(bhpc_data[sku])),""),ROWS($A$15:A173)+$B$3))),IF($EC$13="",INDEX(bhpc_data[sku],SMALL(IF(ISNUMBER(MATCH(bhpc_data[category],$EC$9,0)*MATCH(bhpc_data[sex],$EC$11,0)),MATCH(ROW(bhpc_data[sku]),ROW(bhpc_data[sku])),""),ROWS($A$15:A173)+$B$3)),INDEX(bhpc_data[sku],SMALL(IF(ISNUMBER(MATCH(bhpc_data[category],$EC$9,0)*MATCH(bhpc_data[sex],$EC$11,0)*MATCH(bhpc_data[size],$EC$13,0)),MATCH(ROW(bhpc_data[sku]),ROW(bhpc_data[sku])),""),ROWS($A$15:A173)+$B$3))))),"")</f>
        <v>CSBL0S</v>
      </c>
      <c r="EF168" s="446" t="str" cm="1">
        <f t="array" ref="EF168">IFERROR(IF($EC$9="",IF($EC$11="",IF($EC$13="",INDEX(bhpc_data[description],SMALL(MATCH(ROW(bhpc_data[sku]),ROW(bhpc_data[sku])),ROWS($A$15:A173)+$B$3)),INDEX(bhpc_data[description],SMALL(IF(ISNUMBER(MATCH(bhpc_data[size],$EC$13,0)),MATCH(ROW(bhpc_data[sku]),ROW(bhpc_data[sku])),""),ROWS($A$15:A173)+$B$3))),IF($EC$13="",INDEX(bhpc_data[description],SMALL(IF(ISNUMBER(MATCH(bhpc_data[sex],$EC$11,0)),MATCH(ROW(bhpc_data[sku]),ROW(bhpc_data[sku])),""),ROWS($A$15:A173)+$B$3)),INDEX(bhpc_data[description],SMALL(IF(ISNUMBER(MATCH(bhpc_data[sex],$EC$11,0)*MATCH(bhpc_data[size],$EC$13,0)),MATCH(ROW(bhpc_data[sku]),ROW(bhpc_data[sku])),""),ROWS($A$15:A173)+$B$3)))),IF($EC$11="",IF($EC$13="",INDEX(bhpc_data[description],SMALL(IF(ISNUMBER(MATCH(bhpc_data[category],$EC$9,0)),MATCH(ROW(bhpc_data[sku]),ROW(bhpc_data[sku])),""),ROWS($A$15:A173)+$B$3)),INDEX(bhpc_data[description],SMALL(IF(ISNUMBER(MATCH(bhpc_data[category],$EC$9,0)*MATCH(bhpc_data[size],$EC$13,0)),MATCH(ROW(bhpc_data[sku]),ROW(bhpc_data[sku])),""),ROWS($A$15:A173)+$B$3))),IF($EC$13="",INDEX(bhpc_data[description],SMALL(IF(ISNUMBER(MATCH(bhpc_data[category],$EC$9,0)*MATCH(bhpc_data[sex],$EC$11,0)),MATCH(ROW(bhpc_data[sku]),ROW(bhpc_data[sku])),""),ROWS($A$15:A173)+$B$3)),INDEX(bhpc_data[description],SMALL(IF(ISNUMBER(MATCH(bhpc_data[category],$EC$9,0)*MATCH(bhpc_data[sex],$EC$11,0)*MATCH(bhpc_data[size],$EC$13,0)),MATCH(ROW(bhpc_data[sku]),ROW(bhpc_data[sku])),""),ROWS($A$15:A173)+$B$3))))),"")</f>
        <v>BHPC COLLAR T-SHIRT BLACK - SMALL</v>
      </c>
      <c r="EG168" s="447">
        <f>IFERROR(IF('BHPC MANAGER'!$EE168="","",INDEX(inventory[ESISTENZA],MATCH('BHPC MANAGER'!$EE168,inventory[SKU],0))),0)</f>
        <v>0</v>
      </c>
      <c r="EH168" s="448" t="s">
        <v>861</v>
      </c>
      <c r="EI168" s="448">
        <f t="shared" si="17"/>
        <v>0</v>
      </c>
      <c r="EJ168" s="449" t="s">
        <v>861</v>
      </c>
      <c r="EK168" s="450">
        <f t="shared" si="18"/>
        <v>0</v>
      </c>
    </row>
    <row r="169" spans="63:141" x14ac:dyDescent="0.35">
      <c r="BK169" s="296"/>
      <c r="BL169" s="297"/>
      <c r="BM169" s="298"/>
      <c r="BN169" s="297"/>
      <c r="BO169" s="298"/>
      <c r="EE169" s="439" t="str" cm="1">
        <f t="array" ref="EE169">IFERROR(IF($EC$9="",IF($EC$11="",IF($EC$13="",INDEX(bhpc_data[sku],SMALL(MATCH(ROW(bhpc_data[sku]),ROW(bhpc_data[sku])),ROWS($A$15:A174)+$B$3)),INDEX(bhpc_data[sku],SMALL(IF(ISNUMBER(MATCH(bhpc_data[size],$EC$13,0)),MATCH(ROW(bhpc_data[sku]),ROW(bhpc_data[sku])),""),ROWS($A$15:A174)+$B$3))),IF($EC$13="",INDEX(bhpc_data[sku],SMALL(IF(ISNUMBER(MATCH(bhpc_data[sex],$EC$11,0)),MATCH(ROW(bhpc_data[sku]),ROW(bhpc_data[sku])),""),ROWS($A$15:A174)+$B$3)),INDEX(bhpc_data[sku],SMALL(IF(ISNUMBER(MATCH(bhpc_data[sex],$EC$11,0)*MATCH(bhpc_data[size],$EC$13,0)),MATCH(ROW(bhpc_data[sku]),ROW(bhpc_data[sku])),""),ROWS($A$15:A174)+$B$3)))),IF($EC$11="",IF($EC$13="",INDEX(bhpc_data[sku],SMALL(IF(ISNUMBER(MATCH(bhpc_data[category],$EC$9,0)),MATCH(ROW(bhpc_data[sku]),ROW(bhpc_data[sku])),""),ROWS($A$15:A174)+$B$3)),INDEX(bhpc_data[sku],SMALL(IF(ISNUMBER(MATCH(bhpc_data[category],$EC$9,0)*MATCH(bhpc_data[size],$EC$13,0)),MATCH(ROW(bhpc_data[sku]),ROW(bhpc_data[sku])),""),ROWS($A$15:A174)+$B$3))),IF($EC$13="",INDEX(bhpc_data[sku],SMALL(IF(ISNUMBER(MATCH(bhpc_data[category],$EC$9,0)*MATCH(bhpc_data[sex],$EC$11,0)),MATCH(ROW(bhpc_data[sku]),ROW(bhpc_data[sku])),""),ROWS($A$15:A174)+$B$3)),INDEX(bhpc_data[sku],SMALL(IF(ISNUMBER(MATCH(bhpc_data[category],$EC$9,0)*MATCH(bhpc_data[sex],$EC$11,0)*MATCH(bhpc_data[size],$EC$13,0)),MATCH(ROW(bhpc_data[sku]),ROW(bhpc_data[sku])),""),ROWS($A$15:A174)+$B$3))))),"")</f>
        <v>CSBL3X</v>
      </c>
      <c r="EF169" s="440" t="str" cm="1">
        <f t="array" ref="EF169">IFERROR(IF($EC$9="",IF($EC$11="",IF($EC$13="",INDEX(bhpc_data[description],SMALL(MATCH(ROW(bhpc_data[sku]),ROW(bhpc_data[sku])),ROWS($A$15:A174)+$B$3)),INDEX(bhpc_data[description],SMALL(IF(ISNUMBER(MATCH(bhpc_data[size],$EC$13,0)),MATCH(ROW(bhpc_data[sku]),ROW(bhpc_data[sku])),""),ROWS($A$15:A174)+$B$3))),IF($EC$13="",INDEX(bhpc_data[description],SMALL(IF(ISNUMBER(MATCH(bhpc_data[sex],$EC$11,0)),MATCH(ROW(bhpc_data[sku]),ROW(bhpc_data[sku])),""),ROWS($A$15:A174)+$B$3)),INDEX(bhpc_data[description],SMALL(IF(ISNUMBER(MATCH(bhpc_data[sex],$EC$11,0)*MATCH(bhpc_data[size],$EC$13,0)),MATCH(ROW(bhpc_data[sku]),ROW(bhpc_data[sku])),""),ROWS($A$15:A174)+$B$3)))),IF($EC$11="",IF($EC$13="",INDEX(bhpc_data[description],SMALL(IF(ISNUMBER(MATCH(bhpc_data[category],$EC$9,0)),MATCH(ROW(bhpc_data[sku]),ROW(bhpc_data[sku])),""),ROWS($A$15:A174)+$B$3)),INDEX(bhpc_data[description],SMALL(IF(ISNUMBER(MATCH(bhpc_data[category],$EC$9,0)*MATCH(bhpc_data[size],$EC$13,0)),MATCH(ROW(bhpc_data[sku]),ROW(bhpc_data[sku])),""),ROWS($A$15:A174)+$B$3))),IF($EC$13="",INDEX(bhpc_data[description],SMALL(IF(ISNUMBER(MATCH(bhpc_data[category],$EC$9,0)*MATCH(bhpc_data[sex],$EC$11,0)),MATCH(ROW(bhpc_data[sku]),ROW(bhpc_data[sku])),""),ROWS($A$15:A174)+$B$3)),INDEX(bhpc_data[description],SMALL(IF(ISNUMBER(MATCH(bhpc_data[category],$EC$9,0)*MATCH(bhpc_data[sex],$EC$11,0)*MATCH(bhpc_data[size],$EC$13,0)),MATCH(ROW(bhpc_data[sku]),ROW(bhpc_data[sku])),""),ROWS($A$15:A174)+$B$3))))),"")</f>
        <v>BHPC COLLAR T-SHIRT BLACK - 3XL</v>
      </c>
      <c r="EG169" s="441">
        <f>IFERROR(IF('BHPC MANAGER'!$EE169="","",INDEX(inventory[ESISTENZA],MATCH('BHPC MANAGER'!$EE169,inventory[SKU],0))),0)</f>
        <v>2</v>
      </c>
      <c r="EH169" s="442" t="s">
        <v>861</v>
      </c>
      <c r="EI169" s="442">
        <f t="shared" si="17"/>
        <v>2</v>
      </c>
      <c r="EJ169" s="443" t="s">
        <v>861</v>
      </c>
      <c r="EK169" s="444">
        <f t="shared" si="18"/>
        <v>2</v>
      </c>
    </row>
    <row r="170" spans="63:141" x14ac:dyDescent="0.35">
      <c r="BK170" s="296"/>
      <c r="BL170" s="297"/>
      <c r="BM170" s="298"/>
      <c r="BN170" s="297"/>
      <c r="BO170" s="298"/>
      <c r="EE170" s="445" t="str" cm="1">
        <f t="array" ref="EE170">IFERROR(IF($EC$9="",IF($EC$11="",IF($EC$13="",INDEX(bhpc_data[sku],SMALL(MATCH(ROW(bhpc_data[sku]),ROW(bhpc_data[sku])),ROWS($A$15:A175)+$B$3)),INDEX(bhpc_data[sku],SMALL(IF(ISNUMBER(MATCH(bhpc_data[size],$EC$13,0)),MATCH(ROW(bhpc_data[sku]),ROW(bhpc_data[sku])),""),ROWS($A$15:A175)+$B$3))),IF($EC$13="",INDEX(bhpc_data[sku],SMALL(IF(ISNUMBER(MATCH(bhpc_data[sex],$EC$11,0)),MATCH(ROW(bhpc_data[sku]),ROW(bhpc_data[sku])),""),ROWS($A$15:A175)+$B$3)),INDEX(bhpc_data[sku],SMALL(IF(ISNUMBER(MATCH(bhpc_data[sex],$EC$11,0)*MATCH(bhpc_data[size],$EC$13,0)),MATCH(ROW(bhpc_data[sku]),ROW(bhpc_data[sku])),""),ROWS($A$15:A175)+$B$3)))),IF($EC$11="",IF($EC$13="",INDEX(bhpc_data[sku],SMALL(IF(ISNUMBER(MATCH(bhpc_data[category],$EC$9,0)),MATCH(ROW(bhpc_data[sku]),ROW(bhpc_data[sku])),""),ROWS($A$15:A175)+$B$3)),INDEX(bhpc_data[sku],SMALL(IF(ISNUMBER(MATCH(bhpc_data[category],$EC$9,0)*MATCH(bhpc_data[size],$EC$13,0)),MATCH(ROW(bhpc_data[sku]),ROW(bhpc_data[sku])),""),ROWS($A$15:A175)+$B$3))),IF($EC$13="",INDEX(bhpc_data[sku],SMALL(IF(ISNUMBER(MATCH(bhpc_data[category],$EC$9,0)*MATCH(bhpc_data[sex],$EC$11,0)),MATCH(ROW(bhpc_data[sku]),ROW(bhpc_data[sku])),""),ROWS($A$15:A175)+$B$3)),INDEX(bhpc_data[sku],SMALL(IF(ISNUMBER(MATCH(bhpc_data[category],$EC$9,0)*MATCH(bhpc_data[sex],$EC$11,0)*MATCH(bhpc_data[size],$EC$13,0)),MATCH(ROW(bhpc_data[sku]),ROW(bhpc_data[sku])),""),ROWS($A$15:A175)+$B$3))))),"")</f>
        <v>CSBLXL</v>
      </c>
      <c r="EF170" s="446" t="str" cm="1">
        <f t="array" ref="EF170">IFERROR(IF($EC$9="",IF($EC$11="",IF($EC$13="",INDEX(bhpc_data[description],SMALL(MATCH(ROW(bhpc_data[sku]),ROW(bhpc_data[sku])),ROWS($A$15:A175)+$B$3)),INDEX(bhpc_data[description],SMALL(IF(ISNUMBER(MATCH(bhpc_data[size],$EC$13,0)),MATCH(ROW(bhpc_data[sku]),ROW(bhpc_data[sku])),""),ROWS($A$15:A175)+$B$3))),IF($EC$13="",INDEX(bhpc_data[description],SMALL(IF(ISNUMBER(MATCH(bhpc_data[sex],$EC$11,0)),MATCH(ROW(bhpc_data[sku]),ROW(bhpc_data[sku])),""),ROWS($A$15:A175)+$B$3)),INDEX(bhpc_data[description],SMALL(IF(ISNUMBER(MATCH(bhpc_data[sex],$EC$11,0)*MATCH(bhpc_data[size],$EC$13,0)),MATCH(ROW(bhpc_data[sku]),ROW(bhpc_data[sku])),""),ROWS($A$15:A175)+$B$3)))),IF($EC$11="",IF($EC$13="",INDEX(bhpc_data[description],SMALL(IF(ISNUMBER(MATCH(bhpc_data[category],$EC$9,0)),MATCH(ROW(bhpc_data[sku]),ROW(bhpc_data[sku])),""),ROWS($A$15:A175)+$B$3)),INDEX(bhpc_data[description],SMALL(IF(ISNUMBER(MATCH(bhpc_data[category],$EC$9,0)*MATCH(bhpc_data[size],$EC$13,0)),MATCH(ROW(bhpc_data[sku]),ROW(bhpc_data[sku])),""),ROWS($A$15:A175)+$B$3))),IF($EC$13="",INDEX(bhpc_data[description],SMALL(IF(ISNUMBER(MATCH(bhpc_data[category],$EC$9,0)*MATCH(bhpc_data[sex],$EC$11,0)),MATCH(ROW(bhpc_data[sku]),ROW(bhpc_data[sku])),""),ROWS($A$15:A175)+$B$3)),INDEX(bhpc_data[description],SMALL(IF(ISNUMBER(MATCH(bhpc_data[category],$EC$9,0)*MATCH(bhpc_data[sex],$EC$11,0)*MATCH(bhpc_data[size],$EC$13,0)),MATCH(ROW(bhpc_data[sku]),ROW(bhpc_data[sku])),""),ROWS($A$15:A175)+$B$3))))),"")</f>
        <v>BHPC COLLAR T-SHIRT BLACK - XL</v>
      </c>
      <c r="EG170" s="447">
        <f>IFERROR(IF('BHPC MANAGER'!$EE170="","",INDEX(inventory[ESISTENZA],MATCH('BHPC MANAGER'!$EE170,inventory[SKU],0))),0)</f>
        <v>4</v>
      </c>
      <c r="EH170" s="448">
        <v>-4</v>
      </c>
      <c r="EI170" s="448">
        <f t="shared" si="17"/>
        <v>0</v>
      </c>
      <c r="EJ170" s="449">
        <v>0</v>
      </c>
      <c r="EK170" s="450">
        <f t="shared" si="18"/>
        <v>0</v>
      </c>
    </row>
    <row r="171" spans="63:141" x14ac:dyDescent="0.35">
      <c r="BK171" s="296"/>
      <c r="BL171" s="297"/>
      <c r="BM171" s="298"/>
      <c r="BN171" s="297"/>
      <c r="BO171" s="298"/>
      <c r="EE171" s="439" t="str" cm="1">
        <f t="array" ref="EE171">IFERROR(IF($EC$9="",IF($EC$11="",IF($EC$13="",INDEX(bhpc_data[sku],SMALL(MATCH(ROW(bhpc_data[sku]),ROW(bhpc_data[sku])),ROWS($A$15:A176)+$B$3)),INDEX(bhpc_data[sku],SMALL(IF(ISNUMBER(MATCH(bhpc_data[size],$EC$13,0)),MATCH(ROW(bhpc_data[sku]),ROW(bhpc_data[sku])),""),ROWS($A$15:A176)+$B$3))),IF($EC$13="",INDEX(bhpc_data[sku],SMALL(IF(ISNUMBER(MATCH(bhpc_data[sex],$EC$11,0)),MATCH(ROW(bhpc_data[sku]),ROW(bhpc_data[sku])),""),ROWS($A$15:A176)+$B$3)),INDEX(bhpc_data[sku],SMALL(IF(ISNUMBER(MATCH(bhpc_data[sex],$EC$11,0)*MATCH(bhpc_data[size],$EC$13,0)),MATCH(ROW(bhpc_data[sku]),ROW(bhpc_data[sku])),""),ROWS($A$15:A176)+$B$3)))),IF($EC$11="",IF($EC$13="",INDEX(bhpc_data[sku],SMALL(IF(ISNUMBER(MATCH(bhpc_data[category],$EC$9,0)),MATCH(ROW(bhpc_data[sku]),ROW(bhpc_data[sku])),""),ROWS($A$15:A176)+$B$3)),INDEX(bhpc_data[sku],SMALL(IF(ISNUMBER(MATCH(bhpc_data[category],$EC$9,0)*MATCH(bhpc_data[size],$EC$13,0)),MATCH(ROW(bhpc_data[sku]),ROW(bhpc_data[sku])),""),ROWS($A$15:A176)+$B$3))),IF($EC$13="",INDEX(bhpc_data[sku],SMALL(IF(ISNUMBER(MATCH(bhpc_data[category],$EC$9,0)*MATCH(bhpc_data[sex],$EC$11,0)),MATCH(ROW(bhpc_data[sku]),ROW(bhpc_data[sku])),""),ROWS($A$15:A176)+$B$3)),INDEX(bhpc_data[sku],SMALL(IF(ISNUMBER(MATCH(bhpc_data[category],$EC$9,0)*MATCH(bhpc_data[sex],$EC$11,0)*MATCH(bhpc_data[size],$EC$13,0)),MATCH(ROW(bhpc_data[sku]),ROW(bhpc_data[sku])),""),ROWS($A$15:A176)+$B$3))))),"")</f>
        <v>CSBLXX</v>
      </c>
      <c r="EF171" s="440" t="str" cm="1">
        <f t="array" ref="EF171">IFERROR(IF($EC$9="",IF($EC$11="",IF($EC$13="",INDEX(bhpc_data[description],SMALL(MATCH(ROW(bhpc_data[sku]),ROW(bhpc_data[sku])),ROWS($A$15:A176)+$B$3)),INDEX(bhpc_data[description],SMALL(IF(ISNUMBER(MATCH(bhpc_data[size],$EC$13,0)),MATCH(ROW(bhpc_data[sku]),ROW(bhpc_data[sku])),""),ROWS($A$15:A176)+$B$3))),IF($EC$13="",INDEX(bhpc_data[description],SMALL(IF(ISNUMBER(MATCH(bhpc_data[sex],$EC$11,0)),MATCH(ROW(bhpc_data[sku]),ROW(bhpc_data[sku])),""),ROWS($A$15:A176)+$B$3)),INDEX(bhpc_data[description],SMALL(IF(ISNUMBER(MATCH(bhpc_data[sex],$EC$11,0)*MATCH(bhpc_data[size],$EC$13,0)),MATCH(ROW(bhpc_data[sku]),ROW(bhpc_data[sku])),""),ROWS($A$15:A176)+$B$3)))),IF($EC$11="",IF($EC$13="",INDEX(bhpc_data[description],SMALL(IF(ISNUMBER(MATCH(bhpc_data[category],$EC$9,0)),MATCH(ROW(bhpc_data[sku]),ROW(bhpc_data[sku])),""),ROWS($A$15:A176)+$B$3)),INDEX(bhpc_data[description],SMALL(IF(ISNUMBER(MATCH(bhpc_data[category],$EC$9,0)*MATCH(bhpc_data[size],$EC$13,0)),MATCH(ROW(bhpc_data[sku]),ROW(bhpc_data[sku])),""),ROWS($A$15:A176)+$B$3))),IF($EC$13="",INDEX(bhpc_data[description],SMALL(IF(ISNUMBER(MATCH(bhpc_data[category],$EC$9,0)*MATCH(bhpc_data[sex],$EC$11,0)),MATCH(ROW(bhpc_data[sku]),ROW(bhpc_data[sku])),""),ROWS($A$15:A176)+$B$3)),INDEX(bhpc_data[description],SMALL(IF(ISNUMBER(MATCH(bhpc_data[category],$EC$9,0)*MATCH(bhpc_data[sex],$EC$11,0)*MATCH(bhpc_data[size],$EC$13,0)),MATCH(ROW(bhpc_data[sku]),ROW(bhpc_data[sku])),""),ROWS($A$15:A176)+$B$3))))),"")</f>
        <v>BHPC COLLAR T-SHIRT BLACK - XXL</v>
      </c>
      <c r="EG171" s="441">
        <f>IFERROR(IF('BHPC MANAGER'!$EE171="","",INDEX(inventory[ESISTENZA],MATCH('BHPC MANAGER'!$EE171,inventory[SKU],0))),0)</f>
        <v>4</v>
      </c>
      <c r="EH171" s="442">
        <v>-4</v>
      </c>
      <c r="EI171" s="442">
        <f t="shared" si="17"/>
        <v>0</v>
      </c>
      <c r="EJ171" s="443">
        <v>0</v>
      </c>
      <c r="EK171" s="444">
        <f t="shared" si="18"/>
        <v>0</v>
      </c>
    </row>
    <row r="172" spans="63:141" x14ac:dyDescent="0.35">
      <c r="BK172" s="296"/>
      <c r="BL172" s="297"/>
      <c r="BM172" s="298"/>
      <c r="BN172" s="297"/>
      <c r="BO172" s="298"/>
      <c r="EE172" s="445" t="str" cm="1">
        <f t="array" ref="EE172">IFERROR(IF($EC$9="",IF($EC$11="",IF($EC$13="",INDEX(bhpc_data[sku],SMALL(MATCH(ROW(bhpc_data[sku]),ROW(bhpc_data[sku])),ROWS($A$15:A177)+$B$3)),INDEX(bhpc_data[sku],SMALL(IF(ISNUMBER(MATCH(bhpc_data[size],$EC$13,0)),MATCH(ROW(bhpc_data[sku]),ROW(bhpc_data[sku])),""),ROWS($A$15:A177)+$B$3))),IF($EC$13="",INDEX(bhpc_data[sku],SMALL(IF(ISNUMBER(MATCH(bhpc_data[sex],$EC$11,0)),MATCH(ROW(bhpc_data[sku]),ROW(bhpc_data[sku])),""),ROWS($A$15:A177)+$B$3)),INDEX(bhpc_data[sku],SMALL(IF(ISNUMBER(MATCH(bhpc_data[sex],$EC$11,0)*MATCH(bhpc_data[size],$EC$13,0)),MATCH(ROW(bhpc_data[sku]),ROW(bhpc_data[sku])),""),ROWS($A$15:A177)+$B$3)))),IF($EC$11="",IF($EC$13="",INDEX(bhpc_data[sku],SMALL(IF(ISNUMBER(MATCH(bhpc_data[category],$EC$9,0)),MATCH(ROW(bhpc_data[sku]),ROW(bhpc_data[sku])),""),ROWS($A$15:A177)+$B$3)),INDEX(bhpc_data[sku],SMALL(IF(ISNUMBER(MATCH(bhpc_data[category],$EC$9,0)*MATCH(bhpc_data[size],$EC$13,0)),MATCH(ROW(bhpc_data[sku]),ROW(bhpc_data[sku])),""),ROWS($A$15:A177)+$B$3))),IF($EC$13="",INDEX(bhpc_data[sku],SMALL(IF(ISNUMBER(MATCH(bhpc_data[category],$EC$9,0)*MATCH(bhpc_data[sex],$EC$11,0)),MATCH(ROW(bhpc_data[sku]),ROW(bhpc_data[sku])),""),ROWS($A$15:A177)+$B$3)),INDEX(bhpc_data[sku],SMALL(IF(ISNUMBER(MATCH(bhpc_data[category],$EC$9,0)*MATCH(bhpc_data[sex],$EC$11,0)*MATCH(bhpc_data[size],$EC$13,0)),MATCH(ROW(bhpc_data[sku]),ROW(bhpc_data[sku])),""),ROWS($A$15:A177)+$B$3))))),"")</f>
        <v>CSOR0L</v>
      </c>
      <c r="EF172" s="446" t="str" cm="1">
        <f t="array" ref="EF172">IFERROR(IF($EC$9="",IF($EC$11="",IF($EC$13="",INDEX(bhpc_data[description],SMALL(MATCH(ROW(bhpc_data[sku]),ROW(bhpc_data[sku])),ROWS($A$15:A177)+$B$3)),INDEX(bhpc_data[description],SMALL(IF(ISNUMBER(MATCH(bhpc_data[size],$EC$13,0)),MATCH(ROW(bhpc_data[sku]),ROW(bhpc_data[sku])),""),ROWS($A$15:A177)+$B$3))),IF($EC$13="",INDEX(bhpc_data[description],SMALL(IF(ISNUMBER(MATCH(bhpc_data[sex],$EC$11,0)),MATCH(ROW(bhpc_data[sku]),ROW(bhpc_data[sku])),""),ROWS($A$15:A177)+$B$3)),INDEX(bhpc_data[description],SMALL(IF(ISNUMBER(MATCH(bhpc_data[sex],$EC$11,0)*MATCH(bhpc_data[size],$EC$13,0)),MATCH(ROW(bhpc_data[sku]),ROW(bhpc_data[sku])),""),ROWS($A$15:A177)+$B$3)))),IF($EC$11="",IF($EC$13="",INDEX(bhpc_data[description],SMALL(IF(ISNUMBER(MATCH(bhpc_data[category],$EC$9,0)),MATCH(ROW(bhpc_data[sku]),ROW(bhpc_data[sku])),""),ROWS($A$15:A177)+$B$3)),INDEX(bhpc_data[description],SMALL(IF(ISNUMBER(MATCH(bhpc_data[category],$EC$9,0)*MATCH(bhpc_data[size],$EC$13,0)),MATCH(ROW(bhpc_data[sku]),ROW(bhpc_data[sku])),""),ROWS($A$15:A177)+$B$3))),IF($EC$13="",INDEX(bhpc_data[description],SMALL(IF(ISNUMBER(MATCH(bhpc_data[category],$EC$9,0)*MATCH(bhpc_data[sex],$EC$11,0)),MATCH(ROW(bhpc_data[sku]),ROW(bhpc_data[sku])),""),ROWS($A$15:A177)+$B$3)),INDEX(bhpc_data[description],SMALL(IF(ISNUMBER(MATCH(bhpc_data[category],$EC$9,0)*MATCH(bhpc_data[sex],$EC$11,0)*MATCH(bhpc_data[size],$EC$13,0)),MATCH(ROW(bhpc_data[sku]),ROW(bhpc_data[sku])),""),ROWS($A$15:A177)+$B$3))))),"")</f>
        <v>BHPC COLLAR T-SHIRT ORANGE - LARGE</v>
      </c>
      <c r="EG172" s="447">
        <f>IFERROR(IF('BHPC MANAGER'!$EE172="","",INDEX(inventory[ESISTENZA],MATCH('BHPC MANAGER'!$EE172,inventory[SKU],0))),0)</f>
        <v>4</v>
      </c>
      <c r="EH172" s="448">
        <v>-4</v>
      </c>
      <c r="EI172" s="448">
        <f t="shared" si="17"/>
        <v>0</v>
      </c>
      <c r="EJ172" s="449">
        <v>0</v>
      </c>
      <c r="EK172" s="450">
        <f t="shared" si="18"/>
        <v>0</v>
      </c>
    </row>
    <row r="173" spans="63:141" x14ac:dyDescent="0.35">
      <c r="BK173" s="296"/>
      <c r="BL173" s="297"/>
      <c r="BM173" s="298"/>
      <c r="BN173" s="297"/>
      <c r="BO173" s="298"/>
      <c r="EE173" s="439" t="str" cm="1">
        <f t="array" ref="EE173">IFERROR(IF($EC$9="",IF($EC$11="",IF($EC$13="",INDEX(bhpc_data[sku],SMALL(MATCH(ROW(bhpc_data[sku]),ROW(bhpc_data[sku])),ROWS($A$15:A178)+$B$3)),INDEX(bhpc_data[sku],SMALL(IF(ISNUMBER(MATCH(bhpc_data[size],$EC$13,0)),MATCH(ROW(bhpc_data[sku]),ROW(bhpc_data[sku])),""),ROWS($A$15:A178)+$B$3))),IF($EC$13="",INDEX(bhpc_data[sku],SMALL(IF(ISNUMBER(MATCH(bhpc_data[sex],$EC$11,0)),MATCH(ROW(bhpc_data[sku]),ROW(bhpc_data[sku])),""),ROWS($A$15:A178)+$B$3)),INDEX(bhpc_data[sku],SMALL(IF(ISNUMBER(MATCH(bhpc_data[sex],$EC$11,0)*MATCH(bhpc_data[size],$EC$13,0)),MATCH(ROW(bhpc_data[sku]),ROW(bhpc_data[sku])),""),ROWS($A$15:A178)+$B$3)))),IF($EC$11="",IF($EC$13="",INDEX(bhpc_data[sku],SMALL(IF(ISNUMBER(MATCH(bhpc_data[category],$EC$9,0)),MATCH(ROW(bhpc_data[sku]),ROW(bhpc_data[sku])),""),ROWS($A$15:A178)+$B$3)),INDEX(bhpc_data[sku],SMALL(IF(ISNUMBER(MATCH(bhpc_data[category],$EC$9,0)*MATCH(bhpc_data[size],$EC$13,0)),MATCH(ROW(bhpc_data[sku]),ROW(bhpc_data[sku])),""),ROWS($A$15:A178)+$B$3))),IF($EC$13="",INDEX(bhpc_data[sku],SMALL(IF(ISNUMBER(MATCH(bhpc_data[category],$EC$9,0)*MATCH(bhpc_data[sex],$EC$11,0)),MATCH(ROW(bhpc_data[sku]),ROW(bhpc_data[sku])),""),ROWS($A$15:A178)+$B$3)),INDEX(bhpc_data[sku],SMALL(IF(ISNUMBER(MATCH(bhpc_data[category],$EC$9,0)*MATCH(bhpc_data[sex],$EC$11,0)*MATCH(bhpc_data[size],$EC$13,0)),MATCH(ROW(bhpc_data[sku]),ROW(bhpc_data[sku])),""),ROWS($A$15:A178)+$B$3))))),"")</f>
        <v>CSOR0M</v>
      </c>
      <c r="EF173" s="440" t="str" cm="1">
        <f t="array" ref="EF173">IFERROR(IF($EC$9="",IF($EC$11="",IF($EC$13="",INDEX(bhpc_data[description],SMALL(MATCH(ROW(bhpc_data[sku]),ROW(bhpc_data[sku])),ROWS($A$15:A178)+$B$3)),INDEX(bhpc_data[description],SMALL(IF(ISNUMBER(MATCH(bhpc_data[size],$EC$13,0)),MATCH(ROW(bhpc_data[sku]),ROW(bhpc_data[sku])),""),ROWS($A$15:A178)+$B$3))),IF($EC$13="",INDEX(bhpc_data[description],SMALL(IF(ISNUMBER(MATCH(bhpc_data[sex],$EC$11,0)),MATCH(ROW(bhpc_data[sku]),ROW(bhpc_data[sku])),""),ROWS($A$15:A178)+$B$3)),INDEX(bhpc_data[description],SMALL(IF(ISNUMBER(MATCH(bhpc_data[sex],$EC$11,0)*MATCH(bhpc_data[size],$EC$13,0)),MATCH(ROW(bhpc_data[sku]),ROW(bhpc_data[sku])),""),ROWS($A$15:A178)+$B$3)))),IF($EC$11="",IF($EC$13="",INDEX(bhpc_data[description],SMALL(IF(ISNUMBER(MATCH(bhpc_data[category],$EC$9,0)),MATCH(ROW(bhpc_data[sku]),ROW(bhpc_data[sku])),""),ROWS($A$15:A178)+$B$3)),INDEX(bhpc_data[description],SMALL(IF(ISNUMBER(MATCH(bhpc_data[category],$EC$9,0)*MATCH(bhpc_data[size],$EC$13,0)),MATCH(ROW(bhpc_data[sku]),ROW(bhpc_data[sku])),""),ROWS($A$15:A178)+$B$3))),IF($EC$13="",INDEX(bhpc_data[description],SMALL(IF(ISNUMBER(MATCH(bhpc_data[category],$EC$9,0)*MATCH(bhpc_data[sex],$EC$11,0)),MATCH(ROW(bhpc_data[sku]),ROW(bhpc_data[sku])),""),ROWS($A$15:A178)+$B$3)),INDEX(bhpc_data[description],SMALL(IF(ISNUMBER(MATCH(bhpc_data[category],$EC$9,0)*MATCH(bhpc_data[sex],$EC$11,0)*MATCH(bhpc_data[size],$EC$13,0)),MATCH(ROW(bhpc_data[sku]),ROW(bhpc_data[sku])),""),ROWS($A$15:A178)+$B$3))))),"")</f>
        <v>BHPC COLLAR T-SHIRT ORANGE - MEDIUM</v>
      </c>
      <c r="EG173" s="441">
        <f>IFERROR(IF('BHPC MANAGER'!$EE173="","",INDEX(inventory[ESISTENZA],MATCH('BHPC MANAGER'!$EE173,inventory[SKU],0))),0)</f>
        <v>0</v>
      </c>
      <c r="EH173" s="442" t="s">
        <v>861</v>
      </c>
      <c r="EI173" s="442">
        <f t="shared" si="17"/>
        <v>0</v>
      </c>
      <c r="EJ173" s="443" t="s">
        <v>861</v>
      </c>
      <c r="EK173" s="444">
        <f t="shared" si="18"/>
        <v>0</v>
      </c>
    </row>
    <row r="174" spans="63:141" x14ac:dyDescent="0.35">
      <c r="BK174" s="296"/>
      <c r="BL174" s="297"/>
      <c r="BM174" s="298"/>
      <c r="BN174" s="297"/>
      <c r="BO174" s="298"/>
      <c r="EE174" s="445" t="str" cm="1">
        <f t="array" ref="EE174">IFERROR(IF($EC$9="",IF($EC$11="",IF($EC$13="",INDEX(bhpc_data[sku],SMALL(MATCH(ROW(bhpc_data[sku]),ROW(bhpc_data[sku])),ROWS($A$15:A179)+$B$3)),INDEX(bhpc_data[sku],SMALL(IF(ISNUMBER(MATCH(bhpc_data[size],$EC$13,0)),MATCH(ROW(bhpc_data[sku]),ROW(bhpc_data[sku])),""),ROWS($A$15:A179)+$B$3))),IF($EC$13="",INDEX(bhpc_data[sku],SMALL(IF(ISNUMBER(MATCH(bhpc_data[sex],$EC$11,0)),MATCH(ROW(bhpc_data[sku]),ROW(bhpc_data[sku])),""),ROWS($A$15:A179)+$B$3)),INDEX(bhpc_data[sku],SMALL(IF(ISNUMBER(MATCH(bhpc_data[sex],$EC$11,0)*MATCH(bhpc_data[size],$EC$13,0)),MATCH(ROW(bhpc_data[sku]),ROW(bhpc_data[sku])),""),ROWS($A$15:A179)+$B$3)))),IF($EC$11="",IF($EC$13="",INDEX(bhpc_data[sku],SMALL(IF(ISNUMBER(MATCH(bhpc_data[category],$EC$9,0)),MATCH(ROW(bhpc_data[sku]),ROW(bhpc_data[sku])),""),ROWS($A$15:A179)+$B$3)),INDEX(bhpc_data[sku],SMALL(IF(ISNUMBER(MATCH(bhpc_data[category],$EC$9,0)*MATCH(bhpc_data[size],$EC$13,0)),MATCH(ROW(bhpc_data[sku]),ROW(bhpc_data[sku])),""),ROWS($A$15:A179)+$B$3))),IF($EC$13="",INDEX(bhpc_data[sku],SMALL(IF(ISNUMBER(MATCH(bhpc_data[category],$EC$9,0)*MATCH(bhpc_data[sex],$EC$11,0)),MATCH(ROW(bhpc_data[sku]),ROW(bhpc_data[sku])),""),ROWS($A$15:A179)+$B$3)),INDEX(bhpc_data[sku],SMALL(IF(ISNUMBER(MATCH(bhpc_data[category],$EC$9,0)*MATCH(bhpc_data[sex],$EC$11,0)*MATCH(bhpc_data[size],$EC$13,0)),MATCH(ROW(bhpc_data[sku]),ROW(bhpc_data[sku])),""),ROWS($A$15:A179)+$B$3))))),"")</f>
        <v>CSOR0S</v>
      </c>
      <c r="EF174" s="446" t="str" cm="1">
        <f t="array" ref="EF174">IFERROR(IF($EC$9="",IF($EC$11="",IF($EC$13="",INDEX(bhpc_data[description],SMALL(MATCH(ROW(bhpc_data[sku]),ROW(bhpc_data[sku])),ROWS($A$15:A179)+$B$3)),INDEX(bhpc_data[description],SMALL(IF(ISNUMBER(MATCH(bhpc_data[size],$EC$13,0)),MATCH(ROW(bhpc_data[sku]),ROW(bhpc_data[sku])),""),ROWS($A$15:A179)+$B$3))),IF($EC$13="",INDEX(bhpc_data[description],SMALL(IF(ISNUMBER(MATCH(bhpc_data[sex],$EC$11,0)),MATCH(ROW(bhpc_data[sku]),ROW(bhpc_data[sku])),""),ROWS($A$15:A179)+$B$3)),INDEX(bhpc_data[description],SMALL(IF(ISNUMBER(MATCH(bhpc_data[sex],$EC$11,0)*MATCH(bhpc_data[size],$EC$13,0)),MATCH(ROW(bhpc_data[sku]),ROW(bhpc_data[sku])),""),ROWS($A$15:A179)+$B$3)))),IF($EC$11="",IF($EC$13="",INDEX(bhpc_data[description],SMALL(IF(ISNUMBER(MATCH(bhpc_data[category],$EC$9,0)),MATCH(ROW(bhpc_data[sku]),ROW(bhpc_data[sku])),""),ROWS($A$15:A179)+$B$3)),INDEX(bhpc_data[description],SMALL(IF(ISNUMBER(MATCH(bhpc_data[category],$EC$9,0)*MATCH(bhpc_data[size],$EC$13,0)),MATCH(ROW(bhpc_data[sku]),ROW(bhpc_data[sku])),""),ROWS($A$15:A179)+$B$3))),IF($EC$13="",INDEX(bhpc_data[description],SMALL(IF(ISNUMBER(MATCH(bhpc_data[category],$EC$9,0)*MATCH(bhpc_data[sex],$EC$11,0)),MATCH(ROW(bhpc_data[sku]),ROW(bhpc_data[sku])),""),ROWS($A$15:A179)+$B$3)),INDEX(bhpc_data[description],SMALL(IF(ISNUMBER(MATCH(bhpc_data[category],$EC$9,0)*MATCH(bhpc_data[sex],$EC$11,0)*MATCH(bhpc_data[size],$EC$13,0)),MATCH(ROW(bhpc_data[sku]),ROW(bhpc_data[sku])),""),ROWS($A$15:A179)+$B$3))))),"")</f>
        <v>BHPC COLLAR T-SHIRT ORANGE - SMALL</v>
      </c>
      <c r="EG174" s="447">
        <f>IFERROR(IF('BHPC MANAGER'!$EE174="","",INDEX(inventory[ESISTENZA],MATCH('BHPC MANAGER'!$EE174,inventory[SKU],0))),0)</f>
        <v>0</v>
      </c>
      <c r="EH174" s="448" t="s">
        <v>861</v>
      </c>
      <c r="EI174" s="448">
        <f t="shared" si="17"/>
        <v>0</v>
      </c>
      <c r="EJ174" s="449" t="s">
        <v>861</v>
      </c>
      <c r="EK174" s="450">
        <f t="shared" si="18"/>
        <v>0</v>
      </c>
    </row>
    <row r="175" spans="63:141" x14ac:dyDescent="0.35">
      <c r="BK175" s="296"/>
      <c r="BL175" s="297"/>
      <c r="BM175" s="298"/>
      <c r="BN175" s="297"/>
      <c r="BO175" s="298"/>
      <c r="EE175" s="439" t="str" cm="1">
        <f t="array" ref="EE175">IFERROR(IF($EC$9="",IF($EC$11="",IF($EC$13="",INDEX(bhpc_data[sku],SMALL(MATCH(ROW(bhpc_data[sku]),ROW(bhpc_data[sku])),ROWS($A$15:A180)+$B$3)),INDEX(bhpc_data[sku],SMALL(IF(ISNUMBER(MATCH(bhpc_data[size],$EC$13,0)),MATCH(ROW(bhpc_data[sku]),ROW(bhpc_data[sku])),""),ROWS($A$15:A180)+$B$3))),IF($EC$13="",INDEX(bhpc_data[sku],SMALL(IF(ISNUMBER(MATCH(bhpc_data[sex],$EC$11,0)),MATCH(ROW(bhpc_data[sku]),ROW(bhpc_data[sku])),""),ROWS($A$15:A180)+$B$3)),INDEX(bhpc_data[sku],SMALL(IF(ISNUMBER(MATCH(bhpc_data[sex],$EC$11,0)*MATCH(bhpc_data[size],$EC$13,0)),MATCH(ROW(bhpc_data[sku]),ROW(bhpc_data[sku])),""),ROWS($A$15:A180)+$B$3)))),IF($EC$11="",IF($EC$13="",INDEX(bhpc_data[sku],SMALL(IF(ISNUMBER(MATCH(bhpc_data[category],$EC$9,0)),MATCH(ROW(bhpc_data[sku]),ROW(bhpc_data[sku])),""),ROWS($A$15:A180)+$B$3)),INDEX(bhpc_data[sku],SMALL(IF(ISNUMBER(MATCH(bhpc_data[category],$EC$9,0)*MATCH(bhpc_data[size],$EC$13,0)),MATCH(ROW(bhpc_data[sku]),ROW(bhpc_data[sku])),""),ROWS($A$15:A180)+$B$3))),IF($EC$13="",INDEX(bhpc_data[sku],SMALL(IF(ISNUMBER(MATCH(bhpc_data[category],$EC$9,0)*MATCH(bhpc_data[sex],$EC$11,0)),MATCH(ROW(bhpc_data[sku]),ROW(bhpc_data[sku])),""),ROWS($A$15:A180)+$B$3)),INDEX(bhpc_data[sku],SMALL(IF(ISNUMBER(MATCH(bhpc_data[category],$EC$9,0)*MATCH(bhpc_data[sex],$EC$11,0)*MATCH(bhpc_data[size],$EC$13,0)),MATCH(ROW(bhpc_data[sku]),ROW(bhpc_data[sku])),""),ROWS($A$15:A180)+$B$3))))),"")</f>
        <v>CSOR3X</v>
      </c>
      <c r="EF175" s="440" t="str" cm="1">
        <f t="array" ref="EF175">IFERROR(IF($EC$9="",IF($EC$11="",IF($EC$13="",INDEX(bhpc_data[description],SMALL(MATCH(ROW(bhpc_data[sku]),ROW(bhpc_data[sku])),ROWS($A$15:A180)+$B$3)),INDEX(bhpc_data[description],SMALL(IF(ISNUMBER(MATCH(bhpc_data[size],$EC$13,0)),MATCH(ROW(bhpc_data[sku]),ROW(bhpc_data[sku])),""),ROWS($A$15:A180)+$B$3))),IF($EC$13="",INDEX(bhpc_data[description],SMALL(IF(ISNUMBER(MATCH(bhpc_data[sex],$EC$11,0)),MATCH(ROW(bhpc_data[sku]),ROW(bhpc_data[sku])),""),ROWS($A$15:A180)+$B$3)),INDEX(bhpc_data[description],SMALL(IF(ISNUMBER(MATCH(bhpc_data[sex],$EC$11,0)*MATCH(bhpc_data[size],$EC$13,0)),MATCH(ROW(bhpc_data[sku]),ROW(bhpc_data[sku])),""),ROWS($A$15:A180)+$B$3)))),IF($EC$11="",IF($EC$13="",INDEX(bhpc_data[description],SMALL(IF(ISNUMBER(MATCH(bhpc_data[category],$EC$9,0)),MATCH(ROW(bhpc_data[sku]),ROW(bhpc_data[sku])),""),ROWS($A$15:A180)+$B$3)),INDEX(bhpc_data[description],SMALL(IF(ISNUMBER(MATCH(bhpc_data[category],$EC$9,0)*MATCH(bhpc_data[size],$EC$13,0)),MATCH(ROW(bhpc_data[sku]),ROW(bhpc_data[sku])),""),ROWS($A$15:A180)+$B$3))),IF($EC$13="",INDEX(bhpc_data[description],SMALL(IF(ISNUMBER(MATCH(bhpc_data[category],$EC$9,0)*MATCH(bhpc_data[sex],$EC$11,0)),MATCH(ROW(bhpc_data[sku]),ROW(bhpc_data[sku])),""),ROWS($A$15:A180)+$B$3)),INDEX(bhpc_data[description],SMALL(IF(ISNUMBER(MATCH(bhpc_data[category],$EC$9,0)*MATCH(bhpc_data[sex],$EC$11,0)*MATCH(bhpc_data[size],$EC$13,0)),MATCH(ROW(bhpc_data[sku]),ROW(bhpc_data[sku])),""),ROWS($A$15:A180)+$B$3))))),"")</f>
        <v>BHPC COLLAR T-SHIRT ORANGE - 3XL</v>
      </c>
      <c r="EG175" s="441">
        <f>IFERROR(IF('BHPC MANAGER'!$EE175="","",INDEX(inventory[ESISTENZA],MATCH('BHPC MANAGER'!$EE175,inventory[SKU],0))),0)</f>
        <v>2</v>
      </c>
      <c r="EH175" s="442" t="s">
        <v>861</v>
      </c>
      <c r="EI175" s="442">
        <f t="shared" si="17"/>
        <v>2</v>
      </c>
      <c r="EJ175" s="443" t="s">
        <v>861</v>
      </c>
      <c r="EK175" s="444">
        <f t="shared" si="18"/>
        <v>2</v>
      </c>
    </row>
    <row r="176" spans="63:141" x14ac:dyDescent="0.35">
      <c r="BK176" s="296"/>
      <c r="BL176" s="297"/>
      <c r="BM176" s="298"/>
      <c r="BN176" s="297"/>
      <c r="BO176" s="298"/>
      <c r="EE176" s="445" t="str" cm="1">
        <f t="array" ref="EE176">IFERROR(IF($EC$9="",IF($EC$11="",IF($EC$13="",INDEX(bhpc_data[sku],SMALL(MATCH(ROW(bhpc_data[sku]),ROW(bhpc_data[sku])),ROWS($A$15:A181)+$B$3)),INDEX(bhpc_data[sku],SMALL(IF(ISNUMBER(MATCH(bhpc_data[size],$EC$13,0)),MATCH(ROW(bhpc_data[sku]),ROW(bhpc_data[sku])),""),ROWS($A$15:A181)+$B$3))),IF($EC$13="",INDEX(bhpc_data[sku],SMALL(IF(ISNUMBER(MATCH(bhpc_data[sex],$EC$11,0)),MATCH(ROW(bhpc_data[sku]),ROW(bhpc_data[sku])),""),ROWS($A$15:A181)+$B$3)),INDEX(bhpc_data[sku],SMALL(IF(ISNUMBER(MATCH(bhpc_data[sex],$EC$11,0)*MATCH(bhpc_data[size],$EC$13,0)),MATCH(ROW(bhpc_data[sku]),ROW(bhpc_data[sku])),""),ROWS($A$15:A181)+$B$3)))),IF($EC$11="",IF($EC$13="",INDEX(bhpc_data[sku],SMALL(IF(ISNUMBER(MATCH(bhpc_data[category],$EC$9,0)),MATCH(ROW(bhpc_data[sku]),ROW(bhpc_data[sku])),""),ROWS($A$15:A181)+$B$3)),INDEX(bhpc_data[sku],SMALL(IF(ISNUMBER(MATCH(bhpc_data[category],$EC$9,0)*MATCH(bhpc_data[size],$EC$13,0)),MATCH(ROW(bhpc_data[sku]),ROW(bhpc_data[sku])),""),ROWS($A$15:A181)+$B$3))),IF($EC$13="",INDEX(bhpc_data[sku],SMALL(IF(ISNUMBER(MATCH(bhpc_data[category],$EC$9,0)*MATCH(bhpc_data[sex],$EC$11,0)),MATCH(ROW(bhpc_data[sku]),ROW(bhpc_data[sku])),""),ROWS($A$15:A181)+$B$3)),INDEX(bhpc_data[sku],SMALL(IF(ISNUMBER(MATCH(bhpc_data[category],$EC$9,0)*MATCH(bhpc_data[sex],$EC$11,0)*MATCH(bhpc_data[size],$EC$13,0)),MATCH(ROW(bhpc_data[sku]),ROW(bhpc_data[sku])),""),ROWS($A$15:A181)+$B$3))))),"")</f>
        <v>CSORXL</v>
      </c>
      <c r="EF176" s="446" t="str" cm="1">
        <f t="array" ref="EF176">IFERROR(IF($EC$9="",IF($EC$11="",IF($EC$13="",INDEX(bhpc_data[description],SMALL(MATCH(ROW(bhpc_data[sku]),ROW(bhpc_data[sku])),ROWS($A$15:A181)+$B$3)),INDEX(bhpc_data[description],SMALL(IF(ISNUMBER(MATCH(bhpc_data[size],$EC$13,0)),MATCH(ROW(bhpc_data[sku]),ROW(bhpc_data[sku])),""),ROWS($A$15:A181)+$B$3))),IF($EC$13="",INDEX(bhpc_data[description],SMALL(IF(ISNUMBER(MATCH(bhpc_data[sex],$EC$11,0)),MATCH(ROW(bhpc_data[sku]),ROW(bhpc_data[sku])),""),ROWS($A$15:A181)+$B$3)),INDEX(bhpc_data[description],SMALL(IF(ISNUMBER(MATCH(bhpc_data[sex],$EC$11,0)*MATCH(bhpc_data[size],$EC$13,0)),MATCH(ROW(bhpc_data[sku]),ROW(bhpc_data[sku])),""),ROWS($A$15:A181)+$B$3)))),IF($EC$11="",IF($EC$13="",INDEX(bhpc_data[description],SMALL(IF(ISNUMBER(MATCH(bhpc_data[category],$EC$9,0)),MATCH(ROW(bhpc_data[sku]),ROW(bhpc_data[sku])),""),ROWS($A$15:A181)+$B$3)),INDEX(bhpc_data[description],SMALL(IF(ISNUMBER(MATCH(bhpc_data[category],$EC$9,0)*MATCH(bhpc_data[size],$EC$13,0)),MATCH(ROW(bhpc_data[sku]),ROW(bhpc_data[sku])),""),ROWS($A$15:A181)+$B$3))),IF($EC$13="",INDEX(bhpc_data[description],SMALL(IF(ISNUMBER(MATCH(bhpc_data[category],$EC$9,0)*MATCH(bhpc_data[sex],$EC$11,0)),MATCH(ROW(bhpc_data[sku]),ROW(bhpc_data[sku])),""),ROWS($A$15:A181)+$B$3)),INDEX(bhpc_data[description],SMALL(IF(ISNUMBER(MATCH(bhpc_data[category],$EC$9,0)*MATCH(bhpc_data[sex],$EC$11,0)*MATCH(bhpc_data[size],$EC$13,0)),MATCH(ROW(bhpc_data[sku]),ROW(bhpc_data[sku])),""),ROWS($A$15:A181)+$B$3))))),"")</f>
        <v>BHPC COLLAR T-SHIRT ORANGE - XL</v>
      </c>
      <c r="EG176" s="447">
        <f>IFERROR(IF('BHPC MANAGER'!$EE176="","",INDEX(inventory[ESISTENZA],MATCH('BHPC MANAGER'!$EE176,inventory[SKU],0))),0)</f>
        <v>4</v>
      </c>
      <c r="EH176" s="448">
        <v>-4</v>
      </c>
      <c r="EI176" s="448">
        <f t="shared" si="17"/>
        <v>0</v>
      </c>
      <c r="EJ176" s="449">
        <v>0</v>
      </c>
      <c r="EK176" s="450">
        <f t="shared" si="18"/>
        <v>0</v>
      </c>
    </row>
    <row r="177" spans="63:141" x14ac:dyDescent="0.35">
      <c r="BK177" s="296"/>
      <c r="BL177" s="297"/>
      <c r="BM177" s="298"/>
      <c r="BN177" s="297"/>
      <c r="BO177" s="298"/>
      <c r="EE177" s="439" t="str" cm="1">
        <f t="array" ref="EE177">IFERROR(IF($EC$9="",IF($EC$11="",IF($EC$13="",INDEX(bhpc_data[sku],SMALL(MATCH(ROW(bhpc_data[sku]),ROW(bhpc_data[sku])),ROWS($A$15:A182)+$B$3)),INDEX(bhpc_data[sku],SMALL(IF(ISNUMBER(MATCH(bhpc_data[size],$EC$13,0)),MATCH(ROW(bhpc_data[sku]),ROW(bhpc_data[sku])),""),ROWS($A$15:A182)+$B$3))),IF($EC$13="",INDEX(bhpc_data[sku],SMALL(IF(ISNUMBER(MATCH(bhpc_data[sex],$EC$11,0)),MATCH(ROW(bhpc_data[sku]),ROW(bhpc_data[sku])),""),ROWS($A$15:A182)+$B$3)),INDEX(bhpc_data[sku],SMALL(IF(ISNUMBER(MATCH(bhpc_data[sex],$EC$11,0)*MATCH(bhpc_data[size],$EC$13,0)),MATCH(ROW(bhpc_data[sku]),ROW(bhpc_data[sku])),""),ROWS($A$15:A182)+$B$3)))),IF($EC$11="",IF($EC$13="",INDEX(bhpc_data[sku],SMALL(IF(ISNUMBER(MATCH(bhpc_data[category],$EC$9,0)),MATCH(ROW(bhpc_data[sku]),ROW(bhpc_data[sku])),""),ROWS($A$15:A182)+$B$3)),INDEX(bhpc_data[sku],SMALL(IF(ISNUMBER(MATCH(bhpc_data[category],$EC$9,0)*MATCH(bhpc_data[size],$EC$13,0)),MATCH(ROW(bhpc_data[sku]),ROW(bhpc_data[sku])),""),ROWS($A$15:A182)+$B$3))),IF($EC$13="",INDEX(bhpc_data[sku],SMALL(IF(ISNUMBER(MATCH(bhpc_data[category],$EC$9,0)*MATCH(bhpc_data[sex],$EC$11,0)),MATCH(ROW(bhpc_data[sku]),ROW(bhpc_data[sku])),""),ROWS($A$15:A182)+$B$3)),INDEX(bhpc_data[sku],SMALL(IF(ISNUMBER(MATCH(bhpc_data[category],$EC$9,0)*MATCH(bhpc_data[sex],$EC$11,0)*MATCH(bhpc_data[size],$EC$13,0)),MATCH(ROW(bhpc_data[sku]),ROW(bhpc_data[sku])),""),ROWS($A$15:A182)+$B$3))))),"")</f>
        <v>CSORXX</v>
      </c>
      <c r="EF177" s="440" t="str" cm="1">
        <f t="array" ref="EF177">IFERROR(IF($EC$9="",IF($EC$11="",IF($EC$13="",INDEX(bhpc_data[description],SMALL(MATCH(ROW(bhpc_data[sku]),ROW(bhpc_data[sku])),ROWS($A$15:A182)+$B$3)),INDEX(bhpc_data[description],SMALL(IF(ISNUMBER(MATCH(bhpc_data[size],$EC$13,0)),MATCH(ROW(bhpc_data[sku]),ROW(bhpc_data[sku])),""),ROWS($A$15:A182)+$B$3))),IF($EC$13="",INDEX(bhpc_data[description],SMALL(IF(ISNUMBER(MATCH(bhpc_data[sex],$EC$11,0)),MATCH(ROW(bhpc_data[sku]),ROW(bhpc_data[sku])),""),ROWS($A$15:A182)+$B$3)),INDEX(bhpc_data[description],SMALL(IF(ISNUMBER(MATCH(bhpc_data[sex],$EC$11,0)*MATCH(bhpc_data[size],$EC$13,0)),MATCH(ROW(bhpc_data[sku]),ROW(bhpc_data[sku])),""),ROWS($A$15:A182)+$B$3)))),IF($EC$11="",IF($EC$13="",INDEX(bhpc_data[description],SMALL(IF(ISNUMBER(MATCH(bhpc_data[category],$EC$9,0)),MATCH(ROW(bhpc_data[sku]),ROW(bhpc_data[sku])),""),ROWS($A$15:A182)+$B$3)),INDEX(bhpc_data[description],SMALL(IF(ISNUMBER(MATCH(bhpc_data[category],$EC$9,0)*MATCH(bhpc_data[size],$EC$13,0)),MATCH(ROW(bhpc_data[sku]),ROW(bhpc_data[sku])),""),ROWS($A$15:A182)+$B$3))),IF($EC$13="",INDEX(bhpc_data[description],SMALL(IF(ISNUMBER(MATCH(bhpc_data[category],$EC$9,0)*MATCH(bhpc_data[sex],$EC$11,0)),MATCH(ROW(bhpc_data[sku]),ROW(bhpc_data[sku])),""),ROWS($A$15:A182)+$B$3)),INDEX(bhpc_data[description],SMALL(IF(ISNUMBER(MATCH(bhpc_data[category],$EC$9,0)*MATCH(bhpc_data[sex],$EC$11,0)*MATCH(bhpc_data[size],$EC$13,0)),MATCH(ROW(bhpc_data[sku]),ROW(bhpc_data[sku])),""),ROWS($A$15:A182)+$B$3))))),"")</f>
        <v>BHPC COLLAR T-SHIRT ORANGE - XXL</v>
      </c>
      <c r="EG177" s="441">
        <f>IFERROR(IF('BHPC MANAGER'!$EE177="","",INDEX(inventory[ESISTENZA],MATCH('BHPC MANAGER'!$EE177,inventory[SKU],0))),0)</f>
        <v>3</v>
      </c>
      <c r="EH177" s="442">
        <v>-3</v>
      </c>
      <c r="EI177" s="442">
        <f t="shared" si="17"/>
        <v>0</v>
      </c>
      <c r="EJ177" s="443">
        <v>0</v>
      </c>
      <c r="EK177" s="444">
        <f t="shared" si="18"/>
        <v>0</v>
      </c>
    </row>
    <row r="178" spans="63:141" x14ac:dyDescent="0.35">
      <c r="BK178" s="296"/>
      <c r="BL178" s="297"/>
      <c r="BM178" s="298"/>
      <c r="BN178" s="297"/>
      <c r="BO178" s="298"/>
      <c r="EE178" s="445" t="str" cm="1">
        <f t="array" ref="EE178">IFERROR(IF($EC$9="",IF($EC$11="",IF($EC$13="",INDEX(bhpc_data[sku],SMALL(MATCH(ROW(bhpc_data[sku]),ROW(bhpc_data[sku])),ROWS($A$15:A183)+$B$3)),INDEX(bhpc_data[sku],SMALL(IF(ISNUMBER(MATCH(bhpc_data[size],$EC$13,0)),MATCH(ROW(bhpc_data[sku]),ROW(bhpc_data[sku])),""),ROWS($A$15:A183)+$B$3))),IF($EC$13="",INDEX(bhpc_data[sku],SMALL(IF(ISNUMBER(MATCH(bhpc_data[sex],$EC$11,0)),MATCH(ROW(bhpc_data[sku]),ROW(bhpc_data[sku])),""),ROWS($A$15:A183)+$B$3)),INDEX(bhpc_data[sku],SMALL(IF(ISNUMBER(MATCH(bhpc_data[sex],$EC$11,0)*MATCH(bhpc_data[size],$EC$13,0)),MATCH(ROW(bhpc_data[sku]),ROW(bhpc_data[sku])),""),ROWS($A$15:A183)+$B$3)))),IF($EC$11="",IF($EC$13="",INDEX(bhpc_data[sku],SMALL(IF(ISNUMBER(MATCH(bhpc_data[category],$EC$9,0)),MATCH(ROW(bhpc_data[sku]),ROW(bhpc_data[sku])),""),ROWS($A$15:A183)+$B$3)),INDEX(bhpc_data[sku],SMALL(IF(ISNUMBER(MATCH(bhpc_data[category],$EC$9,0)*MATCH(bhpc_data[size],$EC$13,0)),MATCH(ROW(bhpc_data[sku]),ROW(bhpc_data[sku])),""),ROWS($A$15:A183)+$B$3))),IF($EC$13="",INDEX(bhpc_data[sku],SMALL(IF(ISNUMBER(MATCH(bhpc_data[category],$EC$9,0)*MATCH(bhpc_data[sex],$EC$11,0)),MATCH(ROW(bhpc_data[sku]),ROW(bhpc_data[sku])),""),ROWS($A$15:A183)+$B$3)),INDEX(bhpc_data[sku],SMALL(IF(ISNUMBER(MATCH(bhpc_data[category],$EC$9,0)*MATCH(bhpc_data[sex],$EC$11,0)*MATCH(bhpc_data[size],$EC$13,0)),MATCH(ROW(bhpc_data[sku]),ROW(bhpc_data[sku])),""),ROWS($A$15:A183)+$B$3))))),"")</f>
        <v>TSBE0L</v>
      </c>
      <c r="EF178" s="446" t="str" cm="1">
        <f t="array" ref="EF178">IFERROR(IF($EC$9="",IF($EC$11="",IF($EC$13="",INDEX(bhpc_data[description],SMALL(MATCH(ROW(bhpc_data[sku]),ROW(bhpc_data[sku])),ROWS($A$15:A183)+$B$3)),INDEX(bhpc_data[description],SMALL(IF(ISNUMBER(MATCH(bhpc_data[size],$EC$13,0)),MATCH(ROW(bhpc_data[sku]),ROW(bhpc_data[sku])),""),ROWS($A$15:A183)+$B$3))),IF($EC$13="",INDEX(bhpc_data[description],SMALL(IF(ISNUMBER(MATCH(bhpc_data[sex],$EC$11,0)),MATCH(ROW(bhpc_data[sku]),ROW(bhpc_data[sku])),""),ROWS($A$15:A183)+$B$3)),INDEX(bhpc_data[description],SMALL(IF(ISNUMBER(MATCH(bhpc_data[sex],$EC$11,0)*MATCH(bhpc_data[size],$EC$13,0)),MATCH(ROW(bhpc_data[sku]),ROW(bhpc_data[sku])),""),ROWS($A$15:A183)+$B$3)))),IF($EC$11="",IF($EC$13="",INDEX(bhpc_data[description],SMALL(IF(ISNUMBER(MATCH(bhpc_data[category],$EC$9,0)),MATCH(ROW(bhpc_data[sku]),ROW(bhpc_data[sku])),""),ROWS($A$15:A183)+$B$3)),INDEX(bhpc_data[description],SMALL(IF(ISNUMBER(MATCH(bhpc_data[category],$EC$9,0)*MATCH(bhpc_data[size],$EC$13,0)),MATCH(ROW(bhpc_data[sku]),ROW(bhpc_data[sku])),""),ROWS($A$15:A183)+$B$3))),IF($EC$13="",INDEX(bhpc_data[description],SMALL(IF(ISNUMBER(MATCH(bhpc_data[category],$EC$9,0)*MATCH(bhpc_data[sex],$EC$11,0)),MATCH(ROW(bhpc_data[sku]),ROW(bhpc_data[sku])),""),ROWS($A$15:A183)+$B$3)),INDEX(bhpc_data[description],SMALL(IF(ISNUMBER(MATCH(bhpc_data[category],$EC$9,0)*MATCH(bhpc_data[sex],$EC$11,0)*MATCH(bhpc_data[size],$EC$13,0)),MATCH(ROW(bhpc_data[sku]),ROW(bhpc_data[sku])),""),ROWS($A$15:A183)+$B$3))))),"")</f>
        <v>BHPC T-SHIRT LONG SHIRT BERRY - LARGE</v>
      </c>
      <c r="EG178" s="447">
        <f>IFERROR(IF('BHPC MANAGER'!$EE178="","",INDEX(inventory[ESISTENZA],MATCH('BHPC MANAGER'!$EE178,inventory[SKU],0))),0)</f>
        <v>38</v>
      </c>
      <c r="EH178" s="448">
        <v>-4</v>
      </c>
      <c r="EI178" s="448">
        <f t="shared" si="17"/>
        <v>34</v>
      </c>
      <c r="EJ178" s="449">
        <v>0</v>
      </c>
      <c r="EK178" s="450">
        <f t="shared" si="18"/>
        <v>34</v>
      </c>
    </row>
    <row r="179" spans="63:141" x14ac:dyDescent="0.35">
      <c r="BK179" s="296"/>
      <c r="BL179" s="297"/>
      <c r="BM179" s="298"/>
      <c r="BN179" s="297"/>
      <c r="BO179" s="298"/>
      <c r="EE179" s="439" t="str" cm="1">
        <f t="array" ref="EE179">IFERROR(IF($EC$9="",IF($EC$11="",IF($EC$13="",INDEX(bhpc_data[sku],SMALL(MATCH(ROW(bhpc_data[sku]),ROW(bhpc_data[sku])),ROWS($A$15:A184)+$B$3)),INDEX(bhpc_data[sku],SMALL(IF(ISNUMBER(MATCH(bhpc_data[size],$EC$13,0)),MATCH(ROW(bhpc_data[sku]),ROW(bhpc_data[sku])),""),ROWS($A$15:A184)+$B$3))),IF($EC$13="",INDEX(bhpc_data[sku],SMALL(IF(ISNUMBER(MATCH(bhpc_data[sex],$EC$11,0)),MATCH(ROW(bhpc_data[sku]),ROW(bhpc_data[sku])),""),ROWS($A$15:A184)+$B$3)),INDEX(bhpc_data[sku],SMALL(IF(ISNUMBER(MATCH(bhpc_data[sex],$EC$11,0)*MATCH(bhpc_data[size],$EC$13,0)),MATCH(ROW(bhpc_data[sku]),ROW(bhpc_data[sku])),""),ROWS($A$15:A184)+$B$3)))),IF($EC$11="",IF($EC$13="",INDEX(bhpc_data[sku],SMALL(IF(ISNUMBER(MATCH(bhpc_data[category],$EC$9,0)),MATCH(ROW(bhpc_data[sku]),ROW(bhpc_data[sku])),""),ROWS($A$15:A184)+$B$3)),INDEX(bhpc_data[sku],SMALL(IF(ISNUMBER(MATCH(bhpc_data[category],$EC$9,0)*MATCH(bhpc_data[size],$EC$13,0)),MATCH(ROW(bhpc_data[sku]),ROW(bhpc_data[sku])),""),ROWS($A$15:A184)+$B$3))),IF($EC$13="",INDEX(bhpc_data[sku],SMALL(IF(ISNUMBER(MATCH(bhpc_data[category],$EC$9,0)*MATCH(bhpc_data[sex],$EC$11,0)),MATCH(ROW(bhpc_data[sku]),ROW(bhpc_data[sku])),""),ROWS($A$15:A184)+$B$3)),INDEX(bhpc_data[sku],SMALL(IF(ISNUMBER(MATCH(bhpc_data[category],$EC$9,0)*MATCH(bhpc_data[sex],$EC$11,0)*MATCH(bhpc_data[size],$EC$13,0)),MATCH(ROW(bhpc_data[sku]),ROW(bhpc_data[sku])),""),ROWS($A$15:A184)+$B$3))))),"")</f>
        <v>TSBE0M</v>
      </c>
      <c r="EF179" s="440" t="str" cm="1">
        <f t="array" ref="EF179">IFERROR(IF($EC$9="",IF($EC$11="",IF($EC$13="",INDEX(bhpc_data[description],SMALL(MATCH(ROW(bhpc_data[sku]),ROW(bhpc_data[sku])),ROWS($A$15:A184)+$B$3)),INDEX(bhpc_data[description],SMALL(IF(ISNUMBER(MATCH(bhpc_data[size],$EC$13,0)),MATCH(ROW(bhpc_data[sku]),ROW(bhpc_data[sku])),""),ROWS($A$15:A184)+$B$3))),IF($EC$13="",INDEX(bhpc_data[description],SMALL(IF(ISNUMBER(MATCH(bhpc_data[sex],$EC$11,0)),MATCH(ROW(bhpc_data[sku]),ROW(bhpc_data[sku])),""),ROWS($A$15:A184)+$B$3)),INDEX(bhpc_data[description],SMALL(IF(ISNUMBER(MATCH(bhpc_data[sex],$EC$11,0)*MATCH(bhpc_data[size],$EC$13,0)),MATCH(ROW(bhpc_data[sku]),ROW(bhpc_data[sku])),""),ROWS($A$15:A184)+$B$3)))),IF($EC$11="",IF($EC$13="",INDEX(bhpc_data[description],SMALL(IF(ISNUMBER(MATCH(bhpc_data[category],$EC$9,0)),MATCH(ROW(bhpc_data[sku]),ROW(bhpc_data[sku])),""),ROWS($A$15:A184)+$B$3)),INDEX(bhpc_data[description],SMALL(IF(ISNUMBER(MATCH(bhpc_data[category],$EC$9,0)*MATCH(bhpc_data[size],$EC$13,0)),MATCH(ROW(bhpc_data[sku]),ROW(bhpc_data[sku])),""),ROWS($A$15:A184)+$B$3))),IF($EC$13="",INDEX(bhpc_data[description],SMALL(IF(ISNUMBER(MATCH(bhpc_data[category],$EC$9,0)*MATCH(bhpc_data[sex],$EC$11,0)),MATCH(ROW(bhpc_data[sku]),ROW(bhpc_data[sku])),""),ROWS($A$15:A184)+$B$3)),INDEX(bhpc_data[description],SMALL(IF(ISNUMBER(MATCH(bhpc_data[category],$EC$9,0)*MATCH(bhpc_data[sex],$EC$11,0)*MATCH(bhpc_data[size],$EC$13,0)),MATCH(ROW(bhpc_data[sku]),ROW(bhpc_data[sku])),""),ROWS($A$15:A184)+$B$3))))),"")</f>
        <v>BHPC T-SHIRT LONG SHIRT BERRY - MEDIUM</v>
      </c>
      <c r="EG179" s="441">
        <f>IFERROR(IF('BHPC MANAGER'!$EE179="","",INDEX(inventory[ESISTENZA],MATCH('BHPC MANAGER'!$EE179,inventory[SKU],0))),0)</f>
        <v>33</v>
      </c>
      <c r="EH179" s="442">
        <v>-3</v>
      </c>
      <c r="EI179" s="442">
        <f t="shared" si="17"/>
        <v>30</v>
      </c>
      <c r="EJ179" s="443">
        <v>0</v>
      </c>
      <c r="EK179" s="444">
        <f t="shared" si="18"/>
        <v>30</v>
      </c>
    </row>
    <row r="180" spans="63:141" x14ac:dyDescent="0.35">
      <c r="BK180" s="296"/>
      <c r="BL180" s="297"/>
      <c r="BM180" s="298"/>
      <c r="BN180" s="297"/>
      <c r="BO180" s="298"/>
      <c r="EE180" s="445" t="str" cm="1">
        <f t="array" ref="EE180">IFERROR(IF($EC$9="",IF($EC$11="",IF($EC$13="",INDEX(bhpc_data[sku],SMALL(MATCH(ROW(bhpc_data[sku]),ROW(bhpc_data[sku])),ROWS($A$15:A185)+$B$3)),INDEX(bhpc_data[sku],SMALL(IF(ISNUMBER(MATCH(bhpc_data[size],$EC$13,0)),MATCH(ROW(bhpc_data[sku]),ROW(bhpc_data[sku])),""),ROWS($A$15:A185)+$B$3))),IF($EC$13="",INDEX(bhpc_data[sku],SMALL(IF(ISNUMBER(MATCH(bhpc_data[sex],$EC$11,0)),MATCH(ROW(bhpc_data[sku]),ROW(bhpc_data[sku])),""),ROWS($A$15:A185)+$B$3)),INDEX(bhpc_data[sku],SMALL(IF(ISNUMBER(MATCH(bhpc_data[sex],$EC$11,0)*MATCH(bhpc_data[size],$EC$13,0)),MATCH(ROW(bhpc_data[sku]),ROW(bhpc_data[sku])),""),ROWS($A$15:A185)+$B$3)))),IF($EC$11="",IF($EC$13="",INDEX(bhpc_data[sku],SMALL(IF(ISNUMBER(MATCH(bhpc_data[category],$EC$9,0)),MATCH(ROW(bhpc_data[sku]),ROW(bhpc_data[sku])),""),ROWS($A$15:A185)+$B$3)),INDEX(bhpc_data[sku],SMALL(IF(ISNUMBER(MATCH(bhpc_data[category],$EC$9,0)*MATCH(bhpc_data[size],$EC$13,0)),MATCH(ROW(bhpc_data[sku]),ROW(bhpc_data[sku])),""),ROWS($A$15:A185)+$B$3))),IF($EC$13="",INDEX(bhpc_data[sku],SMALL(IF(ISNUMBER(MATCH(bhpc_data[category],$EC$9,0)*MATCH(bhpc_data[sex],$EC$11,0)),MATCH(ROW(bhpc_data[sku]),ROW(bhpc_data[sku])),""),ROWS($A$15:A185)+$B$3)),INDEX(bhpc_data[sku],SMALL(IF(ISNUMBER(MATCH(bhpc_data[category],$EC$9,0)*MATCH(bhpc_data[sex],$EC$11,0)*MATCH(bhpc_data[size],$EC$13,0)),MATCH(ROW(bhpc_data[sku]),ROW(bhpc_data[sku])),""),ROWS($A$15:A185)+$B$3))))),"")</f>
        <v>TSBE0S</v>
      </c>
      <c r="EF180" s="446" t="str" cm="1">
        <f t="array" ref="EF180">IFERROR(IF($EC$9="",IF($EC$11="",IF($EC$13="",INDEX(bhpc_data[description],SMALL(MATCH(ROW(bhpc_data[sku]),ROW(bhpc_data[sku])),ROWS($A$15:A185)+$B$3)),INDEX(bhpc_data[description],SMALL(IF(ISNUMBER(MATCH(bhpc_data[size],$EC$13,0)),MATCH(ROW(bhpc_data[sku]),ROW(bhpc_data[sku])),""),ROWS($A$15:A185)+$B$3))),IF($EC$13="",INDEX(bhpc_data[description],SMALL(IF(ISNUMBER(MATCH(bhpc_data[sex],$EC$11,0)),MATCH(ROW(bhpc_data[sku]),ROW(bhpc_data[sku])),""),ROWS($A$15:A185)+$B$3)),INDEX(bhpc_data[description],SMALL(IF(ISNUMBER(MATCH(bhpc_data[sex],$EC$11,0)*MATCH(bhpc_data[size],$EC$13,0)),MATCH(ROW(bhpc_data[sku]),ROW(bhpc_data[sku])),""),ROWS($A$15:A185)+$B$3)))),IF($EC$11="",IF($EC$13="",INDEX(bhpc_data[description],SMALL(IF(ISNUMBER(MATCH(bhpc_data[category],$EC$9,0)),MATCH(ROW(bhpc_data[sku]),ROW(bhpc_data[sku])),""),ROWS($A$15:A185)+$B$3)),INDEX(bhpc_data[description],SMALL(IF(ISNUMBER(MATCH(bhpc_data[category],$EC$9,0)*MATCH(bhpc_data[size],$EC$13,0)),MATCH(ROW(bhpc_data[sku]),ROW(bhpc_data[sku])),""),ROWS($A$15:A185)+$B$3))),IF($EC$13="",INDEX(bhpc_data[description],SMALL(IF(ISNUMBER(MATCH(bhpc_data[category],$EC$9,0)*MATCH(bhpc_data[sex],$EC$11,0)),MATCH(ROW(bhpc_data[sku]),ROW(bhpc_data[sku])),""),ROWS($A$15:A185)+$B$3)),INDEX(bhpc_data[description],SMALL(IF(ISNUMBER(MATCH(bhpc_data[category],$EC$9,0)*MATCH(bhpc_data[sex],$EC$11,0)*MATCH(bhpc_data[size],$EC$13,0)),MATCH(ROW(bhpc_data[sku]),ROW(bhpc_data[sku])),""),ROWS($A$15:A185)+$B$3))))),"")</f>
        <v>BHPC T-SHIRT LONG SHIRT BERRY - SMALL</v>
      </c>
      <c r="EG180" s="447">
        <f>IFERROR(IF('BHPC MANAGER'!$EE180="","",INDEX(inventory[ESISTENZA],MATCH('BHPC MANAGER'!$EE180,inventory[SKU],0))),0)</f>
        <v>11</v>
      </c>
      <c r="EH180" s="448" t="s">
        <v>861</v>
      </c>
      <c r="EI180" s="448">
        <f t="shared" si="17"/>
        <v>11</v>
      </c>
      <c r="EJ180" s="449" t="s">
        <v>861</v>
      </c>
      <c r="EK180" s="450">
        <f t="shared" si="18"/>
        <v>11</v>
      </c>
    </row>
    <row r="181" spans="63:141" x14ac:dyDescent="0.35">
      <c r="BK181" s="296"/>
      <c r="BL181" s="297"/>
      <c r="BM181" s="298"/>
      <c r="BN181" s="297"/>
      <c r="BO181" s="298"/>
      <c r="EE181" s="439" t="str" cm="1">
        <f t="array" ref="EE181">IFERROR(IF($EC$9="",IF($EC$11="",IF($EC$13="",INDEX(bhpc_data[sku],SMALL(MATCH(ROW(bhpc_data[sku]),ROW(bhpc_data[sku])),ROWS($A$15:A186)+$B$3)),INDEX(bhpc_data[sku],SMALL(IF(ISNUMBER(MATCH(bhpc_data[size],$EC$13,0)),MATCH(ROW(bhpc_data[sku]),ROW(bhpc_data[sku])),""),ROWS($A$15:A186)+$B$3))),IF($EC$13="",INDEX(bhpc_data[sku],SMALL(IF(ISNUMBER(MATCH(bhpc_data[sex],$EC$11,0)),MATCH(ROW(bhpc_data[sku]),ROW(bhpc_data[sku])),""),ROWS($A$15:A186)+$B$3)),INDEX(bhpc_data[sku],SMALL(IF(ISNUMBER(MATCH(bhpc_data[sex],$EC$11,0)*MATCH(bhpc_data[size],$EC$13,0)),MATCH(ROW(bhpc_data[sku]),ROW(bhpc_data[sku])),""),ROWS($A$15:A186)+$B$3)))),IF($EC$11="",IF($EC$13="",INDEX(bhpc_data[sku],SMALL(IF(ISNUMBER(MATCH(bhpc_data[category],$EC$9,0)),MATCH(ROW(bhpc_data[sku]),ROW(bhpc_data[sku])),""),ROWS($A$15:A186)+$B$3)),INDEX(bhpc_data[sku],SMALL(IF(ISNUMBER(MATCH(bhpc_data[category],$EC$9,0)*MATCH(bhpc_data[size],$EC$13,0)),MATCH(ROW(bhpc_data[sku]),ROW(bhpc_data[sku])),""),ROWS($A$15:A186)+$B$3))),IF($EC$13="",INDEX(bhpc_data[sku],SMALL(IF(ISNUMBER(MATCH(bhpc_data[category],$EC$9,0)*MATCH(bhpc_data[sex],$EC$11,0)),MATCH(ROW(bhpc_data[sku]),ROW(bhpc_data[sku])),""),ROWS($A$15:A186)+$B$3)),INDEX(bhpc_data[sku],SMALL(IF(ISNUMBER(MATCH(bhpc_data[category],$EC$9,0)*MATCH(bhpc_data[sex],$EC$11,0)*MATCH(bhpc_data[size],$EC$13,0)),MATCH(ROW(bhpc_data[sku]),ROW(bhpc_data[sku])),""),ROWS($A$15:A186)+$B$3))))),"")</f>
        <v>TSBEXL</v>
      </c>
      <c r="EF181" s="440" t="str" cm="1">
        <f t="array" ref="EF181">IFERROR(IF($EC$9="",IF($EC$11="",IF($EC$13="",INDEX(bhpc_data[description],SMALL(MATCH(ROW(bhpc_data[sku]),ROW(bhpc_data[sku])),ROWS($A$15:A186)+$B$3)),INDEX(bhpc_data[description],SMALL(IF(ISNUMBER(MATCH(bhpc_data[size],$EC$13,0)),MATCH(ROW(bhpc_data[sku]),ROW(bhpc_data[sku])),""),ROWS($A$15:A186)+$B$3))),IF($EC$13="",INDEX(bhpc_data[description],SMALL(IF(ISNUMBER(MATCH(bhpc_data[sex],$EC$11,0)),MATCH(ROW(bhpc_data[sku]),ROW(bhpc_data[sku])),""),ROWS($A$15:A186)+$B$3)),INDEX(bhpc_data[description],SMALL(IF(ISNUMBER(MATCH(bhpc_data[sex],$EC$11,0)*MATCH(bhpc_data[size],$EC$13,0)),MATCH(ROW(bhpc_data[sku]),ROW(bhpc_data[sku])),""),ROWS($A$15:A186)+$B$3)))),IF($EC$11="",IF($EC$13="",INDEX(bhpc_data[description],SMALL(IF(ISNUMBER(MATCH(bhpc_data[category],$EC$9,0)),MATCH(ROW(bhpc_data[sku]),ROW(bhpc_data[sku])),""),ROWS($A$15:A186)+$B$3)),INDEX(bhpc_data[description],SMALL(IF(ISNUMBER(MATCH(bhpc_data[category],$EC$9,0)*MATCH(bhpc_data[size],$EC$13,0)),MATCH(ROW(bhpc_data[sku]),ROW(bhpc_data[sku])),""),ROWS($A$15:A186)+$B$3))),IF($EC$13="",INDEX(bhpc_data[description],SMALL(IF(ISNUMBER(MATCH(bhpc_data[category],$EC$9,0)*MATCH(bhpc_data[sex],$EC$11,0)),MATCH(ROW(bhpc_data[sku]),ROW(bhpc_data[sku])),""),ROWS($A$15:A186)+$B$3)),INDEX(bhpc_data[description],SMALL(IF(ISNUMBER(MATCH(bhpc_data[category],$EC$9,0)*MATCH(bhpc_data[sex],$EC$11,0)*MATCH(bhpc_data[size],$EC$13,0)),MATCH(ROW(bhpc_data[sku]),ROW(bhpc_data[sku])),""),ROWS($A$15:A186)+$B$3))))),"")</f>
        <v>BHPC T-SHIRT LONG SHIRT BERRY - EXTRA LARGE</v>
      </c>
      <c r="EG181" s="441">
        <f>IFERROR(IF('BHPC MANAGER'!$EE181="","",INDEX(inventory[ESISTENZA],MATCH('BHPC MANAGER'!$EE181,inventory[SKU],0))),0)</f>
        <v>17</v>
      </c>
      <c r="EH181" s="442">
        <v>-3</v>
      </c>
      <c r="EI181" s="442">
        <f t="shared" si="17"/>
        <v>14</v>
      </c>
      <c r="EJ181" s="443">
        <v>0</v>
      </c>
      <c r="EK181" s="444">
        <f t="shared" si="18"/>
        <v>14</v>
      </c>
    </row>
    <row r="182" spans="63:141" x14ac:dyDescent="0.35">
      <c r="BK182" s="296"/>
      <c r="BL182" s="297"/>
      <c r="BM182" s="298"/>
      <c r="BN182" s="297"/>
      <c r="BO182" s="298"/>
      <c r="EE182" s="445" t="str" cm="1">
        <f t="array" ref="EE182">IFERROR(IF($EC$9="",IF($EC$11="",IF($EC$13="",INDEX(bhpc_data[sku],SMALL(MATCH(ROW(bhpc_data[sku]),ROW(bhpc_data[sku])),ROWS($A$15:A187)+$B$3)),INDEX(bhpc_data[sku],SMALL(IF(ISNUMBER(MATCH(bhpc_data[size],$EC$13,0)),MATCH(ROW(bhpc_data[sku]),ROW(bhpc_data[sku])),""),ROWS($A$15:A187)+$B$3))),IF($EC$13="",INDEX(bhpc_data[sku],SMALL(IF(ISNUMBER(MATCH(bhpc_data[sex],$EC$11,0)),MATCH(ROW(bhpc_data[sku]),ROW(bhpc_data[sku])),""),ROWS($A$15:A187)+$B$3)),INDEX(bhpc_data[sku],SMALL(IF(ISNUMBER(MATCH(bhpc_data[sex],$EC$11,0)*MATCH(bhpc_data[size],$EC$13,0)),MATCH(ROW(bhpc_data[sku]),ROW(bhpc_data[sku])),""),ROWS($A$15:A187)+$B$3)))),IF($EC$11="",IF($EC$13="",INDEX(bhpc_data[sku],SMALL(IF(ISNUMBER(MATCH(bhpc_data[category],$EC$9,0)),MATCH(ROW(bhpc_data[sku]),ROW(bhpc_data[sku])),""),ROWS($A$15:A187)+$B$3)),INDEX(bhpc_data[sku],SMALL(IF(ISNUMBER(MATCH(bhpc_data[category],$EC$9,0)*MATCH(bhpc_data[size],$EC$13,0)),MATCH(ROW(bhpc_data[sku]),ROW(bhpc_data[sku])),""),ROWS($A$15:A187)+$B$3))),IF($EC$13="",INDEX(bhpc_data[sku],SMALL(IF(ISNUMBER(MATCH(bhpc_data[category],$EC$9,0)*MATCH(bhpc_data[sex],$EC$11,0)),MATCH(ROW(bhpc_data[sku]),ROW(bhpc_data[sku])),""),ROWS($A$15:A187)+$B$3)),INDEX(bhpc_data[sku],SMALL(IF(ISNUMBER(MATCH(bhpc_data[category],$EC$9,0)*MATCH(bhpc_data[sex],$EC$11,0)*MATCH(bhpc_data[size],$EC$13,0)),MATCH(ROW(bhpc_data[sku]),ROW(bhpc_data[sku])),""),ROWS($A$15:A187)+$B$3))))),"")</f>
        <v>TSBL0L</v>
      </c>
      <c r="EF182" s="446" t="str" cm="1">
        <f t="array" ref="EF182">IFERROR(IF($EC$9="",IF($EC$11="",IF($EC$13="",INDEX(bhpc_data[description],SMALL(MATCH(ROW(bhpc_data[sku]),ROW(bhpc_data[sku])),ROWS($A$15:A187)+$B$3)),INDEX(bhpc_data[description],SMALL(IF(ISNUMBER(MATCH(bhpc_data[size],$EC$13,0)),MATCH(ROW(bhpc_data[sku]),ROW(bhpc_data[sku])),""),ROWS($A$15:A187)+$B$3))),IF($EC$13="",INDEX(bhpc_data[description],SMALL(IF(ISNUMBER(MATCH(bhpc_data[sex],$EC$11,0)),MATCH(ROW(bhpc_data[sku]),ROW(bhpc_data[sku])),""),ROWS($A$15:A187)+$B$3)),INDEX(bhpc_data[description],SMALL(IF(ISNUMBER(MATCH(bhpc_data[sex],$EC$11,0)*MATCH(bhpc_data[size],$EC$13,0)),MATCH(ROW(bhpc_data[sku]),ROW(bhpc_data[sku])),""),ROWS($A$15:A187)+$B$3)))),IF($EC$11="",IF($EC$13="",INDEX(bhpc_data[description],SMALL(IF(ISNUMBER(MATCH(bhpc_data[category],$EC$9,0)),MATCH(ROW(bhpc_data[sku]),ROW(bhpc_data[sku])),""),ROWS($A$15:A187)+$B$3)),INDEX(bhpc_data[description],SMALL(IF(ISNUMBER(MATCH(bhpc_data[category],$EC$9,0)*MATCH(bhpc_data[size],$EC$13,0)),MATCH(ROW(bhpc_data[sku]),ROW(bhpc_data[sku])),""),ROWS($A$15:A187)+$B$3))),IF($EC$13="",INDEX(bhpc_data[description],SMALL(IF(ISNUMBER(MATCH(bhpc_data[category],$EC$9,0)*MATCH(bhpc_data[sex],$EC$11,0)),MATCH(ROW(bhpc_data[sku]),ROW(bhpc_data[sku])),""),ROWS($A$15:A187)+$B$3)),INDEX(bhpc_data[description],SMALL(IF(ISNUMBER(MATCH(bhpc_data[category],$EC$9,0)*MATCH(bhpc_data[sex],$EC$11,0)*MATCH(bhpc_data[size],$EC$13,0)),MATCH(ROW(bhpc_data[sku]),ROW(bhpc_data[sku])),""),ROWS($A$15:A187)+$B$3))))),"")</f>
        <v>BHPC T-SHIRT LONG SHIRT BLACK - LARGE</v>
      </c>
      <c r="EG182" s="447">
        <f>IFERROR(IF('BHPC MANAGER'!$EE182="","",INDEX(inventory[ESISTENZA],MATCH('BHPC MANAGER'!$EE182,inventory[SKU],0))),0)</f>
        <v>33</v>
      </c>
      <c r="EH182" s="448">
        <v>-4</v>
      </c>
      <c r="EI182" s="448">
        <f t="shared" si="17"/>
        <v>29</v>
      </c>
      <c r="EJ182" s="449">
        <v>0</v>
      </c>
      <c r="EK182" s="450">
        <f t="shared" si="18"/>
        <v>29</v>
      </c>
    </row>
    <row r="183" spans="63:141" x14ac:dyDescent="0.35">
      <c r="BK183" s="296"/>
      <c r="BL183" s="297"/>
      <c r="BM183" s="298"/>
      <c r="BN183" s="297"/>
      <c r="BO183" s="298"/>
      <c r="EE183" s="439" t="str" cm="1">
        <f t="array" ref="EE183">IFERROR(IF($EC$9="",IF($EC$11="",IF($EC$13="",INDEX(bhpc_data[sku],SMALL(MATCH(ROW(bhpc_data[sku]),ROW(bhpc_data[sku])),ROWS($A$15:A188)+$B$3)),INDEX(bhpc_data[sku],SMALL(IF(ISNUMBER(MATCH(bhpc_data[size],$EC$13,0)),MATCH(ROW(bhpc_data[sku]),ROW(bhpc_data[sku])),""),ROWS($A$15:A188)+$B$3))),IF($EC$13="",INDEX(bhpc_data[sku],SMALL(IF(ISNUMBER(MATCH(bhpc_data[sex],$EC$11,0)),MATCH(ROW(bhpc_data[sku]),ROW(bhpc_data[sku])),""),ROWS($A$15:A188)+$B$3)),INDEX(bhpc_data[sku],SMALL(IF(ISNUMBER(MATCH(bhpc_data[sex],$EC$11,0)*MATCH(bhpc_data[size],$EC$13,0)),MATCH(ROW(bhpc_data[sku]),ROW(bhpc_data[sku])),""),ROWS($A$15:A188)+$B$3)))),IF($EC$11="",IF($EC$13="",INDEX(bhpc_data[sku],SMALL(IF(ISNUMBER(MATCH(bhpc_data[category],$EC$9,0)),MATCH(ROW(bhpc_data[sku]),ROW(bhpc_data[sku])),""),ROWS($A$15:A188)+$B$3)),INDEX(bhpc_data[sku],SMALL(IF(ISNUMBER(MATCH(bhpc_data[category],$EC$9,0)*MATCH(bhpc_data[size],$EC$13,0)),MATCH(ROW(bhpc_data[sku]),ROW(bhpc_data[sku])),""),ROWS($A$15:A188)+$B$3))),IF($EC$13="",INDEX(bhpc_data[sku],SMALL(IF(ISNUMBER(MATCH(bhpc_data[category],$EC$9,0)*MATCH(bhpc_data[sex],$EC$11,0)),MATCH(ROW(bhpc_data[sku]),ROW(bhpc_data[sku])),""),ROWS($A$15:A188)+$B$3)),INDEX(bhpc_data[sku],SMALL(IF(ISNUMBER(MATCH(bhpc_data[category],$EC$9,0)*MATCH(bhpc_data[sex],$EC$11,0)*MATCH(bhpc_data[size],$EC$13,0)),MATCH(ROW(bhpc_data[sku]),ROW(bhpc_data[sku])),""),ROWS($A$15:A188)+$B$3))))),"")</f>
        <v>TSBL0M</v>
      </c>
      <c r="EF183" s="440" t="str" cm="1">
        <f t="array" ref="EF183">IFERROR(IF($EC$9="",IF($EC$11="",IF($EC$13="",INDEX(bhpc_data[description],SMALL(MATCH(ROW(bhpc_data[sku]),ROW(bhpc_data[sku])),ROWS($A$15:A188)+$B$3)),INDEX(bhpc_data[description],SMALL(IF(ISNUMBER(MATCH(bhpc_data[size],$EC$13,0)),MATCH(ROW(bhpc_data[sku]),ROW(bhpc_data[sku])),""),ROWS($A$15:A188)+$B$3))),IF($EC$13="",INDEX(bhpc_data[description],SMALL(IF(ISNUMBER(MATCH(bhpc_data[sex],$EC$11,0)),MATCH(ROW(bhpc_data[sku]),ROW(bhpc_data[sku])),""),ROWS($A$15:A188)+$B$3)),INDEX(bhpc_data[description],SMALL(IF(ISNUMBER(MATCH(bhpc_data[sex],$EC$11,0)*MATCH(bhpc_data[size],$EC$13,0)),MATCH(ROW(bhpc_data[sku]),ROW(bhpc_data[sku])),""),ROWS($A$15:A188)+$B$3)))),IF($EC$11="",IF($EC$13="",INDEX(bhpc_data[description],SMALL(IF(ISNUMBER(MATCH(bhpc_data[category],$EC$9,0)),MATCH(ROW(bhpc_data[sku]),ROW(bhpc_data[sku])),""),ROWS($A$15:A188)+$B$3)),INDEX(bhpc_data[description],SMALL(IF(ISNUMBER(MATCH(bhpc_data[category],$EC$9,0)*MATCH(bhpc_data[size],$EC$13,0)),MATCH(ROW(bhpc_data[sku]),ROW(bhpc_data[sku])),""),ROWS($A$15:A188)+$B$3))),IF($EC$13="",INDEX(bhpc_data[description],SMALL(IF(ISNUMBER(MATCH(bhpc_data[category],$EC$9,0)*MATCH(bhpc_data[sex],$EC$11,0)),MATCH(ROW(bhpc_data[sku]),ROW(bhpc_data[sku])),""),ROWS($A$15:A188)+$B$3)),INDEX(bhpc_data[description],SMALL(IF(ISNUMBER(MATCH(bhpc_data[category],$EC$9,0)*MATCH(bhpc_data[sex],$EC$11,0)*MATCH(bhpc_data[size],$EC$13,0)),MATCH(ROW(bhpc_data[sku]),ROW(bhpc_data[sku])),""),ROWS($A$15:A188)+$B$3))))),"")</f>
        <v>BHPC T-SHIRT LONG SHIRT BLACK - MEDIUM</v>
      </c>
      <c r="EG183" s="441">
        <f>IFERROR(IF('BHPC MANAGER'!$EE183="","",INDEX(inventory[ESISTENZA],MATCH('BHPC MANAGER'!$EE183,inventory[SKU],0))),0)</f>
        <v>29</v>
      </c>
      <c r="EH183" s="442">
        <v>-3</v>
      </c>
      <c r="EI183" s="442">
        <f t="shared" si="17"/>
        <v>26</v>
      </c>
      <c r="EJ183" s="443">
        <v>0</v>
      </c>
      <c r="EK183" s="444">
        <f t="shared" si="18"/>
        <v>26</v>
      </c>
    </row>
    <row r="184" spans="63:141" x14ac:dyDescent="0.35">
      <c r="BK184" s="296"/>
      <c r="BL184" s="297"/>
      <c r="BM184" s="298"/>
      <c r="BN184" s="297"/>
      <c r="BO184" s="298"/>
      <c r="EE184" s="445" t="str" cm="1">
        <f t="array" ref="EE184">IFERROR(IF($EC$9="",IF($EC$11="",IF($EC$13="",INDEX(bhpc_data[sku],SMALL(MATCH(ROW(bhpc_data[sku]),ROW(bhpc_data[sku])),ROWS($A$15:A189)+$B$3)),INDEX(bhpc_data[sku],SMALL(IF(ISNUMBER(MATCH(bhpc_data[size],$EC$13,0)),MATCH(ROW(bhpc_data[sku]),ROW(bhpc_data[sku])),""),ROWS($A$15:A189)+$B$3))),IF($EC$13="",INDEX(bhpc_data[sku],SMALL(IF(ISNUMBER(MATCH(bhpc_data[sex],$EC$11,0)),MATCH(ROW(bhpc_data[sku]),ROW(bhpc_data[sku])),""),ROWS($A$15:A189)+$B$3)),INDEX(bhpc_data[sku],SMALL(IF(ISNUMBER(MATCH(bhpc_data[sex],$EC$11,0)*MATCH(bhpc_data[size],$EC$13,0)),MATCH(ROW(bhpc_data[sku]),ROW(bhpc_data[sku])),""),ROWS($A$15:A189)+$B$3)))),IF($EC$11="",IF($EC$13="",INDEX(bhpc_data[sku],SMALL(IF(ISNUMBER(MATCH(bhpc_data[category],$EC$9,0)),MATCH(ROW(bhpc_data[sku]),ROW(bhpc_data[sku])),""),ROWS($A$15:A189)+$B$3)),INDEX(bhpc_data[sku],SMALL(IF(ISNUMBER(MATCH(bhpc_data[category],$EC$9,0)*MATCH(bhpc_data[size],$EC$13,0)),MATCH(ROW(bhpc_data[sku]),ROW(bhpc_data[sku])),""),ROWS($A$15:A189)+$B$3))),IF($EC$13="",INDEX(bhpc_data[sku],SMALL(IF(ISNUMBER(MATCH(bhpc_data[category],$EC$9,0)*MATCH(bhpc_data[sex],$EC$11,0)),MATCH(ROW(bhpc_data[sku]),ROW(bhpc_data[sku])),""),ROWS($A$15:A189)+$B$3)),INDEX(bhpc_data[sku],SMALL(IF(ISNUMBER(MATCH(bhpc_data[category],$EC$9,0)*MATCH(bhpc_data[sex],$EC$11,0)*MATCH(bhpc_data[size],$EC$13,0)),MATCH(ROW(bhpc_data[sku]),ROW(bhpc_data[sku])),""),ROWS($A$15:A189)+$B$3))))),"")</f>
        <v>TSBL0S</v>
      </c>
      <c r="EF184" s="446" t="str" cm="1">
        <f t="array" ref="EF184">IFERROR(IF($EC$9="",IF($EC$11="",IF($EC$13="",INDEX(bhpc_data[description],SMALL(MATCH(ROW(bhpc_data[sku]),ROW(bhpc_data[sku])),ROWS($A$15:A189)+$B$3)),INDEX(bhpc_data[description],SMALL(IF(ISNUMBER(MATCH(bhpc_data[size],$EC$13,0)),MATCH(ROW(bhpc_data[sku]),ROW(bhpc_data[sku])),""),ROWS($A$15:A189)+$B$3))),IF($EC$13="",INDEX(bhpc_data[description],SMALL(IF(ISNUMBER(MATCH(bhpc_data[sex],$EC$11,0)),MATCH(ROW(bhpc_data[sku]),ROW(bhpc_data[sku])),""),ROWS($A$15:A189)+$B$3)),INDEX(bhpc_data[description],SMALL(IF(ISNUMBER(MATCH(bhpc_data[sex],$EC$11,0)*MATCH(bhpc_data[size],$EC$13,0)),MATCH(ROW(bhpc_data[sku]),ROW(bhpc_data[sku])),""),ROWS($A$15:A189)+$B$3)))),IF($EC$11="",IF($EC$13="",INDEX(bhpc_data[description],SMALL(IF(ISNUMBER(MATCH(bhpc_data[category],$EC$9,0)),MATCH(ROW(bhpc_data[sku]),ROW(bhpc_data[sku])),""),ROWS($A$15:A189)+$B$3)),INDEX(bhpc_data[description],SMALL(IF(ISNUMBER(MATCH(bhpc_data[category],$EC$9,0)*MATCH(bhpc_data[size],$EC$13,0)),MATCH(ROW(bhpc_data[sku]),ROW(bhpc_data[sku])),""),ROWS($A$15:A189)+$B$3))),IF($EC$13="",INDEX(bhpc_data[description],SMALL(IF(ISNUMBER(MATCH(bhpc_data[category],$EC$9,0)*MATCH(bhpc_data[sex],$EC$11,0)),MATCH(ROW(bhpc_data[sku]),ROW(bhpc_data[sku])),""),ROWS($A$15:A189)+$B$3)),INDEX(bhpc_data[description],SMALL(IF(ISNUMBER(MATCH(bhpc_data[category],$EC$9,0)*MATCH(bhpc_data[sex],$EC$11,0)*MATCH(bhpc_data[size],$EC$13,0)),MATCH(ROW(bhpc_data[sku]),ROW(bhpc_data[sku])),""),ROWS($A$15:A189)+$B$3))))),"")</f>
        <v>BHPC T-SHIRT LONG SHIRT BLACK - SMALL</v>
      </c>
      <c r="EG184" s="447">
        <f>IFERROR(IF('BHPC MANAGER'!$EE184="","",INDEX(inventory[ESISTENZA],MATCH('BHPC MANAGER'!$EE184,inventory[SKU],0))),0)</f>
        <v>9</v>
      </c>
      <c r="EH184" s="448" t="s">
        <v>861</v>
      </c>
      <c r="EI184" s="448">
        <f t="shared" si="17"/>
        <v>9</v>
      </c>
      <c r="EJ184" s="449" t="s">
        <v>861</v>
      </c>
      <c r="EK184" s="450">
        <f t="shared" si="18"/>
        <v>9</v>
      </c>
    </row>
    <row r="185" spans="63:141" x14ac:dyDescent="0.35">
      <c r="BK185" s="296"/>
      <c r="BL185" s="297"/>
      <c r="BM185" s="298"/>
      <c r="BN185" s="297"/>
      <c r="BO185" s="298"/>
      <c r="EE185" s="439" t="str" cm="1">
        <f t="array" ref="EE185">IFERROR(IF($EC$9="",IF($EC$11="",IF($EC$13="",INDEX(bhpc_data[sku],SMALL(MATCH(ROW(bhpc_data[sku]),ROW(bhpc_data[sku])),ROWS($A$15:A190)+$B$3)),INDEX(bhpc_data[sku],SMALL(IF(ISNUMBER(MATCH(bhpc_data[size],$EC$13,0)),MATCH(ROW(bhpc_data[sku]),ROW(bhpc_data[sku])),""),ROWS($A$15:A190)+$B$3))),IF($EC$13="",INDEX(bhpc_data[sku],SMALL(IF(ISNUMBER(MATCH(bhpc_data[sex],$EC$11,0)),MATCH(ROW(bhpc_data[sku]),ROW(bhpc_data[sku])),""),ROWS($A$15:A190)+$B$3)),INDEX(bhpc_data[sku],SMALL(IF(ISNUMBER(MATCH(bhpc_data[sex],$EC$11,0)*MATCH(bhpc_data[size],$EC$13,0)),MATCH(ROW(bhpc_data[sku]),ROW(bhpc_data[sku])),""),ROWS($A$15:A190)+$B$3)))),IF($EC$11="",IF($EC$13="",INDEX(bhpc_data[sku],SMALL(IF(ISNUMBER(MATCH(bhpc_data[category],$EC$9,0)),MATCH(ROW(bhpc_data[sku]),ROW(bhpc_data[sku])),""),ROWS($A$15:A190)+$B$3)),INDEX(bhpc_data[sku],SMALL(IF(ISNUMBER(MATCH(bhpc_data[category],$EC$9,0)*MATCH(bhpc_data[size],$EC$13,0)),MATCH(ROW(bhpc_data[sku]),ROW(bhpc_data[sku])),""),ROWS($A$15:A190)+$B$3))),IF($EC$13="",INDEX(bhpc_data[sku],SMALL(IF(ISNUMBER(MATCH(bhpc_data[category],$EC$9,0)*MATCH(bhpc_data[sex],$EC$11,0)),MATCH(ROW(bhpc_data[sku]),ROW(bhpc_data[sku])),""),ROWS($A$15:A190)+$B$3)),INDEX(bhpc_data[sku],SMALL(IF(ISNUMBER(MATCH(bhpc_data[category],$EC$9,0)*MATCH(bhpc_data[sex],$EC$11,0)*MATCH(bhpc_data[size],$EC$13,0)),MATCH(ROW(bhpc_data[sku]),ROW(bhpc_data[sku])),""),ROWS($A$15:A190)+$B$3))))),"")</f>
        <v>TSBLXL</v>
      </c>
      <c r="EF185" s="440" t="str" cm="1">
        <f t="array" ref="EF185">IFERROR(IF($EC$9="",IF($EC$11="",IF($EC$13="",INDEX(bhpc_data[description],SMALL(MATCH(ROW(bhpc_data[sku]),ROW(bhpc_data[sku])),ROWS($A$15:A190)+$B$3)),INDEX(bhpc_data[description],SMALL(IF(ISNUMBER(MATCH(bhpc_data[size],$EC$13,0)),MATCH(ROW(bhpc_data[sku]),ROW(bhpc_data[sku])),""),ROWS($A$15:A190)+$B$3))),IF($EC$13="",INDEX(bhpc_data[description],SMALL(IF(ISNUMBER(MATCH(bhpc_data[sex],$EC$11,0)),MATCH(ROW(bhpc_data[sku]),ROW(bhpc_data[sku])),""),ROWS($A$15:A190)+$B$3)),INDEX(bhpc_data[description],SMALL(IF(ISNUMBER(MATCH(bhpc_data[sex],$EC$11,0)*MATCH(bhpc_data[size],$EC$13,0)),MATCH(ROW(bhpc_data[sku]),ROW(bhpc_data[sku])),""),ROWS($A$15:A190)+$B$3)))),IF($EC$11="",IF($EC$13="",INDEX(bhpc_data[description],SMALL(IF(ISNUMBER(MATCH(bhpc_data[category],$EC$9,0)),MATCH(ROW(bhpc_data[sku]),ROW(bhpc_data[sku])),""),ROWS($A$15:A190)+$B$3)),INDEX(bhpc_data[description],SMALL(IF(ISNUMBER(MATCH(bhpc_data[category],$EC$9,0)*MATCH(bhpc_data[size],$EC$13,0)),MATCH(ROW(bhpc_data[sku]),ROW(bhpc_data[sku])),""),ROWS($A$15:A190)+$B$3))),IF($EC$13="",INDEX(bhpc_data[description],SMALL(IF(ISNUMBER(MATCH(bhpc_data[category],$EC$9,0)*MATCH(bhpc_data[sex],$EC$11,0)),MATCH(ROW(bhpc_data[sku]),ROW(bhpc_data[sku])),""),ROWS($A$15:A190)+$B$3)),INDEX(bhpc_data[description],SMALL(IF(ISNUMBER(MATCH(bhpc_data[category],$EC$9,0)*MATCH(bhpc_data[sex],$EC$11,0)*MATCH(bhpc_data[size],$EC$13,0)),MATCH(ROW(bhpc_data[sku]),ROW(bhpc_data[sku])),""),ROWS($A$15:A190)+$B$3))))),"")</f>
        <v>BHPC T-SHIRT LONG SHIRT BLACK - EXTRA LARGE</v>
      </c>
      <c r="EG185" s="441">
        <f>IFERROR(IF('BHPC MANAGER'!$EE185="","",INDEX(inventory[ESISTENZA],MATCH('BHPC MANAGER'!$EE185,inventory[SKU],0))),0)</f>
        <v>14</v>
      </c>
      <c r="EH185" s="442">
        <v>-3</v>
      </c>
      <c r="EI185" s="442">
        <f t="shared" si="17"/>
        <v>11</v>
      </c>
      <c r="EJ185" s="443">
        <v>0</v>
      </c>
      <c r="EK185" s="444">
        <f t="shared" si="18"/>
        <v>11</v>
      </c>
    </row>
    <row r="186" spans="63:141" x14ac:dyDescent="0.35">
      <c r="BK186" s="296"/>
      <c r="BL186" s="297"/>
      <c r="BM186" s="298"/>
      <c r="BN186" s="297"/>
      <c r="BO186" s="298"/>
      <c r="EE186" s="445" t="str" cm="1">
        <f t="array" ref="EE186">IFERROR(IF($EC$9="",IF($EC$11="",IF($EC$13="",INDEX(bhpc_data[sku],SMALL(MATCH(ROW(bhpc_data[sku]),ROW(bhpc_data[sku])),ROWS($A$15:A191)+$B$3)),INDEX(bhpc_data[sku],SMALL(IF(ISNUMBER(MATCH(bhpc_data[size],$EC$13,0)),MATCH(ROW(bhpc_data[sku]),ROW(bhpc_data[sku])),""),ROWS($A$15:A191)+$B$3))),IF($EC$13="",INDEX(bhpc_data[sku],SMALL(IF(ISNUMBER(MATCH(bhpc_data[sex],$EC$11,0)),MATCH(ROW(bhpc_data[sku]),ROW(bhpc_data[sku])),""),ROWS($A$15:A191)+$B$3)),INDEX(bhpc_data[sku],SMALL(IF(ISNUMBER(MATCH(bhpc_data[sex],$EC$11,0)*MATCH(bhpc_data[size],$EC$13,0)),MATCH(ROW(bhpc_data[sku]),ROW(bhpc_data[sku])),""),ROWS($A$15:A191)+$B$3)))),IF($EC$11="",IF($EC$13="",INDEX(bhpc_data[sku],SMALL(IF(ISNUMBER(MATCH(bhpc_data[category],$EC$9,0)),MATCH(ROW(bhpc_data[sku]),ROW(bhpc_data[sku])),""),ROWS($A$15:A191)+$B$3)),INDEX(bhpc_data[sku],SMALL(IF(ISNUMBER(MATCH(bhpc_data[category],$EC$9,0)*MATCH(bhpc_data[size],$EC$13,0)),MATCH(ROW(bhpc_data[sku]),ROW(bhpc_data[sku])),""),ROWS($A$15:A191)+$B$3))),IF($EC$13="",INDEX(bhpc_data[sku],SMALL(IF(ISNUMBER(MATCH(bhpc_data[category],$EC$9,0)*MATCH(bhpc_data[sex],$EC$11,0)),MATCH(ROW(bhpc_data[sku]),ROW(bhpc_data[sku])),""),ROWS($A$15:A191)+$B$3)),INDEX(bhpc_data[sku],SMALL(IF(ISNUMBER(MATCH(bhpc_data[category],$EC$9,0)*MATCH(bhpc_data[sex],$EC$11,0)*MATCH(bhpc_data[size],$EC$13,0)),MATCH(ROW(bhpc_data[sku]),ROW(bhpc_data[sku])),""),ROWS($A$15:A191)+$B$3))))),"")</f>
        <v>TSCO0L</v>
      </c>
      <c r="EF186" s="446" t="str" cm="1">
        <f t="array" ref="EF186">IFERROR(IF($EC$9="",IF($EC$11="",IF($EC$13="",INDEX(bhpc_data[description],SMALL(MATCH(ROW(bhpc_data[sku]),ROW(bhpc_data[sku])),ROWS($A$15:A191)+$B$3)),INDEX(bhpc_data[description],SMALL(IF(ISNUMBER(MATCH(bhpc_data[size],$EC$13,0)),MATCH(ROW(bhpc_data[sku]),ROW(bhpc_data[sku])),""),ROWS($A$15:A191)+$B$3))),IF($EC$13="",INDEX(bhpc_data[description],SMALL(IF(ISNUMBER(MATCH(bhpc_data[sex],$EC$11,0)),MATCH(ROW(bhpc_data[sku]),ROW(bhpc_data[sku])),""),ROWS($A$15:A191)+$B$3)),INDEX(bhpc_data[description],SMALL(IF(ISNUMBER(MATCH(bhpc_data[sex],$EC$11,0)*MATCH(bhpc_data[size],$EC$13,0)),MATCH(ROW(bhpc_data[sku]),ROW(bhpc_data[sku])),""),ROWS($A$15:A191)+$B$3)))),IF($EC$11="",IF($EC$13="",INDEX(bhpc_data[description],SMALL(IF(ISNUMBER(MATCH(bhpc_data[category],$EC$9,0)),MATCH(ROW(bhpc_data[sku]),ROW(bhpc_data[sku])),""),ROWS($A$15:A191)+$B$3)),INDEX(bhpc_data[description],SMALL(IF(ISNUMBER(MATCH(bhpc_data[category],$EC$9,0)*MATCH(bhpc_data[size],$EC$13,0)),MATCH(ROW(bhpc_data[sku]),ROW(bhpc_data[sku])),""),ROWS($A$15:A191)+$B$3))),IF($EC$13="",INDEX(bhpc_data[description],SMALL(IF(ISNUMBER(MATCH(bhpc_data[category],$EC$9,0)*MATCH(bhpc_data[sex],$EC$11,0)),MATCH(ROW(bhpc_data[sku]),ROW(bhpc_data[sku])),""),ROWS($A$15:A191)+$B$3)),INDEX(bhpc_data[description],SMALL(IF(ISNUMBER(MATCH(bhpc_data[category],$EC$9,0)*MATCH(bhpc_data[sex],$EC$11,0)*MATCH(bhpc_data[size],$EC$13,0)),MATCH(ROW(bhpc_data[sku]),ROW(bhpc_data[sku])),""),ROWS($A$15:A191)+$B$3))))),"")</f>
        <v>BHPC T-SHIRT LONG SHIRT COBALT - LARGE</v>
      </c>
      <c r="EG186" s="447">
        <f>IFERROR(IF('BHPC MANAGER'!$EE186="","",INDEX(inventory[ESISTENZA],MATCH('BHPC MANAGER'!$EE186,inventory[SKU],0))),0)</f>
        <v>15</v>
      </c>
      <c r="EH186" s="448">
        <v>-5</v>
      </c>
      <c r="EI186" s="448">
        <f t="shared" si="17"/>
        <v>10</v>
      </c>
      <c r="EJ186" s="449">
        <v>0</v>
      </c>
      <c r="EK186" s="450">
        <f t="shared" si="18"/>
        <v>10</v>
      </c>
    </row>
    <row r="187" spans="63:141" x14ac:dyDescent="0.35">
      <c r="BK187" s="296"/>
      <c r="BL187" s="297"/>
      <c r="BM187" s="298"/>
      <c r="BN187" s="297"/>
      <c r="BO187" s="298"/>
      <c r="EE187" s="439" t="str" cm="1">
        <f t="array" ref="EE187">IFERROR(IF($EC$9="",IF($EC$11="",IF($EC$13="",INDEX(bhpc_data[sku],SMALL(MATCH(ROW(bhpc_data[sku]),ROW(bhpc_data[sku])),ROWS($A$15:A192)+$B$3)),INDEX(bhpc_data[sku],SMALL(IF(ISNUMBER(MATCH(bhpc_data[size],$EC$13,0)),MATCH(ROW(bhpc_data[sku]),ROW(bhpc_data[sku])),""),ROWS($A$15:A192)+$B$3))),IF($EC$13="",INDEX(bhpc_data[sku],SMALL(IF(ISNUMBER(MATCH(bhpc_data[sex],$EC$11,0)),MATCH(ROW(bhpc_data[sku]),ROW(bhpc_data[sku])),""),ROWS($A$15:A192)+$B$3)),INDEX(bhpc_data[sku],SMALL(IF(ISNUMBER(MATCH(bhpc_data[sex],$EC$11,0)*MATCH(bhpc_data[size],$EC$13,0)),MATCH(ROW(bhpc_data[sku]),ROW(bhpc_data[sku])),""),ROWS($A$15:A192)+$B$3)))),IF($EC$11="",IF($EC$13="",INDEX(bhpc_data[sku],SMALL(IF(ISNUMBER(MATCH(bhpc_data[category],$EC$9,0)),MATCH(ROW(bhpc_data[sku]),ROW(bhpc_data[sku])),""),ROWS($A$15:A192)+$B$3)),INDEX(bhpc_data[sku],SMALL(IF(ISNUMBER(MATCH(bhpc_data[category],$EC$9,0)*MATCH(bhpc_data[size],$EC$13,0)),MATCH(ROW(bhpc_data[sku]),ROW(bhpc_data[sku])),""),ROWS($A$15:A192)+$B$3))),IF($EC$13="",INDEX(bhpc_data[sku],SMALL(IF(ISNUMBER(MATCH(bhpc_data[category],$EC$9,0)*MATCH(bhpc_data[sex],$EC$11,0)),MATCH(ROW(bhpc_data[sku]),ROW(bhpc_data[sku])),""),ROWS($A$15:A192)+$B$3)),INDEX(bhpc_data[sku],SMALL(IF(ISNUMBER(MATCH(bhpc_data[category],$EC$9,0)*MATCH(bhpc_data[sex],$EC$11,0)*MATCH(bhpc_data[size],$EC$13,0)),MATCH(ROW(bhpc_data[sku]),ROW(bhpc_data[sku])),""),ROWS($A$15:A192)+$B$3))))),"")</f>
        <v>TSCO0M</v>
      </c>
      <c r="EF187" s="440" t="str" cm="1">
        <f t="array" ref="EF187">IFERROR(IF($EC$9="",IF($EC$11="",IF($EC$13="",INDEX(bhpc_data[description],SMALL(MATCH(ROW(bhpc_data[sku]),ROW(bhpc_data[sku])),ROWS($A$15:A192)+$B$3)),INDEX(bhpc_data[description],SMALL(IF(ISNUMBER(MATCH(bhpc_data[size],$EC$13,0)),MATCH(ROW(bhpc_data[sku]),ROW(bhpc_data[sku])),""),ROWS($A$15:A192)+$B$3))),IF($EC$13="",INDEX(bhpc_data[description],SMALL(IF(ISNUMBER(MATCH(bhpc_data[sex],$EC$11,0)),MATCH(ROW(bhpc_data[sku]),ROW(bhpc_data[sku])),""),ROWS($A$15:A192)+$B$3)),INDEX(bhpc_data[description],SMALL(IF(ISNUMBER(MATCH(bhpc_data[sex],$EC$11,0)*MATCH(bhpc_data[size],$EC$13,0)),MATCH(ROW(bhpc_data[sku]),ROW(bhpc_data[sku])),""),ROWS($A$15:A192)+$B$3)))),IF($EC$11="",IF($EC$13="",INDEX(bhpc_data[description],SMALL(IF(ISNUMBER(MATCH(bhpc_data[category],$EC$9,0)),MATCH(ROW(bhpc_data[sku]),ROW(bhpc_data[sku])),""),ROWS($A$15:A192)+$B$3)),INDEX(bhpc_data[description],SMALL(IF(ISNUMBER(MATCH(bhpc_data[category],$EC$9,0)*MATCH(bhpc_data[size],$EC$13,0)),MATCH(ROW(bhpc_data[sku]),ROW(bhpc_data[sku])),""),ROWS($A$15:A192)+$B$3))),IF($EC$13="",INDEX(bhpc_data[description],SMALL(IF(ISNUMBER(MATCH(bhpc_data[category],$EC$9,0)*MATCH(bhpc_data[sex],$EC$11,0)),MATCH(ROW(bhpc_data[sku]),ROW(bhpc_data[sku])),""),ROWS($A$15:A192)+$B$3)),INDEX(bhpc_data[description],SMALL(IF(ISNUMBER(MATCH(bhpc_data[category],$EC$9,0)*MATCH(bhpc_data[sex],$EC$11,0)*MATCH(bhpc_data[size],$EC$13,0)),MATCH(ROW(bhpc_data[sku]),ROW(bhpc_data[sku])),""),ROWS($A$15:A192)+$B$3))))),"")</f>
        <v>BHPC T-SHIRT LONG SHIRT COBALT - MEDIUM</v>
      </c>
      <c r="EG187" s="441">
        <f>IFERROR(IF('BHPC MANAGER'!$EE187="","",INDEX(inventory[ESISTENZA],MATCH('BHPC MANAGER'!$EE187,inventory[SKU],0))),0)</f>
        <v>14</v>
      </c>
      <c r="EH187" s="442">
        <v>-5</v>
      </c>
      <c r="EI187" s="442">
        <f t="shared" si="17"/>
        <v>9</v>
      </c>
      <c r="EJ187" s="443">
        <v>0</v>
      </c>
      <c r="EK187" s="444">
        <f t="shared" si="18"/>
        <v>9</v>
      </c>
    </row>
    <row r="188" spans="63:141" x14ac:dyDescent="0.35">
      <c r="BK188" s="296"/>
      <c r="BL188" s="297"/>
      <c r="BM188" s="298"/>
      <c r="BN188" s="297"/>
      <c r="BO188" s="298"/>
      <c r="EE188" s="445" t="str" cm="1">
        <f t="array" ref="EE188">IFERROR(IF($EC$9="",IF($EC$11="",IF($EC$13="",INDEX(bhpc_data[sku],SMALL(MATCH(ROW(bhpc_data[sku]),ROW(bhpc_data[sku])),ROWS($A$15:A193)+$B$3)),INDEX(bhpc_data[sku],SMALL(IF(ISNUMBER(MATCH(bhpc_data[size],$EC$13,0)),MATCH(ROW(bhpc_data[sku]),ROW(bhpc_data[sku])),""),ROWS($A$15:A193)+$B$3))),IF($EC$13="",INDEX(bhpc_data[sku],SMALL(IF(ISNUMBER(MATCH(bhpc_data[sex],$EC$11,0)),MATCH(ROW(bhpc_data[sku]),ROW(bhpc_data[sku])),""),ROWS($A$15:A193)+$B$3)),INDEX(bhpc_data[sku],SMALL(IF(ISNUMBER(MATCH(bhpc_data[sex],$EC$11,0)*MATCH(bhpc_data[size],$EC$13,0)),MATCH(ROW(bhpc_data[sku]),ROW(bhpc_data[sku])),""),ROWS($A$15:A193)+$B$3)))),IF($EC$11="",IF($EC$13="",INDEX(bhpc_data[sku],SMALL(IF(ISNUMBER(MATCH(bhpc_data[category],$EC$9,0)),MATCH(ROW(bhpc_data[sku]),ROW(bhpc_data[sku])),""),ROWS($A$15:A193)+$B$3)),INDEX(bhpc_data[sku],SMALL(IF(ISNUMBER(MATCH(bhpc_data[category],$EC$9,0)*MATCH(bhpc_data[size],$EC$13,0)),MATCH(ROW(bhpc_data[sku]),ROW(bhpc_data[sku])),""),ROWS($A$15:A193)+$B$3))),IF($EC$13="",INDEX(bhpc_data[sku],SMALL(IF(ISNUMBER(MATCH(bhpc_data[category],$EC$9,0)*MATCH(bhpc_data[sex],$EC$11,0)),MATCH(ROW(bhpc_data[sku]),ROW(bhpc_data[sku])),""),ROWS($A$15:A193)+$B$3)),INDEX(bhpc_data[sku],SMALL(IF(ISNUMBER(MATCH(bhpc_data[category],$EC$9,0)*MATCH(bhpc_data[sex],$EC$11,0)*MATCH(bhpc_data[size],$EC$13,0)),MATCH(ROW(bhpc_data[sku]),ROW(bhpc_data[sku])),""),ROWS($A$15:A193)+$B$3))))),"")</f>
        <v>TSCO0S</v>
      </c>
      <c r="EF188" s="446" t="str" cm="1">
        <f t="array" ref="EF188">IFERROR(IF($EC$9="",IF($EC$11="",IF($EC$13="",INDEX(bhpc_data[description],SMALL(MATCH(ROW(bhpc_data[sku]),ROW(bhpc_data[sku])),ROWS($A$15:A193)+$B$3)),INDEX(bhpc_data[description],SMALL(IF(ISNUMBER(MATCH(bhpc_data[size],$EC$13,0)),MATCH(ROW(bhpc_data[sku]),ROW(bhpc_data[sku])),""),ROWS($A$15:A193)+$B$3))),IF($EC$13="",INDEX(bhpc_data[description],SMALL(IF(ISNUMBER(MATCH(bhpc_data[sex],$EC$11,0)),MATCH(ROW(bhpc_data[sku]),ROW(bhpc_data[sku])),""),ROWS($A$15:A193)+$B$3)),INDEX(bhpc_data[description],SMALL(IF(ISNUMBER(MATCH(bhpc_data[sex],$EC$11,0)*MATCH(bhpc_data[size],$EC$13,0)),MATCH(ROW(bhpc_data[sku]),ROW(bhpc_data[sku])),""),ROWS($A$15:A193)+$B$3)))),IF($EC$11="",IF($EC$13="",INDEX(bhpc_data[description],SMALL(IF(ISNUMBER(MATCH(bhpc_data[category],$EC$9,0)),MATCH(ROW(bhpc_data[sku]),ROW(bhpc_data[sku])),""),ROWS($A$15:A193)+$B$3)),INDEX(bhpc_data[description],SMALL(IF(ISNUMBER(MATCH(bhpc_data[category],$EC$9,0)*MATCH(bhpc_data[size],$EC$13,0)),MATCH(ROW(bhpc_data[sku]),ROW(bhpc_data[sku])),""),ROWS($A$15:A193)+$B$3))),IF($EC$13="",INDEX(bhpc_data[description],SMALL(IF(ISNUMBER(MATCH(bhpc_data[category],$EC$9,0)*MATCH(bhpc_data[sex],$EC$11,0)),MATCH(ROW(bhpc_data[sku]),ROW(bhpc_data[sku])),""),ROWS($A$15:A193)+$B$3)),INDEX(bhpc_data[description],SMALL(IF(ISNUMBER(MATCH(bhpc_data[category],$EC$9,0)*MATCH(bhpc_data[sex],$EC$11,0)*MATCH(bhpc_data[size],$EC$13,0)),MATCH(ROW(bhpc_data[sku]),ROW(bhpc_data[sku])),""),ROWS($A$15:A193)+$B$3))))),"")</f>
        <v>BHPC T-SHIRT LONG SHIRT COBALT - SMALL</v>
      </c>
      <c r="EG188" s="447">
        <f>IFERROR(IF('BHPC MANAGER'!$EE188="","",INDEX(inventory[ESISTENZA],MATCH('BHPC MANAGER'!$EE188,inventory[SKU],0))),0)</f>
        <v>6</v>
      </c>
      <c r="EH188" s="448" t="s">
        <v>861</v>
      </c>
      <c r="EI188" s="448">
        <f t="shared" si="17"/>
        <v>6</v>
      </c>
      <c r="EJ188" s="449" t="s">
        <v>861</v>
      </c>
      <c r="EK188" s="450">
        <f t="shared" si="18"/>
        <v>6</v>
      </c>
    </row>
    <row r="189" spans="63:141" x14ac:dyDescent="0.35">
      <c r="BK189" s="296"/>
      <c r="BL189" s="297"/>
      <c r="BM189" s="298"/>
      <c r="BN189" s="297"/>
      <c r="BO189" s="298"/>
      <c r="EE189" s="439" t="str" cm="1">
        <f t="array" ref="EE189">IFERROR(IF($EC$9="",IF($EC$11="",IF($EC$13="",INDEX(bhpc_data[sku],SMALL(MATCH(ROW(bhpc_data[sku]),ROW(bhpc_data[sku])),ROWS($A$15:A194)+$B$3)),INDEX(bhpc_data[sku],SMALL(IF(ISNUMBER(MATCH(bhpc_data[size],$EC$13,0)),MATCH(ROW(bhpc_data[sku]),ROW(bhpc_data[sku])),""),ROWS($A$15:A194)+$B$3))),IF($EC$13="",INDEX(bhpc_data[sku],SMALL(IF(ISNUMBER(MATCH(bhpc_data[sex],$EC$11,0)),MATCH(ROW(bhpc_data[sku]),ROW(bhpc_data[sku])),""),ROWS($A$15:A194)+$B$3)),INDEX(bhpc_data[sku],SMALL(IF(ISNUMBER(MATCH(bhpc_data[sex],$EC$11,0)*MATCH(bhpc_data[size],$EC$13,0)),MATCH(ROW(bhpc_data[sku]),ROW(bhpc_data[sku])),""),ROWS($A$15:A194)+$B$3)))),IF($EC$11="",IF($EC$13="",INDEX(bhpc_data[sku],SMALL(IF(ISNUMBER(MATCH(bhpc_data[category],$EC$9,0)),MATCH(ROW(bhpc_data[sku]),ROW(bhpc_data[sku])),""),ROWS($A$15:A194)+$B$3)),INDEX(bhpc_data[sku],SMALL(IF(ISNUMBER(MATCH(bhpc_data[category],$EC$9,0)*MATCH(bhpc_data[size],$EC$13,0)),MATCH(ROW(bhpc_data[sku]),ROW(bhpc_data[sku])),""),ROWS($A$15:A194)+$B$3))),IF($EC$13="",INDEX(bhpc_data[sku],SMALL(IF(ISNUMBER(MATCH(bhpc_data[category],$EC$9,0)*MATCH(bhpc_data[sex],$EC$11,0)),MATCH(ROW(bhpc_data[sku]),ROW(bhpc_data[sku])),""),ROWS($A$15:A194)+$B$3)),INDEX(bhpc_data[sku],SMALL(IF(ISNUMBER(MATCH(bhpc_data[category],$EC$9,0)*MATCH(bhpc_data[sex],$EC$11,0)*MATCH(bhpc_data[size],$EC$13,0)),MATCH(ROW(bhpc_data[sku]),ROW(bhpc_data[sku])),""),ROWS($A$15:A194)+$B$3))))),"")</f>
        <v>TSCOXL</v>
      </c>
      <c r="EF189" s="440" t="str" cm="1">
        <f t="array" ref="EF189">IFERROR(IF($EC$9="",IF($EC$11="",IF($EC$13="",INDEX(bhpc_data[description],SMALL(MATCH(ROW(bhpc_data[sku]),ROW(bhpc_data[sku])),ROWS($A$15:A194)+$B$3)),INDEX(bhpc_data[description],SMALL(IF(ISNUMBER(MATCH(bhpc_data[size],$EC$13,0)),MATCH(ROW(bhpc_data[sku]),ROW(bhpc_data[sku])),""),ROWS($A$15:A194)+$B$3))),IF($EC$13="",INDEX(bhpc_data[description],SMALL(IF(ISNUMBER(MATCH(bhpc_data[sex],$EC$11,0)),MATCH(ROW(bhpc_data[sku]),ROW(bhpc_data[sku])),""),ROWS($A$15:A194)+$B$3)),INDEX(bhpc_data[description],SMALL(IF(ISNUMBER(MATCH(bhpc_data[sex],$EC$11,0)*MATCH(bhpc_data[size],$EC$13,0)),MATCH(ROW(bhpc_data[sku]),ROW(bhpc_data[sku])),""),ROWS($A$15:A194)+$B$3)))),IF($EC$11="",IF($EC$13="",INDEX(bhpc_data[description],SMALL(IF(ISNUMBER(MATCH(bhpc_data[category],$EC$9,0)),MATCH(ROW(bhpc_data[sku]),ROW(bhpc_data[sku])),""),ROWS($A$15:A194)+$B$3)),INDEX(bhpc_data[description],SMALL(IF(ISNUMBER(MATCH(bhpc_data[category],$EC$9,0)*MATCH(bhpc_data[size],$EC$13,0)),MATCH(ROW(bhpc_data[sku]),ROW(bhpc_data[sku])),""),ROWS($A$15:A194)+$B$3))),IF($EC$13="",INDEX(bhpc_data[description],SMALL(IF(ISNUMBER(MATCH(bhpc_data[category],$EC$9,0)*MATCH(bhpc_data[sex],$EC$11,0)),MATCH(ROW(bhpc_data[sku]),ROW(bhpc_data[sku])),""),ROWS($A$15:A194)+$B$3)),INDEX(bhpc_data[description],SMALL(IF(ISNUMBER(MATCH(bhpc_data[category],$EC$9,0)*MATCH(bhpc_data[sex],$EC$11,0)*MATCH(bhpc_data[size],$EC$13,0)),MATCH(ROW(bhpc_data[sku]),ROW(bhpc_data[sku])),""),ROWS($A$15:A194)+$B$3))))),"")</f>
        <v>BHPC T-SHIRT LONG SHIRT COBALT - EXTRA LARGE</v>
      </c>
      <c r="EG189" s="441">
        <f>IFERROR(IF('BHPC MANAGER'!$EE189="","",INDEX(inventory[ESISTENZA],MATCH('BHPC MANAGER'!$EE189,inventory[SKU],0))),0)</f>
        <v>0</v>
      </c>
      <c r="EH189" s="442" t="s">
        <v>861</v>
      </c>
      <c r="EI189" s="442">
        <f t="shared" si="17"/>
        <v>0</v>
      </c>
      <c r="EJ189" s="443" t="s">
        <v>861</v>
      </c>
      <c r="EK189" s="444">
        <f t="shared" si="18"/>
        <v>0</v>
      </c>
    </row>
    <row r="190" spans="63:141" x14ac:dyDescent="0.35">
      <c r="BK190" s="296"/>
      <c r="BL190" s="297"/>
      <c r="BM190" s="298"/>
      <c r="BN190" s="297"/>
      <c r="BO190" s="298"/>
      <c r="EE190" s="445" t="str" cm="1">
        <f t="array" ref="EE190">IFERROR(IF($EC$9="",IF($EC$11="",IF($EC$13="",INDEX(bhpc_data[sku],SMALL(MATCH(ROW(bhpc_data[sku]),ROW(bhpc_data[sku])),ROWS($A$15:A195)+$B$3)),INDEX(bhpc_data[sku],SMALL(IF(ISNUMBER(MATCH(bhpc_data[size],$EC$13,0)),MATCH(ROW(bhpc_data[sku]),ROW(bhpc_data[sku])),""),ROWS($A$15:A195)+$B$3))),IF($EC$13="",INDEX(bhpc_data[sku],SMALL(IF(ISNUMBER(MATCH(bhpc_data[sex],$EC$11,0)),MATCH(ROW(bhpc_data[sku]),ROW(bhpc_data[sku])),""),ROWS($A$15:A195)+$B$3)),INDEX(bhpc_data[sku],SMALL(IF(ISNUMBER(MATCH(bhpc_data[sex],$EC$11,0)*MATCH(bhpc_data[size],$EC$13,0)),MATCH(ROW(bhpc_data[sku]),ROW(bhpc_data[sku])),""),ROWS($A$15:A195)+$B$3)))),IF($EC$11="",IF($EC$13="",INDEX(bhpc_data[sku],SMALL(IF(ISNUMBER(MATCH(bhpc_data[category],$EC$9,0)),MATCH(ROW(bhpc_data[sku]),ROW(bhpc_data[sku])),""),ROWS($A$15:A195)+$B$3)),INDEX(bhpc_data[sku],SMALL(IF(ISNUMBER(MATCH(bhpc_data[category],$EC$9,0)*MATCH(bhpc_data[size],$EC$13,0)),MATCH(ROW(bhpc_data[sku]),ROW(bhpc_data[sku])),""),ROWS($A$15:A195)+$B$3))),IF($EC$13="",INDEX(bhpc_data[sku],SMALL(IF(ISNUMBER(MATCH(bhpc_data[category],$EC$9,0)*MATCH(bhpc_data[sex],$EC$11,0)),MATCH(ROW(bhpc_data[sku]),ROW(bhpc_data[sku])),""),ROWS($A$15:A195)+$B$3)),INDEX(bhpc_data[sku],SMALL(IF(ISNUMBER(MATCH(bhpc_data[category],$EC$9,0)*MATCH(bhpc_data[sex],$EC$11,0)*MATCH(bhpc_data[size],$EC$13,0)),MATCH(ROW(bhpc_data[sku]),ROW(bhpc_data[sku])),""),ROWS($A$15:A195)+$B$3))))),"")</f>
        <v>TSNA0L</v>
      </c>
      <c r="EF190" s="446" t="str" cm="1">
        <f t="array" ref="EF190">IFERROR(IF($EC$9="",IF($EC$11="",IF($EC$13="",INDEX(bhpc_data[description],SMALL(MATCH(ROW(bhpc_data[sku]),ROW(bhpc_data[sku])),ROWS($A$15:A195)+$B$3)),INDEX(bhpc_data[description],SMALL(IF(ISNUMBER(MATCH(bhpc_data[size],$EC$13,0)),MATCH(ROW(bhpc_data[sku]),ROW(bhpc_data[sku])),""),ROWS($A$15:A195)+$B$3))),IF($EC$13="",INDEX(bhpc_data[description],SMALL(IF(ISNUMBER(MATCH(bhpc_data[sex],$EC$11,0)),MATCH(ROW(bhpc_data[sku]),ROW(bhpc_data[sku])),""),ROWS($A$15:A195)+$B$3)),INDEX(bhpc_data[description],SMALL(IF(ISNUMBER(MATCH(bhpc_data[sex],$EC$11,0)*MATCH(bhpc_data[size],$EC$13,0)),MATCH(ROW(bhpc_data[sku]),ROW(bhpc_data[sku])),""),ROWS($A$15:A195)+$B$3)))),IF($EC$11="",IF($EC$13="",INDEX(bhpc_data[description],SMALL(IF(ISNUMBER(MATCH(bhpc_data[category],$EC$9,0)),MATCH(ROW(bhpc_data[sku]),ROW(bhpc_data[sku])),""),ROWS($A$15:A195)+$B$3)),INDEX(bhpc_data[description],SMALL(IF(ISNUMBER(MATCH(bhpc_data[category],$EC$9,0)*MATCH(bhpc_data[size],$EC$13,0)),MATCH(ROW(bhpc_data[sku]),ROW(bhpc_data[sku])),""),ROWS($A$15:A195)+$B$3))),IF($EC$13="",INDEX(bhpc_data[description],SMALL(IF(ISNUMBER(MATCH(bhpc_data[category],$EC$9,0)*MATCH(bhpc_data[sex],$EC$11,0)),MATCH(ROW(bhpc_data[sku]),ROW(bhpc_data[sku])),""),ROWS($A$15:A195)+$B$3)),INDEX(bhpc_data[description],SMALL(IF(ISNUMBER(MATCH(bhpc_data[category],$EC$9,0)*MATCH(bhpc_data[sex],$EC$11,0)*MATCH(bhpc_data[size],$EC$13,0)),MATCH(ROW(bhpc_data[sku]),ROW(bhpc_data[sku])),""),ROWS($A$15:A195)+$B$3))))),"")</f>
        <v>BHPC T-SHIRT LONG SHIRT BLUE NAVY - LARGE</v>
      </c>
      <c r="EG190" s="447">
        <f>IFERROR(IF('BHPC MANAGER'!$EE190="","",INDEX(inventory[ESISTENZA],MATCH('BHPC MANAGER'!$EE190,inventory[SKU],0))),0)</f>
        <v>35</v>
      </c>
      <c r="EH190" s="448">
        <v>-4</v>
      </c>
      <c r="EI190" s="448">
        <f t="shared" si="17"/>
        <v>31</v>
      </c>
      <c r="EJ190" s="449">
        <v>0</v>
      </c>
      <c r="EK190" s="450">
        <f t="shared" si="18"/>
        <v>31</v>
      </c>
    </row>
    <row r="191" spans="63:141" x14ac:dyDescent="0.35">
      <c r="BK191" s="296"/>
      <c r="BL191" s="297"/>
      <c r="BM191" s="298"/>
      <c r="BN191" s="297"/>
      <c r="BO191" s="298"/>
      <c r="EE191" s="439" t="str" cm="1">
        <f t="array" ref="EE191">IFERROR(IF($EC$9="",IF($EC$11="",IF($EC$13="",INDEX(bhpc_data[sku],SMALL(MATCH(ROW(bhpc_data[sku]),ROW(bhpc_data[sku])),ROWS($A$15:A196)+$B$3)),INDEX(bhpc_data[sku],SMALL(IF(ISNUMBER(MATCH(bhpc_data[size],$EC$13,0)),MATCH(ROW(bhpc_data[sku]),ROW(bhpc_data[sku])),""),ROWS($A$15:A196)+$B$3))),IF($EC$13="",INDEX(bhpc_data[sku],SMALL(IF(ISNUMBER(MATCH(bhpc_data[sex],$EC$11,0)),MATCH(ROW(bhpc_data[sku]),ROW(bhpc_data[sku])),""),ROWS($A$15:A196)+$B$3)),INDEX(bhpc_data[sku],SMALL(IF(ISNUMBER(MATCH(bhpc_data[sex],$EC$11,0)*MATCH(bhpc_data[size],$EC$13,0)),MATCH(ROW(bhpc_data[sku]),ROW(bhpc_data[sku])),""),ROWS($A$15:A196)+$B$3)))),IF($EC$11="",IF($EC$13="",INDEX(bhpc_data[sku],SMALL(IF(ISNUMBER(MATCH(bhpc_data[category],$EC$9,0)),MATCH(ROW(bhpc_data[sku]),ROW(bhpc_data[sku])),""),ROWS($A$15:A196)+$B$3)),INDEX(bhpc_data[sku],SMALL(IF(ISNUMBER(MATCH(bhpc_data[category],$EC$9,0)*MATCH(bhpc_data[size],$EC$13,0)),MATCH(ROW(bhpc_data[sku]),ROW(bhpc_data[sku])),""),ROWS($A$15:A196)+$B$3))),IF($EC$13="",INDEX(bhpc_data[sku],SMALL(IF(ISNUMBER(MATCH(bhpc_data[category],$EC$9,0)*MATCH(bhpc_data[sex],$EC$11,0)),MATCH(ROW(bhpc_data[sku]),ROW(bhpc_data[sku])),""),ROWS($A$15:A196)+$B$3)),INDEX(bhpc_data[sku],SMALL(IF(ISNUMBER(MATCH(bhpc_data[category],$EC$9,0)*MATCH(bhpc_data[sex],$EC$11,0)*MATCH(bhpc_data[size],$EC$13,0)),MATCH(ROW(bhpc_data[sku]),ROW(bhpc_data[sku])),""),ROWS($A$15:A196)+$B$3))))),"")</f>
        <v>TSNA0M</v>
      </c>
      <c r="EF191" s="440" t="str" cm="1">
        <f t="array" ref="EF191">IFERROR(IF($EC$9="",IF($EC$11="",IF($EC$13="",INDEX(bhpc_data[description],SMALL(MATCH(ROW(bhpc_data[sku]),ROW(bhpc_data[sku])),ROWS($A$15:A196)+$B$3)),INDEX(bhpc_data[description],SMALL(IF(ISNUMBER(MATCH(bhpc_data[size],$EC$13,0)),MATCH(ROW(bhpc_data[sku]),ROW(bhpc_data[sku])),""),ROWS($A$15:A196)+$B$3))),IF($EC$13="",INDEX(bhpc_data[description],SMALL(IF(ISNUMBER(MATCH(bhpc_data[sex],$EC$11,0)),MATCH(ROW(bhpc_data[sku]),ROW(bhpc_data[sku])),""),ROWS($A$15:A196)+$B$3)),INDEX(bhpc_data[description],SMALL(IF(ISNUMBER(MATCH(bhpc_data[sex],$EC$11,0)*MATCH(bhpc_data[size],$EC$13,0)),MATCH(ROW(bhpc_data[sku]),ROW(bhpc_data[sku])),""),ROWS($A$15:A196)+$B$3)))),IF($EC$11="",IF($EC$13="",INDEX(bhpc_data[description],SMALL(IF(ISNUMBER(MATCH(bhpc_data[category],$EC$9,0)),MATCH(ROW(bhpc_data[sku]),ROW(bhpc_data[sku])),""),ROWS($A$15:A196)+$B$3)),INDEX(bhpc_data[description],SMALL(IF(ISNUMBER(MATCH(bhpc_data[category],$EC$9,0)*MATCH(bhpc_data[size],$EC$13,0)),MATCH(ROW(bhpc_data[sku]),ROW(bhpc_data[sku])),""),ROWS($A$15:A196)+$B$3))),IF($EC$13="",INDEX(bhpc_data[description],SMALL(IF(ISNUMBER(MATCH(bhpc_data[category],$EC$9,0)*MATCH(bhpc_data[sex],$EC$11,0)),MATCH(ROW(bhpc_data[sku]),ROW(bhpc_data[sku])),""),ROWS($A$15:A196)+$B$3)),INDEX(bhpc_data[description],SMALL(IF(ISNUMBER(MATCH(bhpc_data[category],$EC$9,0)*MATCH(bhpc_data[sex],$EC$11,0)*MATCH(bhpc_data[size],$EC$13,0)),MATCH(ROW(bhpc_data[sku]),ROW(bhpc_data[sku])),""),ROWS($A$15:A196)+$B$3))))),"")</f>
        <v>BHPC T-SHIRT LONG SHIRT BLUE NAVY - MEDIUM</v>
      </c>
      <c r="EG191" s="441">
        <f>IFERROR(IF('BHPC MANAGER'!$EE191="","",INDEX(inventory[ESISTENZA],MATCH('BHPC MANAGER'!$EE191,inventory[SKU],0))),0)</f>
        <v>35</v>
      </c>
      <c r="EH191" s="442">
        <v>-3</v>
      </c>
      <c r="EI191" s="442">
        <f t="shared" si="17"/>
        <v>32</v>
      </c>
      <c r="EJ191" s="443">
        <v>0</v>
      </c>
      <c r="EK191" s="444">
        <f t="shared" si="18"/>
        <v>32</v>
      </c>
    </row>
    <row r="192" spans="63:141" x14ac:dyDescent="0.35">
      <c r="BK192" s="296"/>
      <c r="BL192" s="297"/>
      <c r="BM192" s="298"/>
      <c r="BN192" s="297"/>
      <c r="BO192" s="298"/>
      <c r="EE192" s="445" t="str" cm="1">
        <f t="array" ref="EE192">IFERROR(IF($EC$9="",IF($EC$11="",IF($EC$13="",INDEX(bhpc_data[sku],SMALL(MATCH(ROW(bhpc_data[sku]),ROW(bhpc_data[sku])),ROWS($A$15:A197)+$B$3)),INDEX(bhpc_data[sku],SMALL(IF(ISNUMBER(MATCH(bhpc_data[size],$EC$13,0)),MATCH(ROW(bhpc_data[sku]),ROW(bhpc_data[sku])),""),ROWS($A$15:A197)+$B$3))),IF($EC$13="",INDEX(bhpc_data[sku],SMALL(IF(ISNUMBER(MATCH(bhpc_data[sex],$EC$11,0)),MATCH(ROW(bhpc_data[sku]),ROW(bhpc_data[sku])),""),ROWS($A$15:A197)+$B$3)),INDEX(bhpc_data[sku],SMALL(IF(ISNUMBER(MATCH(bhpc_data[sex],$EC$11,0)*MATCH(bhpc_data[size],$EC$13,0)),MATCH(ROW(bhpc_data[sku]),ROW(bhpc_data[sku])),""),ROWS($A$15:A197)+$B$3)))),IF($EC$11="",IF($EC$13="",INDEX(bhpc_data[sku],SMALL(IF(ISNUMBER(MATCH(bhpc_data[category],$EC$9,0)),MATCH(ROW(bhpc_data[sku]),ROW(bhpc_data[sku])),""),ROWS($A$15:A197)+$B$3)),INDEX(bhpc_data[sku],SMALL(IF(ISNUMBER(MATCH(bhpc_data[category],$EC$9,0)*MATCH(bhpc_data[size],$EC$13,0)),MATCH(ROW(bhpc_data[sku]),ROW(bhpc_data[sku])),""),ROWS($A$15:A197)+$B$3))),IF($EC$13="",INDEX(bhpc_data[sku],SMALL(IF(ISNUMBER(MATCH(bhpc_data[category],$EC$9,0)*MATCH(bhpc_data[sex],$EC$11,0)),MATCH(ROW(bhpc_data[sku]),ROW(bhpc_data[sku])),""),ROWS($A$15:A197)+$B$3)),INDEX(bhpc_data[sku],SMALL(IF(ISNUMBER(MATCH(bhpc_data[category],$EC$9,0)*MATCH(bhpc_data[sex],$EC$11,0)*MATCH(bhpc_data[size],$EC$13,0)),MATCH(ROW(bhpc_data[sku]),ROW(bhpc_data[sku])),""),ROWS($A$15:A197)+$B$3))))),"")</f>
        <v>TSNA0S</v>
      </c>
      <c r="EF192" s="446" t="str" cm="1">
        <f t="array" ref="EF192">IFERROR(IF($EC$9="",IF($EC$11="",IF($EC$13="",INDEX(bhpc_data[description],SMALL(MATCH(ROW(bhpc_data[sku]),ROW(bhpc_data[sku])),ROWS($A$15:A197)+$B$3)),INDEX(bhpc_data[description],SMALL(IF(ISNUMBER(MATCH(bhpc_data[size],$EC$13,0)),MATCH(ROW(bhpc_data[sku]),ROW(bhpc_data[sku])),""),ROWS($A$15:A197)+$B$3))),IF($EC$13="",INDEX(bhpc_data[description],SMALL(IF(ISNUMBER(MATCH(bhpc_data[sex],$EC$11,0)),MATCH(ROW(bhpc_data[sku]),ROW(bhpc_data[sku])),""),ROWS($A$15:A197)+$B$3)),INDEX(bhpc_data[description],SMALL(IF(ISNUMBER(MATCH(bhpc_data[sex],$EC$11,0)*MATCH(bhpc_data[size],$EC$13,0)),MATCH(ROW(bhpc_data[sku]),ROW(bhpc_data[sku])),""),ROWS($A$15:A197)+$B$3)))),IF($EC$11="",IF($EC$13="",INDEX(bhpc_data[description],SMALL(IF(ISNUMBER(MATCH(bhpc_data[category],$EC$9,0)),MATCH(ROW(bhpc_data[sku]),ROW(bhpc_data[sku])),""),ROWS($A$15:A197)+$B$3)),INDEX(bhpc_data[description],SMALL(IF(ISNUMBER(MATCH(bhpc_data[category],$EC$9,0)*MATCH(bhpc_data[size],$EC$13,0)),MATCH(ROW(bhpc_data[sku]),ROW(bhpc_data[sku])),""),ROWS($A$15:A197)+$B$3))),IF($EC$13="",INDEX(bhpc_data[description],SMALL(IF(ISNUMBER(MATCH(bhpc_data[category],$EC$9,0)*MATCH(bhpc_data[sex],$EC$11,0)),MATCH(ROW(bhpc_data[sku]),ROW(bhpc_data[sku])),""),ROWS($A$15:A197)+$B$3)),INDEX(bhpc_data[description],SMALL(IF(ISNUMBER(MATCH(bhpc_data[category],$EC$9,0)*MATCH(bhpc_data[sex],$EC$11,0)*MATCH(bhpc_data[size],$EC$13,0)),MATCH(ROW(bhpc_data[sku]),ROW(bhpc_data[sku])),""),ROWS($A$15:A197)+$B$3))))),"")</f>
        <v>BHPC T-SHIRT LONG SHIRT BLUE NAVY - SMALL</v>
      </c>
      <c r="EG192" s="447">
        <f>IFERROR(IF('BHPC MANAGER'!$EE192="","",INDEX(inventory[ESISTENZA],MATCH('BHPC MANAGER'!$EE192,inventory[SKU],0))),0)</f>
        <v>19</v>
      </c>
      <c r="EH192" s="448" t="s">
        <v>861</v>
      </c>
      <c r="EI192" s="448">
        <f t="shared" si="17"/>
        <v>19</v>
      </c>
      <c r="EJ192" s="449" t="s">
        <v>861</v>
      </c>
      <c r="EK192" s="450">
        <f t="shared" si="18"/>
        <v>19</v>
      </c>
    </row>
    <row r="193" spans="63:141" x14ac:dyDescent="0.35">
      <c r="BK193" s="296"/>
      <c r="BL193" s="297"/>
      <c r="BM193" s="298"/>
      <c r="BN193" s="297"/>
      <c r="BO193" s="298"/>
      <c r="EE193" s="439" t="str" cm="1">
        <f t="array" ref="EE193">IFERROR(IF($EC$9="",IF($EC$11="",IF($EC$13="",INDEX(bhpc_data[sku],SMALL(MATCH(ROW(bhpc_data[sku]),ROW(bhpc_data[sku])),ROWS($A$15:A198)+$B$3)),INDEX(bhpc_data[sku],SMALL(IF(ISNUMBER(MATCH(bhpc_data[size],$EC$13,0)),MATCH(ROW(bhpc_data[sku]),ROW(bhpc_data[sku])),""),ROWS($A$15:A198)+$B$3))),IF($EC$13="",INDEX(bhpc_data[sku],SMALL(IF(ISNUMBER(MATCH(bhpc_data[sex],$EC$11,0)),MATCH(ROW(bhpc_data[sku]),ROW(bhpc_data[sku])),""),ROWS($A$15:A198)+$B$3)),INDEX(bhpc_data[sku],SMALL(IF(ISNUMBER(MATCH(bhpc_data[sex],$EC$11,0)*MATCH(bhpc_data[size],$EC$13,0)),MATCH(ROW(bhpc_data[sku]),ROW(bhpc_data[sku])),""),ROWS($A$15:A198)+$B$3)))),IF($EC$11="",IF($EC$13="",INDEX(bhpc_data[sku],SMALL(IF(ISNUMBER(MATCH(bhpc_data[category],$EC$9,0)),MATCH(ROW(bhpc_data[sku]),ROW(bhpc_data[sku])),""),ROWS($A$15:A198)+$B$3)),INDEX(bhpc_data[sku],SMALL(IF(ISNUMBER(MATCH(bhpc_data[category],$EC$9,0)*MATCH(bhpc_data[size],$EC$13,0)),MATCH(ROW(bhpc_data[sku]),ROW(bhpc_data[sku])),""),ROWS($A$15:A198)+$B$3))),IF($EC$13="",INDEX(bhpc_data[sku],SMALL(IF(ISNUMBER(MATCH(bhpc_data[category],$EC$9,0)*MATCH(bhpc_data[sex],$EC$11,0)),MATCH(ROW(bhpc_data[sku]),ROW(bhpc_data[sku])),""),ROWS($A$15:A198)+$B$3)),INDEX(bhpc_data[sku],SMALL(IF(ISNUMBER(MATCH(bhpc_data[category],$EC$9,0)*MATCH(bhpc_data[sex],$EC$11,0)*MATCH(bhpc_data[size],$EC$13,0)),MATCH(ROW(bhpc_data[sku]),ROW(bhpc_data[sku])),""),ROWS($A$15:A198)+$B$3))))),"")</f>
        <v>TSNAXL</v>
      </c>
      <c r="EF193" s="440" t="str" cm="1">
        <f t="array" ref="EF193">IFERROR(IF($EC$9="",IF($EC$11="",IF($EC$13="",INDEX(bhpc_data[description],SMALL(MATCH(ROW(bhpc_data[sku]),ROW(bhpc_data[sku])),ROWS($A$15:A198)+$B$3)),INDEX(bhpc_data[description],SMALL(IF(ISNUMBER(MATCH(bhpc_data[size],$EC$13,0)),MATCH(ROW(bhpc_data[sku]),ROW(bhpc_data[sku])),""),ROWS($A$15:A198)+$B$3))),IF($EC$13="",INDEX(bhpc_data[description],SMALL(IF(ISNUMBER(MATCH(bhpc_data[sex],$EC$11,0)),MATCH(ROW(bhpc_data[sku]),ROW(bhpc_data[sku])),""),ROWS($A$15:A198)+$B$3)),INDEX(bhpc_data[description],SMALL(IF(ISNUMBER(MATCH(bhpc_data[sex],$EC$11,0)*MATCH(bhpc_data[size],$EC$13,0)),MATCH(ROW(bhpc_data[sku]),ROW(bhpc_data[sku])),""),ROWS($A$15:A198)+$B$3)))),IF($EC$11="",IF($EC$13="",INDEX(bhpc_data[description],SMALL(IF(ISNUMBER(MATCH(bhpc_data[category],$EC$9,0)),MATCH(ROW(bhpc_data[sku]),ROW(bhpc_data[sku])),""),ROWS($A$15:A198)+$B$3)),INDEX(bhpc_data[description],SMALL(IF(ISNUMBER(MATCH(bhpc_data[category],$EC$9,0)*MATCH(bhpc_data[size],$EC$13,0)),MATCH(ROW(bhpc_data[sku]),ROW(bhpc_data[sku])),""),ROWS($A$15:A198)+$B$3))),IF($EC$13="",INDEX(bhpc_data[description],SMALL(IF(ISNUMBER(MATCH(bhpc_data[category],$EC$9,0)*MATCH(bhpc_data[sex],$EC$11,0)),MATCH(ROW(bhpc_data[sku]),ROW(bhpc_data[sku])),""),ROWS($A$15:A198)+$B$3)),INDEX(bhpc_data[description],SMALL(IF(ISNUMBER(MATCH(bhpc_data[category],$EC$9,0)*MATCH(bhpc_data[sex],$EC$11,0)*MATCH(bhpc_data[size],$EC$13,0)),MATCH(ROW(bhpc_data[sku]),ROW(bhpc_data[sku])),""),ROWS($A$15:A198)+$B$3))))),"")</f>
        <v>BHPC T-SHIRT LONG SHIRT BLUE NAVY - EXTRA LARGE</v>
      </c>
      <c r="EG193" s="441">
        <f>IFERROR(IF('BHPC MANAGER'!$EE193="","",INDEX(inventory[ESISTENZA],MATCH('BHPC MANAGER'!$EE193,inventory[SKU],0))),0)</f>
        <v>15</v>
      </c>
      <c r="EH193" s="442">
        <v>-3</v>
      </c>
      <c r="EI193" s="442">
        <f t="shared" si="17"/>
        <v>12</v>
      </c>
      <c r="EJ193" s="443">
        <v>0</v>
      </c>
      <c r="EK193" s="444">
        <f t="shared" si="18"/>
        <v>12</v>
      </c>
    </row>
    <row r="194" spans="63:141" x14ac:dyDescent="0.35">
      <c r="BK194" s="296"/>
      <c r="BL194" s="297"/>
      <c r="BM194" s="298"/>
      <c r="BN194" s="297"/>
      <c r="BO194" s="298"/>
      <c r="EE194" s="445" t="str" cm="1">
        <f t="array" ref="EE194">IFERROR(IF($EC$9="",IF($EC$11="",IF($EC$13="",INDEX(bhpc_data[sku],SMALL(MATCH(ROW(bhpc_data[sku]),ROW(bhpc_data[sku])),ROWS($A$15:A199)+$B$3)),INDEX(bhpc_data[sku],SMALL(IF(ISNUMBER(MATCH(bhpc_data[size],$EC$13,0)),MATCH(ROW(bhpc_data[sku]),ROW(bhpc_data[sku])),""),ROWS($A$15:A199)+$B$3))),IF($EC$13="",INDEX(bhpc_data[sku],SMALL(IF(ISNUMBER(MATCH(bhpc_data[sex],$EC$11,0)),MATCH(ROW(bhpc_data[sku]),ROW(bhpc_data[sku])),""),ROWS($A$15:A199)+$B$3)),INDEX(bhpc_data[sku],SMALL(IF(ISNUMBER(MATCH(bhpc_data[sex],$EC$11,0)*MATCH(bhpc_data[size],$EC$13,0)),MATCH(ROW(bhpc_data[sku]),ROW(bhpc_data[sku])),""),ROWS($A$15:A199)+$B$3)))),IF($EC$11="",IF($EC$13="",INDEX(bhpc_data[sku],SMALL(IF(ISNUMBER(MATCH(bhpc_data[category],$EC$9,0)),MATCH(ROW(bhpc_data[sku]),ROW(bhpc_data[sku])),""),ROWS($A$15:A199)+$B$3)),INDEX(bhpc_data[sku],SMALL(IF(ISNUMBER(MATCH(bhpc_data[category],$EC$9,0)*MATCH(bhpc_data[size],$EC$13,0)),MATCH(ROW(bhpc_data[sku]),ROW(bhpc_data[sku])),""),ROWS($A$15:A199)+$B$3))),IF($EC$13="",INDEX(bhpc_data[sku],SMALL(IF(ISNUMBER(MATCH(bhpc_data[category],$EC$9,0)*MATCH(bhpc_data[sex],$EC$11,0)),MATCH(ROW(bhpc_data[sku]),ROW(bhpc_data[sku])),""),ROWS($A$15:A199)+$B$3)),INDEX(bhpc_data[sku],SMALL(IF(ISNUMBER(MATCH(bhpc_data[category],$EC$9,0)*MATCH(bhpc_data[sex],$EC$11,0)*MATCH(bhpc_data[size],$EC$13,0)),MATCH(ROW(bhpc_data[sku]),ROW(bhpc_data[sku])),""),ROWS($A$15:A199)+$B$3))))),"")</f>
        <v>TSWH0L</v>
      </c>
      <c r="EF194" s="446" t="str" cm="1">
        <f t="array" ref="EF194">IFERROR(IF($EC$9="",IF($EC$11="",IF($EC$13="",INDEX(bhpc_data[description],SMALL(MATCH(ROW(bhpc_data[sku]),ROW(bhpc_data[sku])),ROWS($A$15:A199)+$B$3)),INDEX(bhpc_data[description],SMALL(IF(ISNUMBER(MATCH(bhpc_data[size],$EC$13,0)),MATCH(ROW(bhpc_data[sku]),ROW(bhpc_data[sku])),""),ROWS($A$15:A199)+$B$3))),IF($EC$13="",INDEX(bhpc_data[description],SMALL(IF(ISNUMBER(MATCH(bhpc_data[sex],$EC$11,0)),MATCH(ROW(bhpc_data[sku]),ROW(bhpc_data[sku])),""),ROWS($A$15:A199)+$B$3)),INDEX(bhpc_data[description],SMALL(IF(ISNUMBER(MATCH(bhpc_data[sex],$EC$11,0)*MATCH(bhpc_data[size],$EC$13,0)),MATCH(ROW(bhpc_data[sku]),ROW(bhpc_data[sku])),""),ROWS($A$15:A199)+$B$3)))),IF($EC$11="",IF($EC$13="",INDEX(bhpc_data[description],SMALL(IF(ISNUMBER(MATCH(bhpc_data[category],$EC$9,0)),MATCH(ROW(bhpc_data[sku]),ROW(bhpc_data[sku])),""),ROWS($A$15:A199)+$B$3)),INDEX(bhpc_data[description],SMALL(IF(ISNUMBER(MATCH(bhpc_data[category],$EC$9,0)*MATCH(bhpc_data[size],$EC$13,0)),MATCH(ROW(bhpc_data[sku]),ROW(bhpc_data[sku])),""),ROWS($A$15:A199)+$B$3))),IF($EC$13="",INDEX(bhpc_data[description],SMALL(IF(ISNUMBER(MATCH(bhpc_data[category],$EC$9,0)*MATCH(bhpc_data[sex],$EC$11,0)),MATCH(ROW(bhpc_data[sku]),ROW(bhpc_data[sku])),""),ROWS($A$15:A199)+$B$3)),INDEX(bhpc_data[description],SMALL(IF(ISNUMBER(MATCH(bhpc_data[category],$EC$9,0)*MATCH(bhpc_data[sex],$EC$11,0)*MATCH(bhpc_data[size],$EC$13,0)),MATCH(ROW(bhpc_data[sku]),ROW(bhpc_data[sku])),""),ROWS($A$15:A199)+$B$3))))),"")</f>
        <v>BHPC T-SHIRT LONG SHIRT WHITE - LARGE</v>
      </c>
      <c r="EG194" s="447">
        <f>IFERROR(IF('BHPC MANAGER'!$EE194="","",INDEX(inventory[ESISTENZA],MATCH('BHPC MANAGER'!$EE194,inventory[SKU],0))),0)</f>
        <v>28</v>
      </c>
      <c r="EH194" s="448">
        <v>-4</v>
      </c>
      <c r="EI194" s="448">
        <f t="shared" si="17"/>
        <v>24</v>
      </c>
      <c r="EJ194" s="449">
        <v>0</v>
      </c>
      <c r="EK194" s="450">
        <f t="shared" si="18"/>
        <v>24</v>
      </c>
    </row>
    <row r="195" spans="63:141" x14ac:dyDescent="0.35">
      <c r="BK195" s="296"/>
      <c r="BL195" s="297"/>
      <c r="BM195" s="298"/>
      <c r="BN195" s="297"/>
      <c r="BO195" s="298"/>
      <c r="EE195" s="439" t="str" cm="1">
        <f t="array" ref="EE195">IFERROR(IF($EC$9="",IF($EC$11="",IF($EC$13="",INDEX(bhpc_data[sku],SMALL(MATCH(ROW(bhpc_data[sku]),ROW(bhpc_data[sku])),ROWS($A$15:A200)+$B$3)),INDEX(bhpc_data[sku],SMALL(IF(ISNUMBER(MATCH(bhpc_data[size],$EC$13,0)),MATCH(ROW(bhpc_data[sku]),ROW(bhpc_data[sku])),""),ROWS($A$15:A200)+$B$3))),IF($EC$13="",INDEX(bhpc_data[sku],SMALL(IF(ISNUMBER(MATCH(bhpc_data[sex],$EC$11,0)),MATCH(ROW(bhpc_data[sku]),ROW(bhpc_data[sku])),""),ROWS($A$15:A200)+$B$3)),INDEX(bhpc_data[sku],SMALL(IF(ISNUMBER(MATCH(bhpc_data[sex],$EC$11,0)*MATCH(bhpc_data[size],$EC$13,0)),MATCH(ROW(bhpc_data[sku]),ROW(bhpc_data[sku])),""),ROWS($A$15:A200)+$B$3)))),IF($EC$11="",IF($EC$13="",INDEX(bhpc_data[sku],SMALL(IF(ISNUMBER(MATCH(bhpc_data[category],$EC$9,0)),MATCH(ROW(bhpc_data[sku]),ROW(bhpc_data[sku])),""),ROWS($A$15:A200)+$B$3)),INDEX(bhpc_data[sku],SMALL(IF(ISNUMBER(MATCH(bhpc_data[category],$EC$9,0)*MATCH(bhpc_data[size],$EC$13,0)),MATCH(ROW(bhpc_data[sku]),ROW(bhpc_data[sku])),""),ROWS($A$15:A200)+$B$3))),IF($EC$13="",INDEX(bhpc_data[sku],SMALL(IF(ISNUMBER(MATCH(bhpc_data[category],$EC$9,0)*MATCH(bhpc_data[sex],$EC$11,0)),MATCH(ROW(bhpc_data[sku]),ROW(bhpc_data[sku])),""),ROWS($A$15:A200)+$B$3)),INDEX(bhpc_data[sku],SMALL(IF(ISNUMBER(MATCH(bhpc_data[category],$EC$9,0)*MATCH(bhpc_data[sex],$EC$11,0)*MATCH(bhpc_data[size],$EC$13,0)),MATCH(ROW(bhpc_data[sku]),ROW(bhpc_data[sku])),""),ROWS($A$15:A200)+$B$3))))),"")</f>
        <v>TSWH0M</v>
      </c>
      <c r="EF195" s="440" t="str" cm="1">
        <f t="array" ref="EF195">IFERROR(IF($EC$9="",IF($EC$11="",IF($EC$13="",INDEX(bhpc_data[description],SMALL(MATCH(ROW(bhpc_data[sku]),ROW(bhpc_data[sku])),ROWS($A$15:A200)+$B$3)),INDEX(bhpc_data[description],SMALL(IF(ISNUMBER(MATCH(bhpc_data[size],$EC$13,0)),MATCH(ROW(bhpc_data[sku]),ROW(bhpc_data[sku])),""),ROWS($A$15:A200)+$B$3))),IF($EC$13="",INDEX(bhpc_data[description],SMALL(IF(ISNUMBER(MATCH(bhpc_data[sex],$EC$11,0)),MATCH(ROW(bhpc_data[sku]),ROW(bhpc_data[sku])),""),ROWS($A$15:A200)+$B$3)),INDEX(bhpc_data[description],SMALL(IF(ISNUMBER(MATCH(bhpc_data[sex],$EC$11,0)*MATCH(bhpc_data[size],$EC$13,0)),MATCH(ROW(bhpc_data[sku]),ROW(bhpc_data[sku])),""),ROWS($A$15:A200)+$B$3)))),IF($EC$11="",IF($EC$13="",INDEX(bhpc_data[description],SMALL(IF(ISNUMBER(MATCH(bhpc_data[category],$EC$9,0)),MATCH(ROW(bhpc_data[sku]),ROW(bhpc_data[sku])),""),ROWS($A$15:A200)+$B$3)),INDEX(bhpc_data[description],SMALL(IF(ISNUMBER(MATCH(bhpc_data[category],$EC$9,0)*MATCH(bhpc_data[size],$EC$13,0)),MATCH(ROW(bhpc_data[sku]),ROW(bhpc_data[sku])),""),ROWS($A$15:A200)+$B$3))),IF($EC$13="",INDEX(bhpc_data[description],SMALL(IF(ISNUMBER(MATCH(bhpc_data[category],$EC$9,0)*MATCH(bhpc_data[sex],$EC$11,0)),MATCH(ROW(bhpc_data[sku]),ROW(bhpc_data[sku])),""),ROWS($A$15:A200)+$B$3)),INDEX(bhpc_data[description],SMALL(IF(ISNUMBER(MATCH(bhpc_data[category],$EC$9,0)*MATCH(bhpc_data[sex],$EC$11,0)*MATCH(bhpc_data[size],$EC$13,0)),MATCH(ROW(bhpc_data[sku]),ROW(bhpc_data[sku])),""),ROWS($A$15:A200)+$B$3))))),"")</f>
        <v>BHPC T-SHIRT LONG SHIRT WHITE - MEDIUM</v>
      </c>
      <c r="EG195" s="441">
        <f>IFERROR(IF('BHPC MANAGER'!$EE195="","",INDEX(inventory[ESISTENZA],MATCH('BHPC MANAGER'!$EE195,inventory[SKU],0))),0)</f>
        <v>27</v>
      </c>
      <c r="EH195" s="442">
        <v>-3</v>
      </c>
      <c r="EI195" s="442">
        <f t="shared" si="17"/>
        <v>24</v>
      </c>
      <c r="EJ195" s="443">
        <v>0</v>
      </c>
      <c r="EK195" s="444">
        <f t="shared" si="18"/>
        <v>24</v>
      </c>
    </row>
    <row r="196" spans="63:141" x14ac:dyDescent="0.35">
      <c r="BK196" s="296"/>
      <c r="BL196" s="297"/>
      <c r="BM196" s="298"/>
      <c r="BN196" s="297"/>
      <c r="BO196" s="298"/>
      <c r="EE196" s="445" t="str" cm="1">
        <f t="array" ref="EE196">IFERROR(IF($EC$9="",IF($EC$11="",IF($EC$13="",INDEX(bhpc_data[sku],SMALL(MATCH(ROW(bhpc_data[sku]),ROW(bhpc_data[sku])),ROWS($A$15:A201)+$B$3)),INDEX(bhpc_data[sku],SMALL(IF(ISNUMBER(MATCH(bhpc_data[size],$EC$13,0)),MATCH(ROW(bhpc_data[sku]),ROW(bhpc_data[sku])),""),ROWS($A$15:A201)+$B$3))),IF($EC$13="",INDEX(bhpc_data[sku],SMALL(IF(ISNUMBER(MATCH(bhpc_data[sex],$EC$11,0)),MATCH(ROW(bhpc_data[sku]),ROW(bhpc_data[sku])),""),ROWS($A$15:A201)+$B$3)),INDEX(bhpc_data[sku],SMALL(IF(ISNUMBER(MATCH(bhpc_data[sex],$EC$11,0)*MATCH(bhpc_data[size],$EC$13,0)),MATCH(ROW(bhpc_data[sku]),ROW(bhpc_data[sku])),""),ROWS($A$15:A201)+$B$3)))),IF($EC$11="",IF($EC$13="",INDEX(bhpc_data[sku],SMALL(IF(ISNUMBER(MATCH(bhpc_data[category],$EC$9,0)),MATCH(ROW(bhpc_data[sku]),ROW(bhpc_data[sku])),""),ROWS($A$15:A201)+$B$3)),INDEX(bhpc_data[sku],SMALL(IF(ISNUMBER(MATCH(bhpc_data[category],$EC$9,0)*MATCH(bhpc_data[size],$EC$13,0)),MATCH(ROW(bhpc_data[sku]),ROW(bhpc_data[sku])),""),ROWS($A$15:A201)+$B$3))),IF($EC$13="",INDEX(bhpc_data[sku],SMALL(IF(ISNUMBER(MATCH(bhpc_data[category],$EC$9,0)*MATCH(bhpc_data[sex],$EC$11,0)),MATCH(ROW(bhpc_data[sku]),ROW(bhpc_data[sku])),""),ROWS($A$15:A201)+$B$3)),INDEX(bhpc_data[sku],SMALL(IF(ISNUMBER(MATCH(bhpc_data[category],$EC$9,0)*MATCH(bhpc_data[sex],$EC$11,0)*MATCH(bhpc_data[size],$EC$13,0)),MATCH(ROW(bhpc_data[sku]),ROW(bhpc_data[sku])),""),ROWS($A$15:A201)+$B$3))))),"")</f>
        <v>TSWH0S</v>
      </c>
      <c r="EF196" s="446" t="str" cm="1">
        <f t="array" ref="EF196">IFERROR(IF($EC$9="",IF($EC$11="",IF($EC$13="",INDEX(bhpc_data[description],SMALL(MATCH(ROW(bhpc_data[sku]),ROW(bhpc_data[sku])),ROWS($A$15:A201)+$B$3)),INDEX(bhpc_data[description],SMALL(IF(ISNUMBER(MATCH(bhpc_data[size],$EC$13,0)),MATCH(ROW(bhpc_data[sku]),ROW(bhpc_data[sku])),""),ROWS($A$15:A201)+$B$3))),IF($EC$13="",INDEX(bhpc_data[description],SMALL(IF(ISNUMBER(MATCH(bhpc_data[sex],$EC$11,0)),MATCH(ROW(bhpc_data[sku]),ROW(bhpc_data[sku])),""),ROWS($A$15:A201)+$B$3)),INDEX(bhpc_data[description],SMALL(IF(ISNUMBER(MATCH(bhpc_data[sex],$EC$11,0)*MATCH(bhpc_data[size],$EC$13,0)),MATCH(ROW(bhpc_data[sku]),ROW(bhpc_data[sku])),""),ROWS($A$15:A201)+$B$3)))),IF($EC$11="",IF($EC$13="",INDEX(bhpc_data[description],SMALL(IF(ISNUMBER(MATCH(bhpc_data[category],$EC$9,0)),MATCH(ROW(bhpc_data[sku]),ROW(bhpc_data[sku])),""),ROWS($A$15:A201)+$B$3)),INDEX(bhpc_data[description],SMALL(IF(ISNUMBER(MATCH(bhpc_data[category],$EC$9,0)*MATCH(bhpc_data[size],$EC$13,0)),MATCH(ROW(bhpc_data[sku]),ROW(bhpc_data[sku])),""),ROWS($A$15:A201)+$B$3))),IF($EC$13="",INDEX(bhpc_data[description],SMALL(IF(ISNUMBER(MATCH(bhpc_data[category],$EC$9,0)*MATCH(bhpc_data[sex],$EC$11,0)),MATCH(ROW(bhpc_data[sku]),ROW(bhpc_data[sku])),""),ROWS($A$15:A201)+$B$3)),INDEX(bhpc_data[description],SMALL(IF(ISNUMBER(MATCH(bhpc_data[category],$EC$9,0)*MATCH(bhpc_data[sex],$EC$11,0)*MATCH(bhpc_data[size],$EC$13,0)),MATCH(ROW(bhpc_data[sku]),ROW(bhpc_data[sku])),""),ROWS($A$15:A201)+$B$3))))),"")</f>
        <v>BHPC T-SHIRT LONG SHIRT WHITE - SMALL</v>
      </c>
      <c r="EG196" s="447">
        <f>IFERROR(IF('BHPC MANAGER'!$EE196="","",INDEX(inventory[ESISTENZA],MATCH('BHPC MANAGER'!$EE196,inventory[SKU],0))),0)</f>
        <v>8</v>
      </c>
      <c r="EH196" s="448" t="s">
        <v>861</v>
      </c>
      <c r="EI196" s="448">
        <f t="shared" si="17"/>
        <v>8</v>
      </c>
      <c r="EJ196" s="449" t="s">
        <v>861</v>
      </c>
      <c r="EK196" s="450">
        <f t="shared" si="18"/>
        <v>8</v>
      </c>
    </row>
    <row r="197" spans="63:141" x14ac:dyDescent="0.35">
      <c r="BK197" s="296"/>
      <c r="BL197" s="297"/>
      <c r="BM197" s="298"/>
      <c r="BN197" s="297"/>
      <c r="BO197" s="298"/>
      <c r="EE197" s="439" t="str" cm="1">
        <f t="array" ref="EE197">IFERROR(IF($EC$9="",IF($EC$11="",IF($EC$13="",INDEX(bhpc_data[sku],SMALL(MATCH(ROW(bhpc_data[sku]),ROW(bhpc_data[sku])),ROWS($A$15:A202)+$B$3)),INDEX(bhpc_data[sku],SMALL(IF(ISNUMBER(MATCH(bhpc_data[size],$EC$13,0)),MATCH(ROW(bhpc_data[sku]),ROW(bhpc_data[sku])),""),ROWS($A$15:A202)+$B$3))),IF($EC$13="",INDEX(bhpc_data[sku],SMALL(IF(ISNUMBER(MATCH(bhpc_data[sex],$EC$11,0)),MATCH(ROW(bhpc_data[sku]),ROW(bhpc_data[sku])),""),ROWS($A$15:A202)+$B$3)),INDEX(bhpc_data[sku],SMALL(IF(ISNUMBER(MATCH(bhpc_data[sex],$EC$11,0)*MATCH(bhpc_data[size],$EC$13,0)),MATCH(ROW(bhpc_data[sku]),ROW(bhpc_data[sku])),""),ROWS($A$15:A202)+$B$3)))),IF($EC$11="",IF($EC$13="",INDEX(bhpc_data[sku],SMALL(IF(ISNUMBER(MATCH(bhpc_data[category],$EC$9,0)),MATCH(ROW(bhpc_data[sku]),ROW(bhpc_data[sku])),""),ROWS($A$15:A202)+$B$3)),INDEX(bhpc_data[sku],SMALL(IF(ISNUMBER(MATCH(bhpc_data[category],$EC$9,0)*MATCH(bhpc_data[size],$EC$13,0)),MATCH(ROW(bhpc_data[sku]),ROW(bhpc_data[sku])),""),ROWS($A$15:A202)+$B$3))),IF($EC$13="",INDEX(bhpc_data[sku],SMALL(IF(ISNUMBER(MATCH(bhpc_data[category],$EC$9,0)*MATCH(bhpc_data[sex],$EC$11,0)),MATCH(ROW(bhpc_data[sku]),ROW(bhpc_data[sku])),""),ROWS($A$15:A202)+$B$3)),INDEX(bhpc_data[sku],SMALL(IF(ISNUMBER(MATCH(bhpc_data[category],$EC$9,0)*MATCH(bhpc_data[sex],$EC$11,0)*MATCH(bhpc_data[size],$EC$13,0)),MATCH(ROW(bhpc_data[sku]),ROW(bhpc_data[sku])),""),ROWS($A$15:A202)+$B$3))))),"")</f>
        <v>TSWHXL</v>
      </c>
      <c r="EF197" s="440" t="str" cm="1">
        <f t="array" ref="EF197">IFERROR(IF($EC$9="",IF($EC$11="",IF($EC$13="",INDEX(bhpc_data[description],SMALL(MATCH(ROW(bhpc_data[sku]),ROW(bhpc_data[sku])),ROWS($A$15:A202)+$B$3)),INDEX(bhpc_data[description],SMALL(IF(ISNUMBER(MATCH(bhpc_data[size],$EC$13,0)),MATCH(ROW(bhpc_data[sku]),ROW(bhpc_data[sku])),""),ROWS($A$15:A202)+$B$3))),IF($EC$13="",INDEX(bhpc_data[description],SMALL(IF(ISNUMBER(MATCH(bhpc_data[sex],$EC$11,0)),MATCH(ROW(bhpc_data[sku]),ROW(bhpc_data[sku])),""),ROWS($A$15:A202)+$B$3)),INDEX(bhpc_data[description],SMALL(IF(ISNUMBER(MATCH(bhpc_data[sex],$EC$11,0)*MATCH(bhpc_data[size],$EC$13,0)),MATCH(ROW(bhpc_data[sku]),ROW(bhpc_data[sku])),""),ROWS($A$15:A202)+$B$3)))),IF($EC$11="",IF($EC$13="",INDEX(bhpc_data[description],SMALL(IF(ISNUMBER(MATCH(bhpc_data[category],$EC$9,0)),MATCH(ROW(bhpc_data[sku]),ROW(bhpc_data[sku])),""),ROWS($A$15:A202)+$B$3)),INDEX(bhpc_data[description],SMALL(IF(ISNUMBER(MATCH(bhpc_data[category],$EC$9,0)*MATCH(bhpc_data[size],$EC$13,0)),MATCH(ROW(bhpc_data[sku]),ROW(bhpc_data[sku])),""),ROWS($A$15:A202)+$B$3))),IF($EC$13="",INDEX(bhpc_data[description],SMALL(IF(ISNUMBER(MATCH(bhpc_data[category],$EC$9,0)*MATCH(bhpc_data[sex],$EC$11,0)),MATCH(ROW(bhpc_data[sku]),ROW(bhpc_data[sku])),""),ROWS($A$15:A202)+$B$3)),INDEX(bhpc_data[description],SMALL(IF(ISNUMBER(MATCH(bhpc_data[category],$EC$9,0)*MATCH(bhpc_data[sex],$EC$11,0)*MATCH(bhpc_data[size],$EC$13,0)),MATCH(ROW(bhpc_data[sku]),ROW(bhpc_data[sku])),""),ROWS($A$15:A202)+$B$3))))),"")</f>
        <v>BHPC T-SHIRT LONG SHIRT WHITE - EXTRA LARGE</v>
      </c>
      <c r="EG197" s="441">
        <f>IFERROR(IF('BHPC MANAGER'!$EE197="","",INDEX(inventory[ESISTENZA],MATCH('BHPC MANAGER'!$EE197,inventory[SKU],0))),0)</f>
        <v>12</v>
      </c>
      <c r="EH197" s="442">
        <v>-3</v>
      </c>
      <c r="EI197" s="442">
        <f t="shared" si="17"/>
        <v>9</v>
      </c>
      <c r="EJ197" s="443">
        <v>0</v>
      </c>
      <c r="EK197" s="444">
        <f t="shared" si="18"/>
        <v>9</v>
      </c>
    </row>
    <row r="198" spans="63:141" x14ac:dyDescent="0.35">
      <c r="BK198" s="296"/>
      <c r="BL198" s="297"/>
      <c r="BM198" s="298"/>
      <c r="BN198" s="297"/>
      <c r="BO198" s="298"/>
      <c r="EE198" s="445" t="str" cm="1">
        <f t="array" ref="EE198">IFERROR(IF($EC$9="",IF($EC$11="",IF($EC$13="",INDEX(bhpc_data[sku],SMALL(MATCH(ROW(bhpc_data[sku]),ROW(bhpc_data[sku])),ROWS($A$15:A203)+$B$3)),INDEX(bhpc_data[sku],SMALL(IF(ISNUMBER(MATCH(bhpc_data[size],$EC$13,0)),MATCH(ROW(bhpc_data[sku]),ROW(bhpc_data[sku])),""),ROWS($A$15:A203)+$B$3))),IF($EC$13="",INDEX(bhpc_data[sku],SMALL(IF(ISNUMBER(MATCH(bhpc_data[sex],$EC$11,0)),MATCH(ROW(bhpc_data[sku]),ROW(bhpc_data[sku])),""),ROWS($A$15:A203)+$B$3)),INDEX(bhpc_data[sku],SMALL(IF(ISNUMBER(MATCH(bhpc_data[sex],$EC$11,0)*MATCH(bhpc_data[size],$EC$13,0)),MATCH(ROW(bhpc_data[sku]),ROW(bhpc_data[sku])),""),ROWS($A$15:A203)+$B$3)))),IF($EC$11="",IF($EC$13="",INDEX(bhpc_data[sku],SMALL(IF(ISNUMBER(MATCH(bhpc_data[category],$EC$9,0)),MATCH(ROW(bhpc_data[sku]),ROW(bhpc_data[sku])),""),ROWS($A$15:A203)+$B$3)),INDEX(bhpc_data[sku],SMALL(IF(ISNUMBER(MATCH(bhpc_data[category],$EC$9,0)*MATCH(bhpc_data[size],$EC$13,0)),MATCH(ROW(bhpc_data[sku]),ROW(bhpc_data[sku])),""),ROWS($A$15:A203)+$B$3))),IF($EC$13="",INDEX(bhpc_data[sku],SMALL(IF(ISNUMBER(MATCH(bhpc_data[category],$EC$9,0)*MATCH(bhpc_data[sex],$EC$11,0)),MATCH(ROW(bhpc_data[sku]),ROW(bhpc_data[sku])),""),ROWS($A$15:A203)+$B$3)),INDEX(bhpc_data[sku],SMALL(IF(ISNUMBER(MATCH(bhpc_data[category],$EC$9,0)*MATCH(bhpc_data[sex],$EC$11,0)*MATCH(bhpc_data[size],$EC$13,0)),MATCH(ROW(bhpc_data[sku]),ROW(bhpc_data[sku])),""),ROWS($A$15:A203)+$B$3))))),"")</f>
        <v>OUDWL</v>
      </c>
      <c r="EF198" s="446" t="str" cm="1">
        <f t="array" ref="EF198">IFERROR(IF($EC$9="",IF($EC$11="",IF($EC$13="",INDEX(bhpc_data[description],SMALL(MATCH(ROW(bhpc_data[sku]),ROW(bhpc_data[sku])),ROWS($A$15:A203)+$B$3)),INDEX(bhpc_data[description],SMALL(IF(ISNUMBER(MATCH(bhpc_data[size],$EC$13,0)),MATCH(ROW(bhpc_data[sku]),ROW(bhpc_data[sku])),""),ROWS($A$15:A203)+$B$3))),IF($EC$13="",INDEX(bhpc_data[description],SMALL(IF(ISNUMBER(MATCH(bhpc_data[sex],$EC$11,0)),MATCH(ROW(bhpc_data[sku]),ROW(bhpc_data[sku])),""),ROWS($A$15:A203)+$B$3)),INDEX(bhpc_data[description],SMALL(IF(ISNUMBER(MATCH(bhpc_data[sex],$EC$11,0)*MATCH(bhpc_data[size],$EC$13,0)),MATCH(ROW(bhpc_data[sku]),ROW(bhpc_data[sku])),""),ROWS($A$15:A203)+$B$3)))),IF($EC$11="",IF($EC$13="",INDEX(bhpc_data[description],SMALL(IF(ISNUMBER(MATCH(bhpc_data[category],$EC$9,0)),MATCH(ROW(bhpc_data[sku]),ROW(bhpc_data[sku])),""),ROWS($A$15:A203)+$B$3)),INDEX(bhpc_data[description],SMALL(IF(ISNUMBER(MATCH(bhpc_data[category],$EC$9,0)*MATCH(bhpc_data[size],$EC$13,0)),MATCH(ROW(bhpc_data[sku]),ROW(bhpc_data[sku])),""),ROWS($A$15:A203)+$B$3))),IF($EC$13="",INDEX(bhpc_data[description],SMALL(IF(ISNUMBER(MATCH(bhpc_data[category],$EC$9,0)*MATCH(bhpc_data[sex],$EC$11,0)),MATCH(ROW(bhpc_data[sku]),ROW(bhpc_data[sku])),""),ROWS($A$15:A203)+$B$3)),INDEX(bhpc_data[description],SMALL(IF(ISNUMBER(MATCH(bhpc_data[category],$EC$9,0)*MATCH(bhpc_data[sex],$EC$11,0)*MATCH(bhpc_data[size],$EC$13,0)),MATCH(ROW(bhpc_data[sku]),ROW(bhpc_data[sku])),""),ROWS($A$15:A203)+$B$3))))),"")</f>
        <v>PRESTIGE GIFT SET - HERITAGE OUD 100ml + WALLET</v>
      </c>
      <c r="EG198" s="447">
        <f>IFERROR(IF('BHPC MANAGER'!$EE198="","",INDEX(inventory[ESISTENZA],MATCH('BHPC MANAGER'!$EE198,inventory[SKU],0))),0)</f>
        <v>0</v>
      </c>
      <c r="EH198" s="448" t="s">
        <v>861</v>
      </c>
      <c r="EI198" s="448">
        <f t="shared" si="17"/>
        <v>0</v>
      </c>
      <c r="EJ198" s="449" t="s">
        <v>861</v>
      </c>
      <c r="EK198" s="450">
        <f t="shared" si="18"/>
        <v>0</v>
      </c>
    </row>
    <row r="199" spans="63:141" x14ac:dyDescent="0.35">
      <c r="BK199" s="296"/>
      <c r="BL199" s="297"/>
      <c r="BM199" s="298"/>
      <c r="BN199" s="297"/>
      <c r="BO199" s="298"/>
      <c r="EE199" s="439" t="str" cm="1">
        <f t="array" ref="EE199">IFERROR(IF($EC$9="",IF($EC$11="",IF($EC$13="",INDEX(bhpc_data[sku],SMALL(MATCH(ROW(bhpc_data[sku]),ROW(bhpc_data[sku])),ROWS($A$15:A204)+$B$3)),INDEX(bhpc_data[sku],SMALL(IF(ISNUMBER(MATCH(bhpc_data[size],$EC$13,0)),MATCH(ROW(bhpc_data[sku]),ROW(bhpc_data[sku])),""),ROWS($A$15:A204)+$B$3))),IF($EC$13="",INDEX(bhpc_data[sku],SMALL(IF(ISNUMBER(MATCH(bhpc_data[sex],$EC$11,0)),MATCH(ROW(bhpc_data[sku]),ROW(bhpc_data[sku])),""),ROWS($A$15:A204)+$B$3)),INDEX(bhpc_data[sku],SMALL(IF(ISNUMBER(MATCH(bhpc_data[sex],$EC$11,0)*MATCH(bhpc_data[size],$EC$13,0)),MATCH(ROW(bhpc_data[sku]),ROW(bhpc_data[sku])),""),ROWS($A$15:A204)+$B$3)))),IF($EC$11="",IF($EC$13="",INDEX(bhpc_data[sku],SMALL(IF(ISNUMBER(MATCH(bhpc_data[category],$EC$9,0)),MATCH(ROW(bhpc_data[sku]),ROW(bhpc_data[sku])),""),ROWS($A$15:A204)+$B$3)),INDEX(bhpc_data[sku],SMALL(IF(ISNUMBER(MATCH(bhpc_data[category],$EC$9,0)*MATCH(bhpc_data[size],$EC$13,0)),MATCH(ROW(bhpc_data[sku]),ROW(bhpc_data[sku])),""),ROWS($A$15:A204)+$B$3))),IF($EC$13="",INDEX(bhpc_data[sku],SMALL(IF(ISNUMBER(MATCH(bhpc_data[category],$EC$9,0)*MATCH(bhpc_data[sex],$EC$11,0)),MATCH(ROW(bhpc_data[sku]),ROW(bhpc_data[sku])),""),ROWS($A$15:A204)+$B$3)),INDEX(bhpc_data[sku],SMALL(IF(ISNUMBER(MATCH(bhpc_data[category],$EC$9,0)*MATCH(bhpc_data[sex],$EC$11,0)*MATCH(bhpc_data[size],$EC$13,0)),MATCH(ROW(bhpc_data[sku]),ROW(bhpc_data[sku])),""),ROWS($A$15:A204)+$B$3))))),"")</f>
        <v>TROWL</v>
      </c>
      <c r="EF199" s="440" t="str" cm="1">
        <f t="array" ref="EF199">IFERROR(IF($EC$9="",IF($EC$11="",IF($EC$13="",INDEX(bhpc_data[description],SMALL(MATCH(ROW(bhpc_data[sku]),ROW(bhpc_data[sku])),ROWS($A$15:A204)+$B$3)),INDEX(bhpc_data[description],SMALL(IF(ISNUMBER(MATCH(bhpc_data[size],$EC$13,0)),MATCH(ROW(bhpc_data[sku]),ROW(bhpc_data[sku])),""),ROWS($A$15:A204)+$B$3))),IF($EC$13="",INDEX(bhpc_data[description],SMALL(IF(ISNUMBER(MATCH(bhpc_data[sex],$EC$11,0)),MATCH(ROW(bhpc_data[sku]),ROW(bhpc_data[sku])),""),ROWS($A$15:A204)+$B$3)),INDEX(bhpc_data[description],SMALL(IF(ISNUMBER(MATCH(bhpc_data[sex],$EC$11,0)*MATCH(bhpc_data[size],$EC$13,0)),MATCH(ROW(bhpc_data[sku]),ROW(bhpc_data[sku])),""),ROWS($A$15:A204)+$B$3)))),IF($EC$11="",IF($EC$13="",INDEX(bhpc_data[description],SMALL(IF(ISNUMBER(MATCH(bhpc_data[category],$EC$9,0)),MATCH(ROW(bhpc_data[sku]),ROW(bhpc_data[sku])),""),ROWS($A$15:A204)+$B$3)),INDEX(bhpc_data[description],SMALL(IF(ISNUMBER(MATCH(bhpc_data[category],$EC$9,0)*MATCH(bhpc_data[size],$EC$13,0)),MATCH(ROW(bhpc_data[sku]),ROW(bhpc_data[sku])),""),ROWS($A$15:A204)+$B$3))),IF($EC$13="",INDEX(bhpc_data[description],SMALL(IF(ISNUMBER(MATCH(bhpc_data[category],$EC$9,0)*MATCH(bhpc_data[sex],$EC$11,0)),MATCH(ROW(bhpc_data[sku]),ROW(bhpc_data[sku])),""),ROWS($A$15:A204)+$B$3)),INDEX(bhpc_data[description],SMALL(IF(ISNUMBER(MATCH(bhpc_data[category],$EC$9,0)*MATCH(bhpc_data[sex],$EC$11,0)*MATCH(bhpc_data[size],$EC$13,0)),MATCH(ROW(bhpc_data[sku]),ROW(bhpc_data[sku])),""),ROWS($A$15:A204)+$B$3))))),"")</f>
        <v>PRESTIGE GIFT SET - TROPHY 100ml + WALLET</v>
      </c>
      <c r="EG199" s="441">
        <f>IFERROR(IF('BHPC MANAGER'!$EE199="","",INDEX(inventory[ESISTENZA],MATCH('BHPC MANAGER'!$EE199,inventory[SKU],0))),0)</f>
        <v>0</v>
      </c>
      <c r="EH199" s="442" t="s">
        <v>861</v>
      </c>
      <c r="EI199" s="442">
        <f t="shared" si="17"/>
        <v>0</v>
      </c>
      <c r="EJ199" s="443" t="s">
        <v>861</v>
      </c>
      <c r="EK199" s="444">
        <f t="shared" si="18"/>
        <v>0</v>
      </c>
    </row>
    <row r="200" spans="63:141" x14ac:dyDescent="0.35">
      <c r="BK200" s="296"/>
      <c r="BL200" s="297"/>
      <c r="BM200" s="298"/>
      <c r="BN200" s="297"/>
      <c r="BO200" s="298"/>
      <c r="EE200" s="445" t="str" cm="1">
        <f t="array" ref="EE200">IFERROR(IF($EC$9="",IF($EC$11="",IF($EC$13="",INDEX(bhpc_data[sku],SMALL(MATCH(ROW(bhpc_data[sku]),ROW(bhpc_data[sku])),ROWS($A$15:A205)+$B$3)),INDEX(bhpc_data[sku],SMALL(IF(ISNUMBER(MATCH(bhpc_data[size],$EC$13,0)),MATCH(ROW(bhpc_data[sku]),ROW(bhpc_data[sku])),""),ROWS($A$15:A205)+$B$3))),IF($EC$13="",INDEX(bhpc_data[sku],SMALL(IF(ISNUMBER(MATCH(bhpc_data[sex],$EC$11,0)),MATCH(ROW(bhpc_data[sku]),ROW(bhpc_data[sku])),""),ROWS($A$15:A205)+$B$3)),INDEX(bhpc_data[sku],SMALL(IF(ISNUMBER(MATCH(bhpc_data[sex],$EC$11,0)*MATCH(bhpc_data[size],$EC$13,0)),MATCH(ROW(bhpc_data[sku]),ROW(bhpc_data[sku])),""),ROWS($A$15:A205)+$B$3)))),IF($EC$11="",IF($EC$13="",INDEX(bhpc_data[sku],SMALL(IF(ISNUMBER(MATCH(bhpc_data[category],$EC$9,0)),MATCH(ROW(bhpc_data[sku]),ROW(bhpc_data[sku])),""),ROWS($A$15:A205)+$B$3)),INDEX(bhpc_data[sku],SMALL(IF(ISNUMBER(MATCH(bhpc_data[category],$EC$9,0)*MATCH(bhpc_data[size],$EC$13,0)),MATCH(ROW(bhpc_data[sku]),ROW(bhpc_data[sku])),""),ROWS($A$15:A205)+$B$3))),IF($EC$13="",INDEX(bhpc_data[sku],SMALL(IF(ISNUMBER(MATCH(bhpc_data[category],$EC$9,0)*MATCH(bhpc_data[sex],$EC$11,0)),MATCH(ROW(bhpc_data[sku]),ROW(bhpc_data[sku])),""),ROWS($A$15:A205)+$B$3)),INDEX(bhpc_data[sku],SMALL(IF(ISNUMBER(MATCH(bhpc_data[category],$EC$9,0)*MATCH(bhpc_data[sex],$EC$11,0)*MATCH(bhpc_data[size],$EC$13,0)),MATCH(ROW(bhpc_data[sku]),ROW(bhpc_data[sku])),""),ROWS($A$15:A205)+$B$3))))),"")</f>
        <v>TTNWL</v>
      </c>
      <c r="EF200" s="446" t="str" cm="1">
        <f t="array" ref="EF200">IFERROR(IF($EC$9="",IF($EC$11="",IF($EC$13="",INDEX(bhpc_data[description],SMALL(MATCH(ROW(bhpc_data[sku]),ROW(bhpc_data[sku])),ROWS($A$15:A205)+$B$3)),INDEX(bhpc_data[description],SMALL(IF(ISNUMBER(MATCH(bhpc_data[size],$EC$13,0)),MATCH(ROW(bhpc_data[sku]),ROW(bhpc_data[sku])),""),ROWS($A$15:A205)+$B$3))),IF($EC$13="",INDEX(bhpc_data[description],SMALL(IF(ISNUMBER(MATCH(bhpc_data[sex],$EC$11,0)),MATCH(ROW(bhpc_data[sku]),ROW(bhpc_data[sku])),""),ROWS($A$15:A205)+$B$3)),INDEX(bhpc_data[description],SMALL(IF(ISNUMBER(MATCH(bhpc_data[sex],$EC$11,0)*MATCH(bhpc_data[size],$EC$13,0)),MATCH(ROW(bhpc_data[sku]),ROW(bhpc_data[sku])),""),ROWS($A$15:A205)+$B$3)))),IF($EC$11="",IF($EC$13="",INDEX(bhpc_data[description],SMALL(IF(ISNUMBER(MATCH(bhpc_data[category],$EC$9,0)),MATCH(ROW(bhpc_data[sku]),ROW(bhpc_data[sku])),""),ROWS($A$15:A205)+$B$3)),INDEX(bhpc_data[description],SMALL(IF(ISNUMBER(MATCH(bhpc_data[category],$EC$9,0)*MATCH(bhpc_data[size],$EC$13,0)),MATCH(ROW(bhpc_data[sku]),ROW(bhpc_data[sku])),""),ROWS($A$15:A205)+$B$3))),IF($EC$13="",INDEX(bhpc_data[description],SMALL(IF(ISNUMBER(MATCH(bhpc_data[category],$EC$9,0)*MATCH(bhpc_data[sex],$EC$11,0)),MATCH(ROW(bhpc_data[sku]),ROW(bhpc_data[sku])),""),ROWS($A$15:A205)+$B$3)),INDEX(bhpc_data[description],SMALL(IF(ISNUMBER(MATCH(bhpc_data[category],$EC$9,0)*MATCH(bhpc_data[sex],$EC$11,0)*MATCH(bhpc_data[size],$EC$13,0)),MATCH(ROW(bhpc_data[sku]),ROW(bhpc_data[sku])),""),ROWS($A$15:A205)+$B$3))))),"")</f>
        <v>PRESTIGE GIFT SET - TITAN 100ml + WALLET</v>
      </c>
      <c r="EG200" s="447">
        <f>IFERROR(IF('BHPC MANAGER'!$EE200="","",INDEX(inventory[ESISTENZA],MATCH('BHPC MANAGER'!$EE200,inventory[SKU],0))),0)</f>
        <v>0</v>
      </c>
      <c r="EH200" s="448" t="s">
        <v>861</v>
      </c>
      <c r="EI200" s="448">
        <f t="shared" si="17"/>
        <v>0</v>
      </c>
      <c r="EJ200" s="449" t="s">
        <v>861</v>
      </c>
      <c r="EK200" s="450">
        <f t="shared" si="18"/>
        <v>0</v>
      </c>
    </row>
    <row r="201" spans="63:141" x14ac:dyDescent="0.35">
      <c r="BK201" s="296"/>
      <c r="BL201" s="297"/>
      <c r="BM201" s="298"/>
      <c r="BN201" s="297"/>
      <c r="BO201" s="298"/>
      <c r="EE201" s="439" t="str" cm="1">
        <f t="array" ref="EE201">IFERROR(IF($EC$9="",IF($EC$11="",IF($EC$13="",INDEX(bhpc_data[sku],SMALL(MATCH(ROW(bhpc_data[sku]),ROW(bhpc_data[sku])),ROWS($A$15:A206)+$B$3)),INDEX(bhpc_data[sku],SMALL(IF(ISNUMBER(MATCH(bhpc_data[size],$EC$13,0)),MATCH(ROW(bhpc_data[sku]),ROW(bhpc_data[sku])),""),ROWS($A$15:A206)+$B$3))),IF($EC$13="",INDEX(bhpc_data[sku],SMALL(IF(ISNUMBER(MATCH(bhpc_data[sex],$EC$11,0)),MATCH(ROW(bhpc_data[sku]),ROW(bhpc_data[sku])),""),ROWS($A$15:A206)+$B$3)),INDEX(bhpc_data[sku],SMALL(IF(ISNUMBER(MATCH(bhpc_data[sex],$EC$11,0)*MATCH(bhpc_data[size],$EC$13,0)),MATCH(ROW(bhpc_data[sku]),ROW(bhpc_data[sku])),""),ROWS($A$15:A206)+$B$3)))),IF($EC$11="",IF($EC$13="",INDEX(bhpc_data[sku],SMALL(IF(ISNUMBER(MATCH(bhpc_data[category],$EC$9,0)),MATCH(ROW(bhpc_data[sku]),ROW(bhpc_data[sku])),""),ROWS($A$15:A206)+$B$3)),INDEX(bhpc_data[sku],SMALL(IF(ISNUMBER(MATCH(bhpc_data[category],$EC$9,0)*MATCH(bhpc_data[size],$EC$13,0)),MATCH(ROW(bhpc_data[sku]),ROW(bhpc_data[sku])),""),ROWS($A$15:A206)+$B$3))),IF($EC$13="",INDEX(bhpc_data[sku],SMALL(IF(ISNUMBER(MATCH(bhpc_data[category],$EC$9,0)*MATCH(bhpc_data[sex],$EC$11,0)),MATCH(ROW(bhpc_data[sku]),ROW(bhpc_data[sku])),""),ROWS($A$15:A206)+$B$3)),INDEX(bhpc_data[sku],SMALL(IF(ISNUMBER(MATCH(bhpc_data[category],$EC$9,0)*MATCH(bhpc_data[sex],$EC$11,0)*MATCH(bhpc_data[size],$EC$13,0)),MATCH(ROW(bhpc_data[sku]),ROW(bhpc_data[sku])),""),ROWS($A$15:A206)+$B$3))))),"")</f>
        <v>WMNSCR</v>
      </c>
      <c r="EF201" s="440" t="str" cm="1">
        <f t="array" ref="EF201">IFERROR(IF($EC$9="",IF($EC$11="",IF($EC$13="",INDEX(bhpc_data[description],SMALL(MATCH(ROW(bhpc_data[sku]),ROW(bhpc_data[sku])),ROWS($A$15:A206)+$B$3)),INDEX(bhpc_data[description],SMALL(IF(ISNUMBER(MATCH(bhpc_data[size],$EC$13,0)),MATCH(ROW(bhpc_data[sku]),ROW(bhpc_data[sku])),""),ROWS($A$15:A206)+$B$3))),IF($EC$13="",INDEX(bhpc_data[description],SMALL(IF(ISNUMBER(MATCH(bhpc_data[sex],$EC$11,0)),MATCH(ROW(bhpc_data[sku]),ROW(bhpc_data[sku])),""),ROWS($A$15:A206)+$B$3)),INDEX(bhpc_data[description],SMALL(IF(ISNUMBER(MATCH(bhpc_data[sex],$EC$11,0)*MATCH(bhpc_data[size],$EC$13,0)),MATCH(ROW(bhpc_data[sku]),ROW(bhpc_data[sku])),""),ROWS($A$15:A206)+$B$3)))),IF($EC$11="",IF($EC$13="",INDEX(bhpc_data[description],SMALL(IF(ISNUMBER(MATCH(bhpc_data[category],$EC$9,0)),MATCH(ROW(bhpc_data[sku]),ROW(bhpc_data[sku])),""),ROWS($A$15:A206)+$B$3)),INDEX(bhpc_data[description],SMALL(IF(ISNUMBER(MATCH(bhpc_data[category],$EC$9,0)*MATCH(bhpc_data[size],$EC$13,0)),MATCH(ROW(bhpc_data[sku]),ROW(bhpc_data[sku])),""),ROWS($A$15:A206)+$B$3))),IF($EC$13="",INDEX(bhpc_data[description],SMALL(IF(ISNUMBER(MATCH(bhpc_data[category],$EC$9,0)*MATCH(bhpc_data[sex],$EC$11,0)),MATCH(ROW(bhpc_data[sku]),ROW(bhpc_data[sku])),""),ROWS($A$15:A206)+$B$3)),INDEX(bhpc_data[description],SMALL(IF(ISNUMBER(MATCH(bhpc_data[category],$EC$9,0)*MATCH(bhpc_data[sex],$EC$11,0)*MATCH(bhpc_data[size],$EC$13,0)),MATCH(ROW(bhpc_data[sku]),ROW(bhpc_data[sku])),""),ROWS($A$15:A206)+$B$3))))),"")</f>
        <v>PRESTIGE GIFT SET - WOMEN MYSTIQUE 100ml + SCARF</v>
      </c>
      <c r="EG201" s="441">
        <f>IFERROR(IF('BHPC MANAGER'!$EE201="","",INDEX(inventory[ESISTENZA],MATCH('BHPC MANAGER'!$EE201,inventory[SKU],0))),0)</f>
        <v>0</v>
      </c>
      <c r="EH201" s="442" t="s">
        <v>861</v>
      </c>
      <c r="EI201" s="442">
        <f t="shared" si="17"/>
        <v>0</v>
      </c>
      <c r="EJ201" s="443" t="s">
        <v>861</v>
      </c>
      <c r="EK201" s="444">
        <f t="shared" si="18"/>
        <v>0</v>
      </c>
    </row>
    <row r="202" spans="63:141" x14ac:dyDescent="0.35">
      <c r="BK202" s="296"/>
      <c r="BL202" s="297"/>
      <c r="BM202" s="298"/>
      <c r="BN202" s="297"/>
      <c r="BO202" s="298"/>
      <c r="EE202" s="445" t="str" cm="1">
        <f t="array" ref="EE202">IFERROR(IF($EC$9="",IF($EC$11="",IF($EC$13="",INDEX(bhpc_data[sku],SMALL(MATCH(ROW(bhpc_data[sku]),ROW(bhpc_data[sku])),ROWS($A$15:A207)+$B$3)),INDEX(bhpc_data[sku],SMALL(IF(ISNUMBER(MATCH(bhpc_data[size],$EC$13,0)),MATCH(ROW(bhpc_data[sku]),ROW(bhpc_data[sku])),""),ROWS($A$15:A207)+$B$3))),IF($EC$13="",INDEX(bhpc_data[sku],SMALL(IF(ISNUMBER(MATCH(bhpc_data[sex],$EC$11,0)),MATCH(ROW(bhpc_data[sku]),ROW(bhpc_data[sku])),""),ROWS($A$15:A207)+$B$3)),INDEX(bhpc_data[sku],SMALL(IF(ISNUMBER(MATCH(bhpc_data[sex],$EC$11,0)*MATCH(bhpc_data[size],$EC$13,0)),MATCH(ROW(bhpc_data[sku]),ROW(bhpc_data[sku])),""),ROWS($A$15:A207)+$B$3)))),IF($EC$11="",IF($EC$13="",INDEX(bhpc_data[sku],SMALL(IF(ISNUMBER(MATCH(bhpc_data[category],$EC$9,0)),MATCH(ROW(bhpc_data[sku]),ROW(bhpc_data[sku])),""),ROWS($A$15:A207)+$B$3)),INDEX(bhpc_data[sku],SMALL(IF(ISNUMBER(MATCH(bhpc_data[category],$EC$9,0)*MATCH(bhpc_data[size],$EC$13,0)),MATCH(ROW(bhpc_data[sku]),ROW(bhpc_data[sku])),""),ROWS($A$15:A207)+$B$3))),IF($EC$13="",INDEX(bhpc_data[sku],SMALL(IF(ISNUMBER(MATCH(bhpc_data[category],$EC$9,0)*MATCH(bhpc_data[sex],$EC$11,0)),MATCH(ROW(bhpc_data[sku]),ROW(bhpc_data[sku])),""),ROWS($A$15:A207)+$B$3)),INDEX(bhpc_data[sku],SMALL(IF(ISNUMBER(MATCH(bhpc_data[category],$EC$9,0)*MATCH(bhpc_data[sex],$EC$11,0)*MATCH(bhpc_data[size],$EC$13,0)),MATCH(ROW(bhpc_data[sku]),ROW(bhpc_data[sku])),""),ROWS($A$15:A207)+$B$3))))),"")</f>
        <v>WMNWL</v>
      </c>
      <c r="EF202" s="446" t="str" cm="1">
        <f t="array" ref="EF202">IFERROR(IF($EC$9="",IF($EC$11="",IF($EC$13="",INDEX(bhpc_data[description],SMALL(MATCH(ROW(bhpc_data[sku]),ROW(bhpc_data[sku])),ROWS($A$15:A207)+$B$3)),INDEX(bhpc_data[description],SMALL(IF(ISNUMBER(MATCH(bhpc_data[size],$EC$13,0)),MATCH(ROW(bhpc_data[sku]),ROW(bhpc_data[sku])),""),ROWS($A$15:A207)+$B$3))),IF($EC$13="",INDEX(bhpc_data[description],SMALL(IF(ISNUMBER(MATCH(bhpc_data[sex],$EC$11,0)),MATCH(ROW(bhpc_data[sku]),ROW(bhpc_data[sku])),""),ROWS($A$15:A207)+$B$3)),INDEX(bhpc_data[description],SMALL(IF(ISNUMBER(MATCH(bhpc_data[sex],$EC$11,0)*MATCH(bhpc_data[size],$EC$13,0)),MATCH(ROW(bhpc_data[sku]),ROW(bhpc_data[sku])),""),ROWS($A$15:A207)+$B$3)))),IF($EC$11="",IF($EC$13="",INDEX(bhpc_data[description],SMALL(IF(ISNUMBER(MATCH(bhpc_data[category],$EC$9,0)),MATCH(ROW(bhpc_data[sku]),ROW(bhpc_data[sku])),""),ROWS($A$15:A207)+$B$3)),INDEX(bhpc_data[description],SMALL(IF(ISNUMBER(MATCH(bhpc_data[category],$EC$9,0)*MATCH(bhpc_data[size],$EC$13,0)),MATCH(ROW(bhpc_data[sku]),ROW(bhpc_data[sku])),""),ROWS($A$15:A207)+$B$3))),IF($EC$13="",INDEX(bhpc_data[description],SMALL(IF(ISNUMBER(MATCH(bhpc_data[category],$EC$9,0)*MATCH(bhpc_data[sex],$EC$11,0)),MATCH(ROW(bhpc_data[sku]),ROW(bhpc_data[sku])),""),ROWS($A$15:A207)+$B$3)),INDEX(bhpc_data[description],SMALL(IF(ISNUMBER(MATCH(bhpc_data[category],$EC$9,0)*MATCH(bhpc_data[sex],$EC$11,0)*MATCH(bhpc_data[size],$EC$13,0)),MATCH(ROW(bhpc_data[sku]),ROW(bhpc_data[sku])),""),ROWS($A$15:A207)+$B$3))))),"")</f>
        <v>PRESTIGE GIFT SET - WOMEN PASSION 100ml + WALLET</v>
      </c>
      <c r="EG202" s="447">
        <f>IFERROR(IF('BHPC MANAGER'!$EE202="","",INDEX(inventory[ESISTENZA],MATCH('BHPC MANAGER'!$EE202,inventory[SKU],0))),0)</f>
        <v>0</v>
      </c>
      <c r="EH202" s="448" t="s">
        <v>861</v>
      </c>
      <c r="EI202" s="448">
        <f t="shared" si="17"/>
        <v>0</v>
      </c>
      <c r="EJ202" s="449" t="s">
        <v>861</v>
      </c>
      <c r="EK202" s="450">
        <f t="shared" si="18"/>
        <v>0</v>
      </c>
    </row>
    <row r="203" spans="63:141" x14ac:dyDescent="0.35">
      <c r="BK203" s="296"/>
      <c r="BL203" s="297"/>
      <c r="BM203" s="298"/>
      <c r="BN203" s="297"/>
      <c r="BO203" s="298"/>
      <c r="EE203" s="439" t="str" cm="1">
        <f t="array" ref="EE203">IFERROR(IF($EC$9="",IF($EC$11="",IF($EC$13="",INDEX(bhpc_data[sku],SMALL(MATCH(ROW(bhpc_data[sku]),ROW(bhpc_data[sku])),ROWS($A$15:A208)+$B$3)),INDEX(bhpc_data[sku],SMALL(IF(ISNUMBER(MATCH(bhpc_data[size],$EC$13,0)),MATCH(ROW(bhpc_data[sku]),ROW(bhpc_data[sku])),""),ROWS($A$15:A208)+$B$3))),IF($EC$13="",INDEX(bhpc_data[sku],SMALL(IF(ISNUMBER(MATCH(bhpc_data[sex],$EC$11,0)),MATCH(ROW(bhpc_data[sku]),ROW(bhpc_data[sku])),""),ROWS($A$15:A208)+$B$3)),INDEX(bhpc_data[sku],SMALL(IF(ISNUMBER(MATCH(bhpc_data[sex],$EC$11,0)*MATCH(bhpc_data[size],$EC$13,0)),MATCH(ROW(bhpc_data[sku]),ROW(bhpc_data[sku])),""),ROWS($A$15:A208)+$B$3)))),IF($EC$11="",IF($EC$13="",INDEX(bhpc_data[sku],SMALL(IF(ISNUMBER(MATCH(bhpc_data[category],$EC$9,0)),MATCH(ROW(bhpc_data[sku]),ROW(bhpc_data[sku])),""),ROWS($A$15:A208)+$B$3)),INDEX(bhpc_data[sku],SMALL(IF(ISNUMBER(MATCH(bhpc_data[category],$EC$9,0)*MATCH(bhpc_data[size],$EC$13,0)),MATCH(ROW(bhpc_data[sku]),ROW(bhpc_data[sku])),""),ROWS($A$15:A208)+$B$3))),IF($EC$13="",INDEX(bhpc_data[sku],SMALL(IF(ISNUMBER(MATCH(bhpc_data[category],$EC$9,0)*MATCH(bhpc_data[sex],$EC$11,0)),MATCH(ROW(bhpc_data[sku]),ROW(bhpc_data[sku])),""),ROWS($A$15:A208)+$B$3)),INDEX(bhpc_data[sku],SMALL(IF(ISNUMBER(MATCH(bhpc_data[category],$EC$9,0)*MATCH(bhpc_data[sex],$EC$11,0)*MATCH(bhpc_data[size],$EC$13,0)),MATCH(ROW(bhpc_data[sku]),ROW(bhpc_data[sku])),""),ROWS($A$15:A208)+$B$3))))),"")</f>
        <v>X00050</v>
      </c>
      <c r="EF203" s="440" t="str" cm="1">
        <f t="array" ref="EF203">IFERROR(IF($EC$9="",IF($EC$11="",IF($EC$13="",INDEX(bhpc_data[description],SMALL(MATCH(ROW(bhpc_data[sku]),ROW(bhpc_data[sku])),ROWS($A$15:A208)+$B$3)),INDEX(bhpc_data[description],SMALL(IF(ISNUMBER(MATCH(bhpc_data[size],$EC$13,0)),MATCH(ROW(bhpc_data[sku]),ROW(bhpc_data[sku])),""),ROWS($A$15:A208)+$B$3))),IF($EC$13="",INDEX(bhpc_data[description],SMALL(IF(ISNUMBER(MATCH(bhpc_data[sex],$EC$11,0)),MATCH(ROW(bhpc_data[sku]),ROW(bhpc_data[sku])),""),ROWS($A$15:A208)+$B$3)),INDEX(bhpc_data[description],SMALL(IF(ISNUMBER(MATCH(bhpc_data[sex],$EC$11,0)*MATCH(bhpc_data[size],$EC$13,0)),MATCH(ROW(bhpc_data[sku]),ROW(bhpc_data[sku])),""),ROWS($A$15:A208)+$B$3)))),IF($EC$11="",IF($EC$13="",INDEX(bhpc_data[description],SMALL(IF(ISNUMBER(MATCH(bhpc_data[category],$EC$9,0)),MATCH(ROW(bhpc_data[sku]),ROW(bhpc_data[sku])),""),ROWS($A$15:A208)+$B$3)),INDEX(bhpc_data[description],SMALL(IF(ISNUMBER(MATCH(bhpc_data[category],$EC$9,0)*MATCH(bhpc_data[size],$EC$13,0)),MATCH(ROW(bhpc_data[sku]),ROW(bhpc_data[sku])),""),ROWS($A$15:A208)+$B$3))),IF($EC$13="",INDEX(bhpc_data[description],SMALL(IF(ISNUMBER(MATCH(bhpc_data[category],$EC$9,0)*MATCH(bhpc_data[sex],$EC$11,0)),MATCH(ROW(bhpc_data[sku]),ROW(bhpc_data[sku])),""),ROWS($A$15:A208)+$B$3)),INDEX(bhpc_data[description],SMALL(IF(ISNUMBER(MATCH(bhpc_data[category],$EC$9,0)*MATCH(bhpc_data[sex],$EC$11,0)*MATCH(bhpc_data[size],$EC$13,0)),MATCH(ROW(bhpc_data[sku]),ROW(bhpc_data[sku])),""),ROWS($A$15:A208)+$B$3))))),"")</f>
        <v>BHPC 50ML OUTER CARTON</v>
      </c>
      <c r="EG203" s="441">
        <f>IFERROR(IF('BHPC MANAGER'!$EE203="","",INDEX(inventory[ESISTENZA],MATCH('BHPC MANAGER'!$EE203,inventory[SKU],0))),0)</f>
        <v>100</v>
      </c>
      <c r="EH203" s="442" t="s">
        <v>861</v>
      </c>
      <c r="EI203" s="442">
        <f t="shared" ref="EI203:EI250" si="19">IF(EE203="","",IFERROR(EG203+EH203,EG203))</f>
        <v>100</v>
      </c>
      <c r="EJ203" s="443" t="s">
        <v>861</v>
      </c>
      <c r="EK203" s="444">
        <f t="shared" ref="EK203:EK250" si="20">IF(EE203="","",IFERROR(EI203+EJ203,EI203))</f>
        <v>100</v>
      </c>
    </row>
    <row r="204" spans="63:141" x14ac:dyDescent="0.35">
      <c r="BK204" s="296"/>
      <c r="BL204" s="297"/>
      <c r="BM204" s="298"/>
      <c r="BN204" s="297"/>
      <c r="BO204" s="298"/>
      <c r="EE204" s="445" t="str" cm="1">
        <f t="array" ref="EE204">IFERROR(IF($EC$9="",IF($EC$11="",IF($EC$13="",INDEX(bhpc_data[sku],SMALL(MATCH(ROW(bhpc_data[sku]),ROW(bhpc_data[sku])),ROWS($A$15:A209)+$B$3)),INDEX(bhpc_data[sku],SMALL(IF(ISNUMBER(MATCH(bhpc_data[size],$EC$13,0)),MATCH(ROW(bhpc_data[sku]),ROW(bhpc_data[sku])),""),ROWS($A$15:A209)+$B$3))),IF($EC$13="",INDEX(bhpc_data[sku],SMALL(IF(ISNUMBER(MATCH(bhpc_data[sex],$EC$11,0)),MATCH(ROW(bhpc_data[sku]),ROW(bhpc_data[sku])),""),ROWS($A$15:A209)+$B$3)),INDEX(bhpc_data[sku],SMALL(IF(ISNUMBER(MATCH(bhpc_data[sex],$EC$11,0)*MATCH(bhpc_data[size],$EC$13,0)),MATCH(ROW(bhpc_data[sku]),ROW(bhpc_data[sku])),""),ROWS($A$15:A209)+$B$3)))),IF($EC$11="",IF($EC$13="",INDEX(bhpc_data[sku],SMALL(IF(ISNUMBER(MATCH(bhpc_data[category],$EC$9,0)),MATCH(ROW(bhpc_data[sku]),ROW(bhpc_data[sku])),""),ROWS($A$15:A209)+$B$3)),INDEX(bhpc_data[sku],SMALL(IF(ISNUMBER(MATCH(bhpc_data[category],$EC$9,0)*MATCH(bhpc_data[size],$EC$13,0)),MATCH(ROW(bhpc_data[sku]),ROW(bhpc_data[sku])),""),ROWS($A$15:A209)+$B$3))),IF($EC$13="",INDEX(bhpc_data[sku],SMALL(IF(ISNUMBER(MATCH(bhpc_data[category],$EC$9,0)*MATCH(bhpc_data[sex],$EC$11,0)),MATCH(ROW(bhpc_data[sku]),ROW(bhpc_data[sku])),""),ROWS($A$15:A209)+$B$3)),INDEX(bhpc_data[sku],SMALL(IF(ISNUMBER(MATCH(bhpc_data[category],$EC$9,0)*MATCH(bhpc_data[sex],$EC$11,0)*MATCH(bhpc_data[size],$EC$13,0)),MATCH(ROW(bhpc_data[sku]),ROW(bhpc_data[sku])),""),ROWS($A$15:A209)+$B$3))))),"")</f>
        <v>X00100</v>
      </c>
      <c r="EF204" s="446" t="str" cm="1">
        <f t="array" ref="EF204">IFERROR(IF($EC$9="",IF($EC$11="",IF($EC$13="",INDEX(bhpc_data[description],SMALL(MATCH(ROW(bhpc_data[sku]),ROW(bhpc_data[sku])),ROWS($A$15:A209)+$B$3)),INDEX(bhpc_data[description],SMALL(IF(ISNUMBER(MATCH(bhpc_data[size],$EC$13,0)),MATCH(ROW(bhpc_data[sku]),ROW(bhpc_data[sku])),""),ROWS($A$15:A209)+$B$3))),IF($EC$13="",INDEX(bhpc_data[description],SMALL(IF(ISNUMBER(MATCH(bhpc_data[sex],$EC$11,0)),MATCH(ROW(bhpc_data[sku]),ROW(bhpc_data[sku])),""),ROWS($A$15:A209)+$B$3)),INDEX(bhpc_data[description],SMALL(IF(ISNUMBER(MATCH(bhpc_data[sex],$EC$11,0)*MATCH(bhpc_data[size],$EC$13,0)),MATCH(ROW(bhpc_data[sku]),ROW(bhpc_data[sku])),""),ROWS($A$15:A209)+$B$3)))),IF($EC$11="",IF($EC$13="",INDEX(bhpc_data[description],SMALL(IF(ISNUMBER(MATCH(bhpc_data[category],$EC$9,0)),MATCH(ROW(bhpc_data[sku]),ROW(bhpc_data[sku])),""),ROWS($A$15:A209)+$B$3)),INDEX(bhpc_data[description],SMALL(IF(ISNUMBER(MATCH(bhpc_data[category],$EC$9,0)*MATCH(bhpc_data[size],$EC$13,0)),MATCH(ROW(bhpc_data[sku]),ROW(bhpc_data[sku])),""),ROWS($A$15:A209)+$B$3))),IF($EC$13="",INDEX(bhpc_data[description],SMALL(IF(ISNUMBER(MATCH(bhpc_data[category],$EC$9,0)*MATCH(bhpc_data[sex],$EC$11,0)),MATCH(ROW(bhpc_data[sku]),ROW(bhpc_data[sku])),""),ROWS($A$15:A209)+$B$3)),INDEX(bhpc_data[description],SMALL(IF(ISNUMBER(MATCH(bhpc_data[category],$EC$9,0)*MATCH(bhpc_data[sex],$EC$11,0)*MATCH(bhpc_data[size],$EC$13,0)),MATCH(ROW(bhpc_data[sku]),ROW(bhpc_data[sku])),""),ROWS($A$15:A209)+$B$3))))),"")</f>
        <v>BHPC 100ML OUTER CARTON</v>
      </c>
      <c r="EG204" s="447">
        <f>IFERROR(IF('BHPC MANAGER'!$EE204="","",INDEX(inventory[ESISTENZA],MATCH('BHPC MANAGER'!$EE204,inventory[SKU],0))),0)</f>
        <v>500</v>
      </c>
      <c r="EH204" s="448" t="s">
        <v>861</v>
      </c>
      <c r="EI204" s="448">
        <f t="shared" si="19"/>
        <v>500</v>
      </c>
      <c r="EJ204" s="449" t="s">
        <v>861</v>
      </c>
      <c r="EK204" s="450">
        <f t="shared" si="20"/>
        <v>500</v>
      </c>
    </row>
    <row r="205" spans="63:141" x14ac:dyDescent="0.35">
      <c r="BK205" s="296"/>
      <c r="BL205" s="297"/>
      <c r="BM205" s="298"/>
      <c r="BN205" s="297"/>
      <c r="BO205" s="298"/>
      <c r="EE205" s="439" t="str" cm="1">
        <f t="array" ref="EE205">IFERROR(IF($EC$9="",IF($EC$11="",IF($EC$13="",INDEX(bhpc_data[sku],SMALL(MATCH(ROW(bhpc_data[sku]),ROW(bhpc_data[sku])),ROWS($A$15:A210)+$B$3)),INDEX(bhpc_data[sku],SMALL(IF(ISNUMBER(MATCH(bhpc_data[size],$EC$13,0)),MATCH(ROW(bhpc_data[sku]),ROW(bhpc_data[sku])),""),ROWS($A$15:A210)+$B$3))),IF($EC$13="",INDEX(bhpc_data[sku],SMALL(IF(ISNUMBER(MATCH(bhpc_data[sex],$EC$11,0)),MATCH(ROW(bhpc_data[sku]),ROW(bhpc_data[sku])),""),ROWS($A$15:A210)+$B$3)),INDEX(bhpc_data[sku],SMALL(IF(ISNUMBER(MATCH(bhpc_data[sex],$EC$11,0)*MATCH(bhpc_data[size],$EC$13,0)),MATCH(ROW(bhpc_data[sku]),ROW(bhpc_data[sku])),""),ROWS($A$15:A210)+$B$3)))),IF($EC$11="",IF($EC$13="",INDEX(bhpc_data[sku],SMALL(IF(ISNUMBER(MATCH(bhpc_data[category],$EC$9,0)),MATCH(ROW(bhpc_data[sku]),ROW(bhpc_data[sku])),""),ROWS($A$15:A210)+$B$3)),INDEX(bhpc_data[sku],SMALL(IF(ISNUMBER(MATCH(bhpc_data[category],$EC$9,0)*MATCH(bhpc_data[size],$EC$13,0)),MATCH(ROW(bhpc_data[sku]),ROW(bhpc_data[sku])),""),ROWS($A$15:A210)+$B$3))),IF($EC$13="",INDEX(bhpc_data[sku],SMALL(IF(ISNUMBER(MATCH(bhpc_data[category],$EC$9,0)*MATCH(bhpc_data[sex],$EC$11,0)),MATCH(ROW(bhpc_data[sku]),ROW(bhpc_data[sku])),""),ROWS($A$15:A210)+$B$3)),INDEX(bhpc_data[sku],SMALL(IF(ISNUMBER(MATCH(bhpc_data[category],$EC$9,0)*MATCH(bhpc_data[sex],$EC$11,0)*MATCH(bhpc_data[size],$EC$13,0)),MATCH(ROW(bhpc_data[sku]),ROW(bhpc_data[sku])),""),ROWS($A$15:A210)+$B$3))))),"")</f>
        <v>X3TRFW</v>
      </c>
      <c r="EF205" s="440" t="str" cm="1">
        <f t="array" ref="EF205">IFERROR(IF($EC$9="",IF($EC$11="",IF($EC$13="",INDEX(bhpc_data[description],SMALL(MATCH(ROW(bhpc_data[sku]),ROW(bhpc_data[sku])),ROWS($A$15:A210)+$B$3)),INDEX(bhpc_data[description],SMALL(IF(ISNUMBER(MATCH(bhpc_data[size],$EC$13,0)),MATCH(ROW(bhpc_data[sku]),ROW(bhpc_data[sku])),""),ROWS($A$15:A210)+$B$3))),IF($EC$13="",INDEX(bhpc_data[description],SMALL(IF(ISNUMBER(MATCH(bhpc_data[sex],$EC$11,0)),MATCH(ROW(bhpc_data[sku]),ROW(bhpc_data[sku])),""),ROWS($A$15:A210)+$B$3)),INDEX(bhpc_data[description],SMALL(IF(ISNUMBER(MATCH(bhpc_data[sex],$EC$11,0)*MATCH(bhpc_data[size],$EC$13,0)),MATCH(ROW(bhpc_data[sku]),ROW(bhpc_data[sku])),""),ROWS($A$15:A210)+$B$3)))),IF($EC$11="",IF($EC$13="",INDEX(bhpc_data[description],SMALL(IF(ISNUMBER(MATCH(bhpc_data[category],$EC$9,0)),MATCH(ROW(bhpc_data[sku]),ROW(bhpc_data[sku])),""),ROWS($A$15:A210)+$B$3)),INDEX(bhpc_data[description],SMALL(IF(ISNUMBER(MATCH(bhpc_data[category],$EC$9,0)*MATCH(bhpc_data[size],$EC$13,0)),MATCH(ROW(bhpc_data[sku]),ROW(bhpc_data[sku])),""),ROWS($A$15:A210)+$B$3))),IF($EC$13="",INDEX(bhpc_data[description],SMALL(IF(ISNUMBER(MATCH(bhpc_data[category],$EC$9,0)*MATCH(bhpc_data[sex],$EC$11,0)),MATCH(ROW(bhpc_data[sku]),ROW(bhpc_data[sku])),""),ROWS($A$15:A210)+$B$3)),INDEX(bhpc_data[description],SMALL(IF(ISNUMBER(MATCH(bhpc_data[category],$EC$9,0)*MATCH(bhpc_data[sex],$EC$11,0)*MATCH(bhpc_data[size],$EC$13,0)),MATCH(ROW(bhpc_data[sku]),ROW(bhpc_data[sku])),""),ROWS($A$15:A210)+$B$3))))),"")</f>
        <v>BHPC TRAY GIFT BOX PRESTIGE WOMAN</v>
      </c>
      <c r="EG205" s="441">
        <f>IFERROR(IF('BHPC MANAGER'!$EE205="","",INDEX(inventory[ESISTENZA],MATCH('BHPC MANAGER'!$EE205,inventory[SKU],0))),0)</f>
        <v>0</v>
      </c>
      <c r="EH205" s="442" t="s">
        <v>861</v>
      </c>
      <c r="EI205" s="442">
        <f t="shared" si="19"/>
        <v>0</v>
      </c>
      <c r="EJ205" s="443" t="s">
        <v>861</v>
      </c>
      <c r="EK205" s="444">
        <f t="shared" si="20"/>
        <v>0</v>
      </c>
    </row>
    <row r="206" spans="63:141" x14ac:dyDescent="0.35">
      <c r="BK206" s="296"/>
      <c r="BL206" s="297"/>
      <c r="BM206" s="298"/>
      <c r="BN206" s="297"/>
      <c r="BO206" s="298"/>
      <c r="EE206" s="445" t="str" cm="1">
        <f t="array" ref="EE206">IFERROR(IF($EC$9="",IF($EC$11="",IF($EC$13="",INDEX(bhpc_data[sku],SMALL(MATCH(ROW(bhpc_data[sku]),ROW(bhpc_data[sku])),ROWS($A$15:A211)+$B$3)),INDEX(bhpc_data[sku],SMALL(IF(ISNUMBER(MATCH(bhpc_data[size],$EC$13,0)),MATCH(ROW(bhpc_data[sku]),ROW(bhpc_data[sku])),""),ROWS($A$15:A211)+$B$3))),IF($EC$13="",INDEX(bhpc_data[sku],SMALL(IF(ISNUMBER(MATCH(bhpc_data[sex],$EC$11,0)),MATCH(ROW(bhpc_data[sku]),ROW(bhpc_data[sku])),""),ROWS($A$15:A211)+$B$3)),INDEX(bhpc_data[sku],SMALL(IF(ISNUMBER(MATCH(bhpc_data[sex],$EC$11,0)*MATCH(bhpc_data[size],$EC$13,0)),MATCH(ROW(bhpc_data[sku]),ROW(bhpc_data[sku])),""),ROWS($A$15:A211)+$B$3)))),IF($EC$11="",IF($EC$13="",INDEX(bhpc_data[sku],SMALL(IF(ISNUMBER(MATCH(bhpc_data[category],$EC$9,0)),MATCH(ROW(bhpc_data[sku]),ROW(bhpc_data[sku])),""),ROWS($A$15:A211)+$B$3)),INDEX(bhpc_data[sku],SMALL(IF(ISNUMBER(MATCH(bhpc_data[category],$EC$9,0)*MATCH(bhpc_data[size],$EC$13,0)),MATCH(ROW(bhpc_data[sku]),ROW(bhpc_data[sku])),""),ROWS($A$15:A211)+$B$3))),IF($EC$13="",INDEX(bhpc_data[sku],SMALL(IF(ISNUMBER(MATCH(bhpc_data[category],$EC$9,0)*MATCH(bhpc_data[sex],$EC$11,0)),MATCH(ROW(bhpc_data[sku]),ROW(bhpc_data[sku])),""),ROWS($A$15:A211)+$B$3)),INDEX(bhpc_data[sku],SMALL(IF(ISNUMBER(MATCH(bhpc_data[category],$EC$9,0)*MATCH(bhpc_data[sex],$EC$11,0)*MATCH(bhpc_data[size],$EC$13,0)),MATCH(ROW(bhpc_data[sku]),ROW(bhpc_data[sku])),""),ROWS($A$15:A211)+$B$3))))),"")</f>
        <v>XB5068</v>
      </c>
      <c r="EF206" s="446" t="str" cm="1">
        <f t="array" ref="EF206">IFERROR(IF($EC$9="",IF($EC$11="",IF($EC$13="",INDEX(bhpc_data[description],SMALL(MATCH(ROW(bhpc_data[sku]),ROW(bhpc_data[sku])),ROWS($A$15:A211)+$B$3)),INDEX(bhpc_data[description],SMALL(IF(ISNUMBER(MATCH(bhpc_data[size],$EC$13,0)),MATCH(ROW(bhpc_data[sku]),ROW(bhpc_data[sku])),""),ROWS($A$15:A211)+$B$3))),IF($EC$13="",INDEX(bhpc_data[description],SMALL(IF(ISNUMBER(MATCH(bhpc_data[sex],$EC$11,0)),MATCH(ROW(bhpc_data[sku]),ROW(bhpc_data[sku])),""),ROWS($A$15:A211)+$B$3)),INDEX(bhpc_data[description],SMALL(IF(ISNUMBER(MATCH(bhpc_data[sex],$EC$11,0)*MATCH(bhpc_data[size],$EC$13,0)),MATCH(ROW(bhpc_data[sku]),ROW(bhpc_data[sku])),""),ROWS($A$15:A211)+$B$3)))),IF($EC$11="",IF($EC$13="",INDEX(bhpc_data[description],SMALL(IF(ISNUMBER(MATCH(bhpc_data[category],$EC$9,0)),MATCH(ROW(bhpc_data[sku]),ROW(bhpc_data[sku])),""),ROWS($A$15:A211)+$B$3)),INDEX(bhpc_data[description],SMALL(IF(ISNUMBER(MATCH(bhpc_data[category],$EC$9,0)*MATCH(bhpc_data[size],$EC$13,0)),MATCH(ROW(bhpc_data[sku]),ROW(bhpc_data[sku])),""),ROWS($A$15:A211)+$B$3))),IF($EC$13="",INDEX(bhpc_data[description],SMALL(IF(ISNUMBER(MATCH(bhpc_data[category],$EC$9,0)*MATCH(bhpc_data[sex],$EC$11,0)),MATCH(ROW(bhpc_data[sku]),ROW(bhpc_data[sku])),""),ROWS($A$15:A211)+$B$3)),INDEX(bhpc_data[description],SMALL(IF(ISNUMBER(MATCH(bhpc_data[category],$EC$9,0)*MATCH(bhpc_data[sex],$EC$11,0)*MATCH(bhpc_data[size],$EC$13,0)),MATCH(ROW(bhpc_data[sku]),ROW(bhpc_data[sku])),""),ROWS($A$15:A211)+$B$3))))),"")</f>
        <v>BHPC GS LINER BOTTOM MEN</v>
      </c>
      <c r="EG206" s="447">
        <f>IFERROR(IF('BHPC MANAGER'!$EE206="","",INDEX(inventory[ESISTENZA],MATCH('BHPC MANAGER'!$EE206,inventory[SKU],0))),0)</f>
        <v>0</v>
      </c>
      <c r="EH206" s="448" t="s">
        <v>861</v>
      </c>
      <c r="EI206" s="448">
        <f t="shared" si="19"/>
        <v>0</v>
      </c>
      <c r="EJ206" s="449" t="s">
        <v>861</v>
      </c>
      <c r="EK206" s="450">
        <f t="shared" si="20"/>
        <v>0</v>
      </c>
    </row>
    <row r="207" spans="63:141" x14ac:dyDescent="0.35">
      <c r="BK207" s="296"/>
      <c r="BL207" s="297"/>
      <c r="BM207" s="298"/>
      <c r="BN207" s="297"/>
      <c r="BO207" s="298"/>
      <c r="EE207" s="439" t="str" cm="1">
        <f t="array" ref="EE207">IFERROR(IF($EC$9="",IF($EC$11="",IF($EC$13="",INDEX(bhpc_data[sku],SMALL(MATCH(ROW(bhpc_data[sku]),ROW(bhpc_data[sku])),ROWS($A$15:A212)+$B$3)),INDEX(bhpc_data[sku],SMALL(IF(ISNUMBER(MATCH(bhpc_data[size],$EC$13,0)),MATCH(ROW(bhpc_data[sku]),ROW(bhpc_data[sku])),""),ROWS($A$15:A212)+$B$3))),IF($EC$13="",INDEX(bhpc_data[sku],SMALL(IF(ISNUMBER(MATCH(bhpc_data[sex],$EC$11,0)),MATCH(ROW(bhpc_data[sku]),ROW(bhpc_data[sku])),""),ROWS($A$15:A212)+$B$3)),INDEX(bhpc_data[sku],SMALL(IF(ISNUMBER(MATCH(bhpc_data[sex],$EC$11,0)*MATCH(bhpc_data[size],$EC$13,0)),MATCH(ROW(bhpc_data[sku]),ROW(bhpc_data[sku])),""),ROWS($A$15:A212)+$B$3)))),IF($EC$11="",IF($EC$13="",INDEX(bhpc_data[sku],SMALL(IF(ISNUMBER(MATCH(bhpc_data[category],$EC$9,0)),MATCH(ROW(bhpc_data[sku]),ROW(bhpc_data[sku])),""),ROWS($A$15:A212)+$B$3)),INDEX(bhpc_data[sku],SMALL(IF(ISNUMBER(MATCH(bhpc_data[category],$EC$9,0)*MATCH(bhpc_data[size],$EC$13,0)),MATCH(ROW(bhpc_data[sku]),ROW(bhpc_data[sku])),""),ROWS($A$15:A212)+$B$3))),IF($EC$13="",INDEX(bhpc_data[sku],SMALL(IF(ISNUMBER(MATCH(bhpc_data[category],$EC$9,0)*MATCH(bhpc_data[sex],$EC$11,0)),MATCH(ROW(bhpc_data[sku]),ROW(bhpc_data[sku])),""),ROWS($A$15:A212)+$B$3)),INDEX(bhpc_data[sku],SMALL(IF(ISNUMBER(MATCH(bhpc_data[category],$EC$9,0)*MATCH(bhpc_data[sex],$EC$11,0)*MATCH(bhpc_data[size],$EC$13,0)),MATCH(ROW(bhpc_data[sku]),ROW(bhpc_data[sku])),""),ROWS($A$15:A212)+$B$3))))),"")</f>
        <v>XB5072</v>
      </c>
      <c r="EF207" s="440" t="str" cm="1">
        <f t="array" ref="EF207">IFERROR(IF($EC$9="",IF($EC$11="",IF($EC$13="",INDEX(bhpc_data[description],SMALL(MATCH(ROW(bhpc_data[sku]),ROW(bhpc_data[sku])),ROWS($A$15:A212)+$B$3)),INDEX(bhpc_data[description],SMALL(IF(ISNUMBER(MATCH(bhpc_data[size],$EC$13,0)),MATCH(ROW(bhpc_data[sku]),ROW(bhpc_data[sku])),""),ROWS($A$15:A212)+$B$3))),IF($EC$13="",INDEX(bhpc_data[description],SMALL(IF(ISNUMBER(MATCH(bhpc_data[sex],$EC$11,0)),MATCH(ROW(bhpc_data[sku]),ROW(bhpc_data[sku])),""),ROWS($A$15:A212)+$B$3)),INDEX(bhpc_data[description],SMALL(IF(ISNUMBER(MATCH(bhpc_data[sex],$EC$11,0)*MATCH(bhpc_data[size],$EC$13,0)),MATCH(ROW(bhpc_data[sku]),ROW(bhpc_data[sku])),""),ROWS($A$15:A212)+$B$3)))),IF($EC$11="",IF($EC$13="",INDEX(bhpc_data[description],SMALL(IF(ISNUMBER(MATCH(bhpc_data[category],$EC$9,0)),MATCH(ROW(bhpc_data[sku]),ROW(bhpc_data[sku])),""),ROWS($A$15:A212)+$B$3)),INDEX(bhpc_data[description],SMALL(IF(ISNUMBER(MATCH(bhpc_data[category],$EC$9,0)*MATCH(bhpc_data[size],$EC$13,0)),MATCH(ROW(bhpc_data[sku]),ROW(bhpc_data[sku])),""),ROWS($A$15:A212)+$B$3))),IF($EC$13="",INDEX(bhpc_data[description],SMALL(IF(ISNUMBER(MATCH(bhpc_data[category],$EC$9,0)*MATCH(bhpc_data[sex],$EC$11,0)),MATCH(ROW(bhpc_data[sku]),ROW(bhpc_data[sku])),""),ROWS($A$15:A212)+$B$3)),INDEX(bhpc_data[description],SMALL(IF(ISNUMBER(MATCH(bhpc_data[category],$EC$9,0)*MATCH(bhpc_data[sex],$EC$11,0)*MATCH(bhpc_data[size],$EC$13,0)),MATCH(ROW(bhpc_data[sku]),ROW(bhpc_data[sku])),""),ROWS($A$15:A212)+$B$3))))),"")</f>
        <v>BHPC GS LINER BOTTOM WOMEN</v>
      </c>
      <c r="EG207" s="441">
        <f>IFERROR(IF('BHPC MANAGER'!$EE207="","",INDEX(inventory[ESISTENZA],MATCH('BHPC MANAGER'!$EE207,inventory[SKU],0))),0)</f>
        <v>0</v>
      </c>
      <c r="EH207" s="442" t="s">
        <v>861</v>
      </c>
      <c r="EI207" s="442">
        <f t="shared" si="19"/>
        <v>0</v>
      </c>
      <c r="EJ207" s="443" t="s">
        <v>861</v>
      </c>
      <c r="EK207" s="444">
        <f t="shared" si="20"/>
        <v>0</v>
      </c>
    </row>
    <row r="208" spans="63:141" x14ac:dyDescent="0.35">
      <c r="BK208" s="296"/>
      <c r="BL208" s="297"/>
      <c r="BM208" s="298"/>
      <c r="BN208" s="297"/>
      <c r="BO208" s="298"/>
      <c r="EE208" s="445" t="str" cm="1">
        <f t="array" ref="EE208">IFERROR(IF($EC$9="",IF($EC$11="",IF($EC$13="",INDEX(bhpc_data[sku],SMALL(MATCH(ROW(bhpc_data[sku]),ROW(bhpc_data[sku])),ROWS($A$15:A213)+$B$3)),INDEX(bhpc_data[sku],SMALL(IF(ISNUMBER(MATCH(bhpc_data[size],$EC$13,0)),MATCH(ROW(bhpc_data[sku]),ROW(bhpc_data[sku])),""),ROWS($A$15:A213)+$B$3))),IF($EC$13="",INDEX(bhpc_data[sku],SMALL(IF(ISNUMBER(MATCH(bhpc_data[sex],$EC$11,0)),MATCH(ROW(bhpc_data[sku]),ROW(bhpc_data[sku])),""),ROWS($A$15:A213)+$B$3)),INDEX(bhpc_data[sku],SMALL(IF(ISNUMBER(MATCH(bhpc_data[sex],$EC$11,0)*MATCH(bhpc_data[size],$EC$13,0)),MATCH(ROW(bhpc_data[sku]),ROW(bhpc_data[sku])),""),ROWS($A$15:A213)+$B$3)))),IF($EC$11="",IF($EC$13="",INDEX(bhpc_data[sku],SMALL(IF(ISNUMBER(MATCH(bhpc_data[category],$EC$9,0)),MATCH(ROW(bhpc_data[sku]),ROW(bhpc_data[sku])),""),ROWS($A$15:A213)+$B$3)),INDEX(bhpc_data[sku],SMALL(IF(ISNUMBER(MATCH(bhpc_data[category],$EC$9,0)*MATCH(bhpc_data[size],$EC$13,0)),MATCH(ROW(bhpc_data[sku]),ROW(bhpc_data[sku])),""),ROWS($A$15:A213)+$B$3))),IF($EC$13="",INDEX(bhpc_data[sku],SMALL(IF(ISNUMBER(MATCH(bhpc_data[category],$EC$9,0)*MATCH(bhpc_data[sex],$EC$11,0)),MATCH(ROW(bhpc_data[sku]),ROW(bhpc_data[sku])),""),ROWS($A$15:A213)+$B$3)),INDEX(bhpc_data[sku],SMALL(IF(ISNUMBER(MATCH(bhpc_data[category],$EC$9,0)*MATCH(bhpc_data[sex],$EC$11,0)*MATCH(bhpc_data[size],$EC$13,0)),MATCH(ROW(bhpc_data[sku]),ROW(bhpc_data[sku])),""),ROWS($A$15:A213)+$B$3))))),"")</f>
        <v>XT5068</v>
      </c>
      <c r="EF208" s="446" t="str" cm="1">
        <f t="array" ref="EF208">IFERROR(IF($EC$9="",IF($EC$11="",IF($EC$13="",INDEX(bhpc_data[description],SMALL(MATCH(ROW(bhpc_data[sku]),ROW(bhpc_data[sku])),ROWS($A$15:A213)+$B$3)),INDEX(bhpc_data[description],SMALL(IF(ISNUMBER(MATCH(bhpc_data[size],$EC$13,0)),MATCH(ROW(bhpc_data[sku]),ROW(bhpc_data[sku])),""),ROWS($A$15:A213)+$B$3))),IF($EC$13="",INDEX(bhpc_data[description],SMALL(IF(ISNUMBER(MATCH(bhpc_data[sex],$EC$11,0)),MATCH(ROW(bhpc_data[sku]),ROW(bhpc_data[sku])),""),ROWS($A$15:A213)+$B$3)),INDEX(bhpc_data[description],SMALL(IF(ISNUMBER(MATCH(bhpc_data[sex],$EC$11,0)*MATCH(bhpc_data[size],$EC$13,0)),MATCH(ROW(bhpc_data[sku]),ROW(bhpc_data[sku])),""),ROWS($A$15:A213)+$B$3)))),IF($EC$11="",IF($EC$13="",INDEX(bhpc_data[description],SMALL(IF(ISNUMBER(MATCH(bhpc_data[category],$EC$9,0)),MATCH(ROW(bhpc_data[sku]),ROW(bhpc_data[sku])),""),ROWS($A$15:A213)+$B$3)),INDEX(bhpc_data[description],SMALL(IF(ISNUMBER(MATCH(bhpc_data[category],$EC$9,0)*MATCH(bhpc_data[size],$EC$13,0)),MATCH(ROW(bhpc_data[sku]),ROW(bhpc_data[sku])),""),ROWS($A$15:A213)+$B$3))),IF($EC$13="",INDEX(bhpc_data[description],SMALL(IF(ISNUMBER(MATCH(bhpc_data[category],$EC$9,0)*MATCH(bhpc_data[sex],$EC$11,0)),MATCH(ROW(bhpc_data[sku]),ROW(bhpc_data[sku])),""),ROWS($A$15:A213)+$B$3)),INDEX(bhpc_data[description],SMALL(IF(ISNUMBER(MATCH(bhpc_data[category],$EC$9,0)*MATCH(bhpc_data[sex],$EC$11,0)*MATCH(bhpc_data[size],$EC$13,0)),MATCH(ROW(bhpc_data[sku]),ROW(bhpc_data[sku])),""),ROWS($A$15:A213)+$B$3))))),"")</f>
        <v>BHPC GS LINER TOP MEN</v>
      </c>
      <c r="EG208" s="447">
        <f>IFERROR(IF('BHPC MANAGER'!$EE208="","",INDEX(inventory[ESISTENZA],MATCH('BHPC MANAGER'!$EE208,inventory[SKU],0))),0)</f>
        <v>0</v>
      </c>
      <c r="EH208" s="448" t="s">
        <v>861</v>
      </c>
      <c r="EI208" s="448">
        <f t="shared" si="19"/>
        <v>0</v>
      </c>
      <c r="EJ208" s="449" t="s">
        <v>861</v>
      </c>
      <c r="EK208" s="450">
        <f t="shared" si="20"/>
        <v>0</v>
      </c>
    </row>
    <row r="209" spans="63:141" x14ac:dyDescent="0.35">
      <c r="BK209" s="296"/>
      <c r="BL209" s="297"/>
      <c r="BM209" s="298"/>
      <c r="BN209" s="297"/>
      <c r="BO209" s="298"/>
      <c r="EE209" s="439" t="str" cm="1">
        <f t="array" ref="EE209">IFERROR(IF($EC$9="",IF($EC$11="",IF($EC$13="",INDEX(bhpc_data[sku],SMALL(MATCH(ROW(bhpc_data[sku]),ROW(bhpc_data[sku])),ROWS($A$15:A214)+$B$3)),INDEX(bhpc_data[sku],SMALL(IF(ISNUMBER(MATCH(bhpc_data[size],$EC$13,0)),MATCH(ROW(bhpc_data[sku]),ROW(bhpc_data[sku])),""),ROWS($A$15:A214)+$B$3))),IF($EC$13="",INDEX(bhpc_data[sku],SMALL(IF(ISNUMBER(MATCH(bhpc_data[sex],$EC$11,0)),MATCH(ROW(bhpc_data[sku]),ROW(bhpc_data[sku])),""),ROWS($A$15:A214)+$B$3)),INDEX(bhpc_data[sku],SMALL(IF(ISNUMBER(MATCH(bhpc_data[sex],$EC$11,0)*MATCH(bhpc_data[size],$EC$13,0)),MATCH(ROW(bhpc_data[sku]),ROW(bhpc_data[sku])),""),ROWS($A$15:A214)+$B$3)))),IF($EC$11="",IF($EC$13="",INDEX(bhpc_data[sku],SMALL(IF(ISNUMBER(MATCH(bhpc_data[category],$EC$9,0)),MATCH(ROW(bhpc_data[sku]),ROW(bhpc_data[sku])),""),ROWS($A$15:A214)+$B$3)),INDEX(bhpc_data[sku],SMALL(IF(ISNUMBER(MATCH(bhpc_data[category],$EC$9,0)*MATCH(bhpc_data[size],$EC$13,0)),MATCH(ROW(bhpc_data[sku]),ROW(bhpc_data[sku])),""),ROWS($A$15:A214)+$B$3))),IF($EC$13="",INDEX(bhpc_data[sku],SMALL(IF(ISNUMBER(MATCH(bhpc_data[category],$EC$9,0)*MATCH(bhpc_data[sex],$EC$11,0)),MATCH(ROW(bhpc_data[sku]),ROW(bhpc_data[sku])),""),ROWS($A$15:A214)+$B$3)),INDEX(bhpc_data[sku],SMALL(IF(ISNUMBER(MATCH(bhpc_data[category],$EC$9,0)*MATCH(bhpc_data[sex],$EC$11,0)*MATCH(bhpc_data[size],$EC$13,0)),MATCH(ROW(bhpc_data[sku]),ROW(bhpc_data[sku])),""),ROWS($A$15:A214)+$B$3))))),"")</f>
        <v>XT5072</v>
      </c>
      <c r="EF209" s="440" t="str" cm="1">
        <f t="array" ref="EF209">IFERROR(IF($EC$9="",IF($EC$11="",IF($EC$13="",INDEX(bhpc_data[description],SMALL(MATCH(ROW(bhpc_data[sku]),ROW(bhpc_data[sku])),ROWS($A$15:A214)+$B$3)),INDEX(bhpc_data[description],SMALL(IF(ISNUMBER(MATCH(bhpc_data[size],$EC$13,0)),MATCH(ROW(bhpc_data[sku]),ROW(bhpc_data[sku])),""),ROWS($A$15:A214)+$B$3))),IF($EC$13="",INDEX(bhpc_data[description],SMALL(IF(ISNUMBER(MATCH(bhpc_data[sex],$EC$11,0)),MATCH(ROW(bhpc_data[sku]),ROW(bhpc_data[sku])),""),ROWS($A$15:A214)+$B$3)),INDEX(bhpc_data[description],SMALL(IF(ISNUMBER(MATCH(bhpc_data[sex],$EC$11,0)*MATCH(bhpc_data[size],$EC$13,0)),MATCH(ROW(bhpc_data[sku]),ROW(bhpc_data[sku])),""),ROWS($A$15:A214)+$B$3)))),IF($EC$11="",IF($EC$13="",INDEX(bhpc_data[description],SMALL(IF(ISNUMBER(MATCH(bhpc_data[category],$EC$9,0)),MATCH(ROW(bhpc_data[sku]),ROW(bhpc_data[sku])),""),ROWS($A$15:A214)+$B$3)),INDEX(bhpc_data[description],SMALL(IF(ISNUMBER(MATCH(bhpc_data[category],$EC$9,0)*MATCH(bhpc_data[size],$EC$13,0)),MATCH(ROW(bhpc_data[sku]),ROW(bhpc_data[sku])),""),ROWS($A$15:A214)+$B$3))),IF($EC$13="",INDEX(bhpc_data[description],SMALL(IF(ISNUMBER(MATCH(bhpc_data[category],$EC$9,0)*MATCH(bhpc_data[sex],$EC$11,0)),MATCH(ROW(bhpc_data[sku]),ROW(bhpc_data[sku])),""),ROWS($A$15:A214)+$B$3)),INDEX(bhpc_data[description],SMALL(IF(ISNUMBER(MATCH(bhpc_data[category],$EC$9,0)*MATCH(bhpc_data[sex],$EC$11,0)*MATCH(bhpc_data[size],$EC$13,0)),MATCH(ROW(bhpc_data[sku]),ROW(bhpc_data[sku])),""),ROWS($A$15:A214)+$B$3))))),"")</f>
        <v>BHPC GS LINER TOP WOMEN</v>
      </c>
      <c r="EG209" s="441">
        <f>IFERROR(IF('BHPC MANAGER'!$EE209="","",INDEX(inventory[ESISTENZA],MATCH('BHPC MANAGER'!$EE209,inventory[SKU],0))),0)</f>
        <v>0</v>
      </c>
      <c r="EH209" s="442" t="s">
        <v>861</v>
      </c>
      <c r="EI209" s="442">
        <f t="shared" si="19"/>
        <v>0</v>
      </c>
      <c r="EJ209" s="443" t="s">
        <v>861</v>
      </c>
      <c r="EK209" s="444">
        <f t="shared" si="20"/>
        <v>0</v>
      </c>
    </row>
    <row r="210" spans="63:141" x14ac:dyDescent="0.35">
      <c r="BK210" s="296"/>
      <c r="BL210" s="297"/>
      <c r="BM210" s="298"/>
      <c r="BN210" s="297"/>
      <c r="BO210" s="298"/>
      <c r="EE210" s="445" t="str" cm="1">
        <f t="array" ref="EE210">IFERROR(IF($EC$9="",IF($EC$11="",IF($EC$13="",INDEX(bhpc_data[sku],SMALL(MATCH(ROW(bhpc_data[sku]),ROW(bhpc_data[sku])),ROWS($A$15:A215)+$B$3)),INDEX(bhpc_data[sku],SMALL(IF(ISNUMBER(MATCH(bhpc_data[size],$EC$13,0)),MATCH(ROW(bhpc_data[sku]),ROW(bhpc_data[sku])),""),ROWS($A$15:A215)+$B$3))),IF($EC$13="",INDEX(bhpc_data[sku],SMALL(IF(ISNUMBER(MATCH(bhpc_data[sex],$EC$11,0)),MATCH(ROW(bhpc_data[sku]),ROW(bhpc_data[sku])),""),ROWS($A$15:A215)+$B$3)),INDEX(bhpc_data[sku],SMALL(IF(ISNUMBER(MATCH(bhpc_data[sex],$EC$11,0)*MATCH(bhpc_data[size],$EC$13,0)),MATCH(ROW(bhpc_data[sku]),ROW(bhpc_data[sku])),""),ROWS($A$15:A215)+$B$3)))),IF($EC$11="",IF($EC$13="",INDEX(bhpc_data[sku],SMALL(IF(ISNUMBER(MATCH(bhpc_data[category],$EC$9,0)),MATCH(ROW(bhpc_data[sku]),ROW(bhpc_data[sku])),""),ROWS($A$15:A215)+$B$3)),INDEX(bhpc_data[sku],SMALL(IF(ISNUMBER(MATCH(bhpc_data[category],$EC$9,0)*MATCH(bhpc_data[size],$EC$13,0)),MATCH(ROW(bhpc_data[sku]),ROW(bhpc_data[sku])),""),ROWS($A$15:A215)+$B$3))),IF($EC$13="",INDEX(bhpc_data[sku],SMALL(IF(ISNUMBER(MATCH(bhpc_data[category],$EC$9,0)*MATCH(bhpc_data[sex],$EC$11,0)),MATCH(ROW(bhpc_data[sku]),ROW(bhpc_data[sku])),""),ROWS($A$15:A215)+$B$3)),INDEX(bhpc_data[sku],SMALL(IF(ISNUMBER(MATCH(bhpc_data[category],$EC$9,0)*MATCH(bhpc_data[sex],$EC$11,0)*MATCH(bhpc_data[size],$EC$13,0)),MATCH(ROW(bhpc_data[sku]),ROW(bhpc_data[sku])),""),ROWS($A$15:A215)+$B$3))))),"")</f>
        <v>Y00001</v>
      </c>
      <c r="EF210" s="446" t="str" cm="1">
        <f t="array" ref="EF210">IFERROR(IF($EC$9="",IF($EC$11="",IF($EC$13="",INDEX(bhpc_data[description],SMALL(MATCH(ROW(bhpc_data[sku]),ROW(bhpc_data[sku])),ROWS($A$15:A215)+$B$3)),INDEX(bhpc_data[description],SMALL(IF(ISNUMBER(MATCH(bhpc_data[size],$EC$13,0)),MATCH(ROW(bhpc_data[sku]),ROW(bhpc_data[sku])),""),ROWS($A$15:A215)+$B$3))),IF($EC$13="",INDEX(bhpc_data[description],SMALL(IF(ISNUMBER(MATCH(bhpc_data[sex],$EC$11,0)),MATCH(ROW(bhpc_data[sku]),ROW(bhpc_data[sku])),""),ROWS($A$15:A215)+$B$3)),INDEX(bhpc_data[description],SMALL(IF(ISNUMBER(MATCH(bhpc_data[sex],$EC$11,0)*MATCH(bhpc_data[size],$EC$13,0)),MATCH(ROW(bhpc_data[sku]),ROW(bhpc_data[sku])),""),ROWS($A$15:A215)+$B$3)))),IF($EC$11="",IF($EC$13="",INDEX(bhpc_data[description],SMALL(IF(ISNUMBER(MATCH(bhpc_data[category],$EC$9,0)),MATCH(ROW(bhpc_data[sku]),ROW(bhpc_data[sku])),""),ROWS($A$15:A215)+$B$3)),INDEX(bhpc_data[description],SMALL(IF(ISNUMBER(MATCH(bhpc_data[category],$EC$9,0)*MATCH(bhpc_data[size],$EC$13,0)),MATCH(ROW(bhpc_data[sku]),ROW(bhpc_data[sku])),""),ROWS($A$15:A215)+$B$3))),IF($EC$13="",INDEX(bhpc_data[description],SMALL(IF(ISNUMBER(MATCH(bhpc_data[category],$EC$9,0)*MATCH(bhpc_data[sex],$EC$11,0)),MATCH(ROW(bhpc_data[sku]),ROW(bhpc_data[sku])),""),ROWS($A$15:A215)+$B$3)),INDEX(bhpc_data[description],SMALL(IF(ISNUMBER(MATCH(bhpc_data[category],$EC$9,0)*MATCH(bhpc_data[sex],$EC$11,0)*MATCH(bhpc_data[size],$EC$13,0)),MATCH(ROW(bhpc_data[sku]),ROW(bhpc_data[sku])),""),ROWS($A$15:A215)+$B$3))))),"")</f>
        <v>YA2302A BHPC SUNGLASSES RUBB. BLACK / SOLID GREY</v>
      </c>
      <c r="EG210" s="447">
        <f>IFERROR(IF('BHPC MANAGER'!$EE210="","",INDEX(inventory[ESISTENZA],MATCH('BHPC MANAGER'!$EE210,inventory[SKU],0))),0)</f>
        <v>267</v>
      </c>
      <c r="EH210" s="448">
        <v>-5</v>
      </c>
      <c r="EI210" s="448">
        <f t="shared" si="19"/>
        <v>262</v>
      </c>
      <c r="EJ210" s="449">
        <v>0</v>
      </c>
      <c r="EK210" s="450">
        <f t="shared" si="20"/>
        <v>262</v>
      </c>
    </row>
    <row r="211" spans="63:141" x14ac:dyDescent="0.35">
      <c r="BK211" s="296"/>
      <c r="BL211" s="297"/>
      <c r="BM211" s="298"/>
      <c r="BN211" s="297"/>
      <c r="BO211" s="298"/>
      <c r="EE211" s="439" t="str" cm="1">
        <f t="array" ref="EE211">IFERROR(IF($EC$9="",IF($EC$11="",IF($EC$13="",INDEX(bhpc_data[sku],SMALL(MATCH(ROW(bhpc_data[sku]),ROW(bhpc_data[sku])),ROWS($A$15:A216)+$B$3)),INDEX(bhpc_data[sku],SMALL(IF(ISNUMBER(MATCH(bhpc_data[size],$EC$13,0)),MATCH(ROW(bhpc_data[sku]),ROW(bhpc_data[sku])),""),ROWS($A$15:A216)+$B$3))),IF($EC$13="",INDEX(bhpc_data[sku],SMALL(IF(ISNUMBER(MATCH(bhpc_data[sex],$EC$11,0)),MATCH(ROW(bhpc_data[sku]),ROW(bhpc_data[sku])),""),ROWS($A$15:A216)+$B$3)),INDEX(bhpc_data[sku],SMALL(IF(ISNUMBER(MATCH(bhpc_data[sex],$EC$11,0)*MATCH(bhpc_data[size],$EC$13,0)),MATCH(ROW(bhpc_data[sku]),ROW(bhpc_data[sku])),""),ROWS($A$15:A216)+$B$3)))),IF($EC$11="",IF($EC$13="",INDEX(bhpc_data[sku],SMALL(IF(ISNUMBER(MATCH(bhpc_data[category],$EC$9,0)),MATCH(ROW(bhpc_data[sku]),ROW(bhpc_data[sku])),""),ROWS($A$15:A216)+$B$3)),INDEX(bhpc_data[sku],SMALL(IF(ISNUMBER(MATCH(bhpc_data[category],$EC$9,0)*MATCH(bhpc_data[size],$EC$13,0)),MATCH(ROW(bhpc_data[sku]),ROW(bhpc_data[sku])),""),ROWS($A$15:A216)+$B$3))),IF($EC$13="",INDEX(bhpc_data[sku],SMALL(IF(ISNUMBER(MATCH(bhpc_data[category],$EC$9,0)*MATCH(bhpc_data[sex],$EC$11,0)),MATCH(ROW(bhpc_data[sku]),ROW(bhpc_data[sku])),""),ROWS($A$15:A216)+$B$3)),INDEX(bhpc_data[sku],SMALL(IF(ISNUMBER(MATCH(bhpc_data[category],$EC$9,0)*MATCH(bhpc_data[sex],$EC$11,0)*MATCH(bhpc_data[size],$EC$13,0)),MATCH(ROW(bhpc_data[sku]),ROW(bhpc_data[sku])),""),ROWS($A$15:A216)+$B$3))))),"")</f>
        <v>Y00002</v>
      </c>
      <c r="EF211" s="440" t="str" cm="1">
        <f t="array" ref="EF211">IFERROR(IF($EC$9="",IF($EC$11="",IF($EC$13="",INDEX(bhpc_data[description],SMALL(MATCH(ROW(bhpc_data[sku]),ROW(bhpc_data[sku])),ROWS($A$15:A216)+$B$3)),INDEX(bhpc_data[description],SMALL(IF(ISNUMBER(MATCH(bhpc_data[size],$EC$13,0)),MATCH(ROW(bhpc_data[sku]),ROW(bhpc_data[sku])),""),ROWS($A$15:A216)+$B$3))),IF($EC$13="",INDEX(bhpc_data[description],SMALL(IF(ISNUMBER(MATCH(bhpc_data[sex],$EC$11,0)),MATCH(ROW(bhpc_data[sku]),ROW(bhpc_data[sku])),""),ROWS($A$15:A216)+$B$3)),INDEX(bhpc_data[description],SMALL(IF(ISNUMBER(MATCH(bhpc_data[sex],$EC$11,0)*MATCH(bhpc_data[size],$EC$13,0)),MATCH(ROW(bhpc_data[sku]),ROW(bhpc_data[sku])),""),ROWS($A$15:A216)+$B$3)))),IF($EC$11="",IF($EC$13="",INDEX(bhpc_data[description],SMALL(IF(ISNUMBER(MATCH(bhpc_data[category],$EC$9,0)),MATCH(ROW(bhpc_data[sku]),ROW(bhpc_data[sku])),""),ROWS($A$15:A216)+$B$3)),INDEX(bhpc_data[description],SMALL(IF(ISNUMBER(MATCH(bhpc_data[category],$EC$9,0)*MATCH(bhpc_data[size],$EC$13,0)),MATCH(ROW(bhpc_data[sku]),ROW(bhpc_data[sku])),""),ROWS($A$15:A216)+$B$3))),IF($EC$13="",INDEX(bhpc_data[description],SMALL(IF(ISNUMBER(MATCH(bhpc_data[category],$EC$9,0)*MATCH(bhpc_data[sex],$EC$11,0)),MATCH(ROW(bhpc_data[sku]),ROW(bhpc_data[sku])),""),ROWS($A$15:A216)+$B$3)),INDEX(bhpc_data[description],SMALL(IF(ISNUMBER(MATCH(bhpc_data[category],$EC$9,0)*MATCH(bhpc_data[sex],$EC$11,0)*MATCH(bhpc_data[size],$EC$13,0)),MATCH(ROW(bhpc_data[sku]),ROW(bhpc_data[sku])),""),ROWS($A$15:A216)+$B$3))))),"")</f>
        <v>YA2302B BHPC SUNGLASSES RUBB. BLUE/ SOLID SMOKE</v>
      </c>
      <c r="EG211" s="441">
        <f>IFERROR(IF('BHPC MANAGER'!$EE211="","",INDEX(inventory[ESISTENZA],MATCH('BHPC MANAGER'!$EE211,inventory[SKU],0))),0)</f>
        <v>268</v>
      </c>
      <c r="EH211" s="442">
        <v>-5</v>
      </c>
      <c r="EI211" s="442">
        <f t="shared" si="19"/>
        <v>263</v>
      </c>
      <c r="EJ211" s="443">
        <v>0</v>
      </c>
      <c r="EK211" s="444">
        <f t="shared" si="20"/>
        <v>263</v>
      </c>
    </row>
    <row r="212" spans="63:141" x14ac:dyDescent="0.35">
      <c r="BK212" s="296"/>
      <c r="BL212" s="297"/>
      <c r="BM212" s="298"/>
      <c r="BN212" s="297"/>
      <c r="BO212" s="298"/>
      <c r="EE212" s="445" t="str" cm="1">
        <f t="array" ref="EE212">IFERROR(IF($EC$9="",IF($EC$11="",IF($EC$13="",INDEX(bhpc_data[sku],SMALL(MATCH(ROW(bhpc_data[sku]),ROW(bhpc_data[sku])),ROWS($A$15:A217)+$B$3)),INDEX(bhpc_data[sku],SMALL(IF(ISNUMBER(MATCH(bhpc_data[size],$EC$13,0)),MATCH(ROW(bhpc_data[sku]),ROW(bhpc_data[sku])),""),ROWS($A$15:A217)+$B$3))),IF($EC$13="",INDEX(bhpc_data[sku],SMALL(IF(ISNUMBER(MATCH(bhpc_data[sex],$EC$11,0)),MATCH(ROW(bhpc_data[sku]),ROW(bhpc_data[sku])),""),ROWS($A$15:A217)+$B$3)),INDEX(bhpc_data[sku],SMALL(IF(ISNUMBER(MATCH(bhpc_data[sex],$EC$11,0)*MATCH(bhpc_data[size],$EC$13,0)),MATCH(ROW(bhpc_data[sku]),ROW(bhpc_data[sku])),""),ROWS($A$15:A217)+$B$3)))),IF($EC$11="",IF($EC$13="",INDEX(bhpc_data[sku],SMALL(IF(ISNUMBER(MATCH(bhpc_data[category],$EC$9,0)),MATCH(ROW(bhpc_data[sku]),ROW(bhpc_data[sku])),""),ROWS($A$15:A217)+$B$3)),INDEX(bhpc_data[sku],SMALL(IF(ISNUMBER(MATCH(bhpc_data[category],$EC$9,0)*MATCH(bhpc_data[size],$EC$13,0)),MATCH(ROW(bhpc_data[sku]),ROW(bhpc_data[sku])),""),ROWS($A$15:A217)+$B$3))),IF($EC$13="",INDEX(bhpc_data[sku],SMALL(IF(ISNUMBER(MATCH(bhpc_data[category],$EC$9,0)*MATCH(bhpc_data[sex],$EC$11,0)),MATCH(ROW(bhpc_data[sku]),ROW(bhpc_data[sku])),""),ROWS($A$15:A217)+$B$3)),INDEX(bhpc_data[sku],SMALL(IF(ISNUMBER(MATCH(bhpc_data[category],$EC$9,0)*MATCH(bhpc_data[sex],$EC$11,0)*MATCH(bhpc_data[size],$EC$13,0)),MATCH(ROW(bhpc_data[sku]),ROW(bhpc_data[sku])),""),ROWS($A$15:A217)+$B$3))))),"")</f>
        <v>Y00003</v>
      </c>
      <c r="EF212" s="446" t="str" cm="1">
        <f t="array" ref="EF212">IFERROR(IF($EC$9="",IF($EC$11="",IF($EC$13="",INDEX(bhpc_data[description],SMALL(MATCH(ROW(bhpc_data[sku]),ROW(bhpc_data[sku])),ROWS($A$15:A217)+$B$3)),INDEX(bhpc_data[description],SMALL(IF(ISNUMBER(MATCH(bhpc_data[size],$EC$13,0)),MATCH(ROW(bhpc_data[sku]),ROW(bhpc_data[sku])),""),ROWS($A$15:A217)+$B$3))),IF($EC$13="",INDEX(bhpc_data[description],SMALL(IF(ISNUMBER(MATCH(bhpc_data[sex],$EC$11,0)),MATCH(ROW(bhpc_data[sku]),ROW(bhpc_data[sku])),""),ROWS($A$15:A217)+$B$3)),INDEX(bhpc_data[description],SMALL(IF(ISNUMBER(MATCH(bhpc_data[sex],$EC$11,0)*MATCH(bhpc_data[size],$EC$13,0)),MATCH(ROW(bhpc_data[sku]),ROW(bhpc_data[sku])),""),ROWS($A$15:A217)+$B$3)))),IF($EC$11="",IF($EC$13="",INDEX(bhpc_data[description],SMALL(IF(ISNUMBER(MATCH(bhpc_data[category],$EC$9,0)),MATCH(ROW(bhpc_data[sku]),ROW(bhpc_data[sku])),""),ROWS($A$15:A217)+$B$3)),INDEX(bhpc_data[description],SMALL(IF(ISNUMBER(MATCH(bhpc_data[category],$EC$9,0)*MATCH(bhpc_data[size],$EC$13,0)),MATCH(ROW(bhpc_data[sku]),ROW(bhpc_data[sku])),""),ROWS($A$15:A217)+$B$3))),IF($EC$13="",INDEX(bhpc_data[description],SMALL(IF(ISNUMBER(MATCH(bhpc_data[category],$EC$9,0)*MATCH(bhpc_data[sex],$EC$11,0)),MATCH(ROW(bhpc_data[sku]),ROW(bhpc_data[sku])),""),ROWS($A$15:A217)+$B$3)),INDEX(bhpc_data[description],SMALL(IF(ISNUMBER(MATCH(bhpc_data[category],$EC$9,0)*MATCH(bhpc_data[sex],$EC$11,0)*MATCH(bhpc_data[size],$EC$13,0)),MATCH(ROW(bhpc_data[sku]),ROW(bhpc_data[sku])),""),ROWS($A$15:A217)+$B$3))))),"")</f>
        <v>YA2302C BHPC SUNGLASSES RUBB. BLACK / MIRROR ICY</v>
      </c>
      <c r="EG212" s="447">
        <f>IFERROR(IF('BHPC MANAGER'!$EE212="","",INDEX(inventory[ESISTENZA],MATCH('BHPC MANAGER'!$EE212,inventory[SKU],0))),0)</f>
        <v>247</v>
      </c>
      <c r="EH212" s="448">
        <v>-5</v>
      </c>
      <c r="EI212" s="448">
        <f t="shared" si="19"/>
        <v>242</v>
      </c>
      <c r="EJ212" s="449">
        <v>0</v>
      </c>
      <c r="EK212" s="450">
        <f t="shared" si="20"/>
        <v>242</v>
      </c>
    </row>
    <row r="213" spans="63:141" x14ac:dyDescent="0.35">
      <c r="BK213" s="296"/>
      <c r="BL213" s="297"/>
      <c r="BM213" s="298"/>
      <c r="BN213" s="297"/>
      <c r="BO213" s="298"/>
      <c r="EE213" s="439" t="str" cm="1">
        <f t="array" ref="EE213">IFERROR(IF($EC$9="",IF($EC$11="",IF($EC$13="",INDEX(bhpc_data[sku],SMALL(MATCH(ROW(bhpc_data[sku]),ROW(bhpc_data[sku])),ROWS($A$15:A218)+$B$3)),INDEX(bhpc_data[sku],SMALL(IF(ISNUMBER(MATCH(bhpc_data[size],$EC$13,0)),MATCH(ROW(bhpc_data[sku]),ROW(bhpc_data[sku])),""),ROWS($A$15:A218)+$B$3))),IF($EC$13="",INDEX(bhpc_data[sku],SMALL(IF(ISNUMBER(MATCH(bhpc_data[sex],$EC$11,0)),MATCH(ROW(bhpc_data[sku]),ROW(bhpc_data[sku])),""),ROWS($A$15:A218)+$B$3)),INDEX(bhpc_data[sku],SMALL(IF(ISNUMBER(MATCH(bhpc_data[sex],$EC$11,0)*MATCH(bhpc_data[size],$EC$13,0)),MATCH(ROW(bhpc_data[sku]),ROW(bhpc_data[sku])),""),ROWS($A$15:A218)+$B$3)))),IF($EC$11="",IF($EC$13="",INDEX(bhpc_data[sku],SMALL(IF(ISNUMBER(MATCH(bhpc_data[category],$EC$9,0)),MATCH(ROW(bhpc_data[sku]),ROW(bhpc_data[sku])),""),ROWS($A$15:A218)+$B$3)),INDEX(bhpc_data[sku],SMALL(IF(ISNUMBER(MATCH(bhpc_data[category],$EC$9,0)*MATCH(bhpc_data[size],$EC$13,0)),MATCH(ROW(bhpc_data[sku]),ROW(bhpc_data[sku])),""),ROWS($A$15:A218)+$B$3))),IF($EC$13="",INDEX(bhpc_data[sku],SMALL(IF(ISNUMBER(MATCH(bhpc_data[category],$EC$9,0)*MATCH(bhpc_data[sex],$EC$11,0)),MATCH(ROW(bhpc_data[sku]),ROW(bhpc_data[sku])),""),ROWS($A$15:A218)+$B$3)),INDEX(bhpc_data[sku],SMALL(IF(ISNUMBER(MATCH(bhpc_data[category],$EC$9,0)*MATCH(bhpc_data[sex],$EC$11,0)*MATCH(bhpc_data[size],$EC$13,0)),MATCH(ROW(bhpc_data[sku]),ROW(bhpc_data[sku])),""),ROWS($A$15:A218)+$B$3))))),"")</f>
        <v>Y00004</v>
      </c>
      <c r="EF213" s="440" t="str" cm="1">
        <f t="array" ref="EF213">IFERROR(IF($EC$9="",IF($EC$11="",IF($EC$13="",INDEX(bhpc_data[description],SMALL(MATCH(ROW(bhpc_data[sku]),ROW(bhpc_data[sku])),ROWS($A$15:A218)+$B$3)),INDEX(bhpc_data[description],SMALL(IF(ISNUMBER(MATCH(bhpc_data[size],$EC$13,0)),MATCH(ROW(bhpc_data[sku]),ROW(bhpc_data[sku])),""),ROWS($A$15:A218)+$B$3))),IF($EC$13="",INDEX(bhpc_data[description],SMALL(IF(ISNUMBER(MATCH(bhpc_data[sex],$EC$11,0)),MATCH(ROW(bhpc_data[sku]),ROW(bhpc_data[sku])),""),ROWS($A$15:A218)+$B$3)),INDEX(bhpc_data[description],SMALL(IF(ISNUMBER(MATCH(bhpc_data[sex],$EC$11,0)*MATCH(bhpc_data[size],$EC$13,0)),MATCH(ROW(bhpc_data[sku]),ROW(bhpc_data[sku])),""),ROWS($A$15:A218)+$B$3)))),IF($EC$11="",IF($EC$13="",INDEX(bhpc_data[description],SMALL(IF(ISNUMBER(MATCH(bhpc_data[category],$EC$9,0)),MATCH(ROW(bhpc_data[sku]),ROW(bhpc_data[sku])),""),ROWS($A$15:A218)+$B$3)),INDEX(bhpc_data[description],SMALL(IF(ISNUMBER(MATCH(bhpc_data[category],$EC$9,0)*MATCH(bhpc_data[size],$EC$13,0)),MATCH(ROW(bhpc_data[sku]),ROW(bhpc_data[sku])),""),ROWS($A$15:A218)+$B$3))),IF($EC$13="",INDEX(bhpc_data[description],SMALL(IF(ISNUMBER(MATCH(bhpc_data[category],$EC$9,0)*MATCH(bhpc_data[sex],$EC$11,0)),MATCH(ROW(bhpc_data[sku]),ROW(bhpc_data[sku])),""),ROWS($A$15:A218)+$B$3)),INDEX(bhpc_data[description],SMALL(IF(ISNUMBER(MATCH(bhpc_data[category],$EC$9,0)*MATCH(bhpc_data[sex],$EC$11,0)*MATCH(bhpc_data[size],$EC$13,0)),MATCH(ROW(bhpc_data[sku]),ROW(bhpc_data[sku])),""),ROWS($A$15:A218)+$B$3))))),"")</f>
        <v>YB2310A BHPC SUNGLASSES MATT BLACK/SILVER /SOLID GREE</v>
      </c>
      <c r="EG213" s="441">
        <f>IFERROR(IF('BHPC MANAGER'!$EE213="","",INDEX(inventory[ESISTENZA],MATCH('BHPC MANAGER'!$EE213,inventory[SKU],0))),0)</f>
        <v>0</v>
      </c>
      <c r="EH213" s="442">
        <v>0</v>
      </c>
      <c r="EI213" s="442">
        <f t="shared" si="19"/>
        <v>0</v>
      </c>
      <c r="EJ213" s="443">
        <v>0</v>
      </c>
      <c r="EK213" s="444">
        <f t="shared" si="20"/>
        <v>0</v>
      </c>
    </row>
    <row r="214" spans="63:141" x14ac:dyDescent="0.35">
      <c r="BK214" s="296"/>
      <c r="BL214" s="297"/>
      <c r="BM214" s="298"/>
      <c r="BN214" s="297"/>
      <c r="BO214" s="298"/>
      <c r="EE214" s="445" t="str" cm="1">
        <f t="array" ref="EE214">IFERROR(IF($EC$9="",IF($EC$11="",IF($EC$13="",INDEX(bhpc_data[sku],SMALL(MATCH(ROW(bhpc_data[sku]),ROW(bhpc_data[sku])),ROWS($A$15:A219)+$B$3)),INDEX(bhpc_data[sku],SMALL(IF(ISNUMBER(MATCH(bhpc_data[size],$EC$13,0)),MATCH(ROW(bhpc_data[sku]),ROW(bhpc_data[sku])),""),ROWS($A$15:A219)+$B$3))),IF($EC$13="",INDEX(bhpc_data[sku],SMALL(IF(ISNUMBER(MATCH(bhpc_data[sex],$EC$11,0)),MATCH(ROW(bhpc_data[sku]),ROW(bhpc_data[sku])),""),ROWS($A$15:A219)+$B$3)),INDEX(bhpc_data[sku],SMALL(IF(ISNUMBER(MATCH(bhpc_data[sex],$EC$11,0)*MATCH(bhpc_data[size],$EC$13,0)),MATCH(ROW(bhpc_data[sku]),ROW(bhpc_data[sku])),""),ROWS($A$15:A219)+$B$3)))),IF($EC$11="",IF($EC$13="",INDEX(bhpc_data[sku],SMALL(IF(ISNUMBER(MATCH(bhpc_data[category],$EC$9,0)),MATCH(ROW(bhpc_data[sku]),ROW(bhpc_data[sku])),""),ROWS($A$15:A219)+$B$3)),INDEX(bhpc_data[sku],SMALL(IF(ISNUMBER(MATCH(bhpc_data[category],$EC$9,0)*MATCH(bhpc_data[size],$EC$13,0)),MATCH(ROW(bhpc_data[sku]),ROW(bhpc_data[sku])),""),ROWS($A$15:A219)+$B$3))),IF($EC$13="",INDEX(bhpc_data[sku],SMALL(IF(ISNUMBER(MATCH(bhpc_data[category],$EC$9,0)*MATCH(bhpc_data[sex],$EC$11,0)),MATCH(ROW(bhpc_data[sku]),ROW(bhpc_data[sku])),""),ROWS($A$15:A219)+$B$3)),INDEX(bhpc_data[sku],SMALL(IF(ISNUMBER(MATCH(bhpc_data[category],$EC$9,0)*MATCH(bhpc_data[sex],$EC$11,0)*MATCH(bhpc_data[size],$EC$13,0)),MATCH(ROW(bhpc_data[sku]),ROW(bhpc_data[sku])),""),ROWS($A$15:A219)+$B$3))))),"")</f>
        <v>Y00005</v>
      </c>
      <c r="EF214" s="446" t="str" cm="1">
        <f t="array" ref="EF214">IFERROR(IF($EC$9="",IF($EC$11="",IF($EC$13="",INDEX(bhpc_data[description],SMALL(MATCH(ROW(bhpc_data[sku]),ROW(bhpc_data[sku])),ROWS($A$15:A219)+$B$3)),INDEX(bhpc_data[description],SMALL(IF(ISNUMBER(MATCH(bhpc_data[size],$EC$13,0)),MATCH(ROW(bhpc_data[sku]),ROW(bhpc_data[sku])),""),ROWS($A$15:A219)+$B$3))),IF($EC$13="",INDEX(bhpc_data[description],SMALL(IF(ISNUMBER(MATCH(bhpc_data[sex],$EC$11,0)),MATCH(ROW(bhpc_data[sku]),ROW(bhpc_data[sku])),""),ROWS($A$15:A219)+$B$3)),INDEX(bhpc_data[description],SMALL(IF(ISNUMBER(MATCH(bhpc_data[sex],$EC$11,0)*MATCH(bhpc_data[size],$EC$13,0)),MATCH(ROW(bhpc_data[sku]),ROW(bhpc_data[sku])),""),ROWS($A$15:A219)+$B$3)))),IF($EC$11="",IF($EC$13="",INDEX(bhpc_data[description],SMALL(IF(ISNUMBER(MATCH(bhpc_data[category],$EC$9,0)),MATCH(ROW(bhpc_data[sku]),ROW(bhpc_data[sku])),""),ROWS($A$15:A219)+$B$3)),INDEX(bhpc_data[description],SMALL(IF(ISNUMBER(MATCH(bhpc_data[category],$EC$9,0)*MATCH(bhpc_data[size],$EC$13,0)),MATCH(ROW(bhpc_data[sku]),ROW(bhpc_data[sku])),""),ROWS($A$15:A219)+$B$3))),IF($EC$13="",INDEX(bhpc_data[description],SMALL(IF(ISNUMBER(MATCH(bhpc_data[category],$EC$9,0)*MATCH(bhpc_data[sex],$EC$11,0)),MATCH(ROW(bhpc_data[sku]),ROW(bhpc_data[sku])),""),ROWS($A$15:A219)+$B$3)),INDEX(bhpc_data[description],SMALL(IF(ISNUMBER(MATCH(bhpc_data[category],$EC$9,0)*MATCH(bhpc_data[sex],$EC$11,0)*MATCH(bhpc_data[size],$EC$13,0)),MATCH(ROW(bhpc_data[sku]),ROW(bhpc_data[sku])),""),ROWS($A$15:A219)+$B$3))))),"")</f>
        <v>YB2310B BHPC SUNGLASSES MATT NAVY/SILVER/ SOLID SMOKE</v>
      </c>
      <c r="EG214" s="447">
        <f>IFERROR(IF('BHPC MANAGER'!$EE214="","",INDEX(inventory[ESISTENZA],MATCH('BHPC MANAGER'!$EE214,inventory[SKU],0))),0)</f>
        <v>119</v>
      </c>
      <c r="EH214" s="448">
        <v>-5</v>
      </c>
      <c r="EI214" s="448">
        <f t="shared" si="19"/>
        <v>114</v>
      </c>
      <c r="EJ214" s="449">
        <v>0</v>
      </c>
      <c r="EK214" s="450">
        <f t="shared" si="20"/>
        <v>114</v>
      </c>
    </row>
    <row r="215" spans="63:141" x14ac:dyDescent="0.35">
      <c r="BK215" s="296"/>
      <c r="BL215" s="297"/>
      <c r="BM215" s="298"/>
      <c r="BN215" s="297"/>
      <c r="BO215" s="298"/>
      <c r="EE215" s="439" t="str" cm="1">
        <f t="array" ref="EE215">IFERROR(IF($EC$9="",IF($EC$11="",IF($EC$13="",INDEX(bhpc_data[sku],SMALL(MATCH(ROW(bhpc_data[sku]),ROW(bhpc_data[sku])),ROWS($A$15:A220)+$B$3)),INDEX(bhpc_data[sku],SMALL(IF(ISNUMBER(MATCH(bhpc_data[size],$EC$13,0)),MATCH(ROW(bhpc_data[sku]),ROW(bhpc_data[sku])),""),ROWS($A$15:A220)+$B$3))),IF($EC$13="",INDEX(bhpc_data[sku],SMALL(IF(ISNUMBER(MATCH(bhpc_data[sex],$EC$11,0)),MATCH(ROW(bhpc_data[sku]),ROW(bhpc_data[sku])),""),ROWS($A$15:A220)+$B$3)),INDEX(bhpc_data[sku],SMALL(IF(ISNUMBER(MATCH(bhpc_data[sex],$EC$11,0)*MATCH(bhpc_data[size],$EC$13,0)),MATCH(ROW(bhpc_data[sku]),ROW(bhpc_data[sku])),""),ROWS($A$15:A220)+$B$3)))),IF($EC$11="",IF($EC$13="",INDEX(bhpc_data[sku],SMALL(IF(ISNUMBER(MATCH(bhpc_data[category],$EC$9,0)),MATCH(ROW(bhpc_data[sku]),ROW(bhpc_data[sku])),""),ROWS($A$15:A220)+$B$3)),INDEX(bhpc_data[sku],SMALL(IF(ISNUMBER(MATCH(bhpc_data[category],$EC$9,0)*MATCH(bhpc_data[size],$EC$13,0)),MATCH(ROW(bhpc_data[sku]),ROW(bhpc_data[sku])),""),ROWS($A$15:A220)+$B$3))),IF($EC$13="",INDEX(bhpc_data[sku],SMALL(IF(ISNUMBER(MATCH(bhpc_data[category],$EC$9,0)*MATCH(bhpc_data[sex],$EC$11,0)),MATCH(ROW(bhpc_data[sku]),ROW(bhpc_data[sku])),""),ROWS($A$15:A220)+$B$3)),INDEX(bhpc_data[sku],SMALL(IF(ISNUMBER(MATCH(bhpc_data[category],$EC$9,0)*MATCH(bhpc_data[sex],$EC$11,0)*MATCH(bhpc_data[size],$EC$13,0)),MATCH(ROW(bhpc_data[sku]),ROW(bhpc_data[sku])),""),ROWS($A$15:A220)+$B$3))))),"")</f>
        <v>Y00006</v>
      </c>
      <c r="EF215" s="440" t="str" cm="1">
        <f t="array" ref="EF215">IFERROR(IF($EC$9="",IF($EC$11="",IF($EC$13="",INDEX(bhpc_data[description],SMALL(MATCH(ROW(bhpc_data[sku]),ROW(bhpc_data[sku])),ROWS($A$15:A220)+$B$3)),INDEX(bhpc_data[description],SMALL(IF(ISNUMBER(MATCH(bhpc_data[size],$EC$13,0)),MATCH(ROW(bhpc_data[sku]),ROW(bhpc_data[sku])),""),ROWS($A$15:A220)+$B$3))),IF($EC$13="",INDEX(bhpc_data[description],SMALL(IF(ISNUMBER(MATCH(bhpc_data[sex],$EC$11,0)),MATCH(ROW(bhpc_data[sku]),ROW(bhpc_data[sku])),""),ROWS($A$15:A220)+$B$3)),INDEX(bhpc_data[description],SMALL(IF(ISNUMBER(MATCH(bhpc_data[sex],$EC$11,0)*MATCH(bhpc_data[size],$EC$13,0)),MATCH(ROW(bhpc_data[sku]),ROW(bhpc_data[sku])),""),ROWS($A$15:A220)+$B$3)))),IF($EC$11="",IF($EC$13="",INDEX(bhpc_data[description],SMALL(IF(ISNUMBER(MATCH(bhpc_data[category],$EC$9,0)),MATCH(ROW(bhpc_data[sku]),ROW(bhpc_data[sku])),""),ROWS($A$15:A220)+$B$3)),INDEX(bhpc_data[description],SMALL(IF(ISNUMBER(MATCH(bhpc_data[category],$EC$9,0)*MATCH(bhpc_data[size],$EC$13,0)),MATCH(ROW(bhpc_data[sku]),ROW(bhpc_data[sku])),""),ROWS($A$15:A220)+$B$3))),IF($EC$13="",INDEX(bhpc_data[description],SMALL(IF(ISNUMBER(MATCH(bhpc_data[category],$EC$9,0)*MATCH(bhpc_data[sex],$EC$11,0)),MATCH(ROW(bhpc_data[sku]),ROW(bhpc_data[sku])),""),ROWS($A$15:A220)+$B$3)),INDEX(bhpc_data[description],SMALL(IF(ISNUMBER(MATCH(bhpc_data[category],$EC$9,0)*MATCH(bhpc_data[sex],$EC$11,0)*MATCH(bhpc_data[size],$EC$13,0)),MATCH(ROW(bhpc_data[sku]),ROW(bhpc_data[sku])),""),ROWS($A$15:A220)+$B$3))))),"")</f>
        <v>YB2310C BHPC SUNGLASSES MATT SMOKE/SILVER / SOLID GREY</v>
      </c>
      <c r="EG215" s="441">
        <f>IFERROR(IF('BHPC MANAGER'!$EE215="","",INDEX(inventory[ESISTENZA],MATCH('BHPC MANAGER'!$EE215,inventory[SKU],0))),0)</f>
        <v>0</v>
      </c>
      <c r="EH215" s="442">
        <v>0</v>
      </c>
      <c r="EI215" s="442">
        <f t="shared" si="19"/>
        <v>0</v>
      </c>
      <c r="EJ215" s="443">
        <v>0</v>
      </c>
      <c r="EK215" s="444">
        <f t="shared" si="20"/>
        <v>0</v>
      </c>
    </row>
    <row r="216" spans="63:141" x14ac:dyDescent="0.35">
      <c r="BK216" s="296"/>
      <c r="BL216" s="297"/>
      <c r="BM216" s="298"/>
      <c r="BN216" s="297"/>
      <c r="BO216" s="298"/>
      <c r="EE216" s="445" t="str" cm="1">
        <f t="array" ref="EE216">IFERROR(IF($EC$9="",IF($EC$11="",IF($EC$13="",INDEX(bhpc_data[sku],SMALL(MATCH(ROW(bhpc_data[sku]),ROW(bhpc_data[sku])),ROWS($A$15:A221)+$B$3)),INDEX(bhpc_data[sku],SMALL(IF(ISNUMBER(MATCH(bhpc_data[size],$EC$13,0)),MATCH(ROW(bhpc_data[sku]),ROW(bhpc_data[sku])),""),ROWS($A$15:A221)+$B$3))),IF($EC$13="",INDEX(bhpc_data[sku],SMALL(IF(ISNUMBER(MATCH(bhpc_data[sex],$EC$11,0)),MATCH(ROW(bhpc_data[sku]),ROW(bhpc_data[sku])),""),ROWS($A$15:A221)+$B$3)),INDEX(bhpc_data[sku],SMALL(IF(ISNUMBER(MATCH(bhpc_data[sex],$EC$11,0)*MATCH(bhpc_data[size],$EC$13,0)),MATCH(ROW(bhpc_data[sku]),ROW(bhpc_data[sku])),""),ROWS($A$15:A221)+$B$3)))),IF($EC$11="",IF($EC$13="",INDEX(bhpc_data[sku],SMALL(IF(ISNUMBER(MATCH(bhpc_data[category],$EC$9,0)),MATCH(ROW(bhpc_data[sku]),ROW(bhpc_data[sku])),""),ROWS($A$15:A221)+$B$3)),INDEX(bhpc_data[sku],SMALL(IF(ISNUMBER(MATCH(bhpc_data[category],$EC$9,0)*MATCH(bhpc_data[size],$EC$13,0)),MATCH(ROW(bhpc_data[sku]),ROW(bhpc_data[sku])),""),ROWS($A$15:A221)+$B$3))),IF($EC$13="",INDEX(bhpc_data[sku],SMALL(IF(ISNUMBER(MATCH(bhpc_data[category],$EC$9,0)*MATCH(bhpc_data[sex],$EC$11,0)),MATCH(ROW(bhpc_data[sku]),ROW(bhpc_data[sku])),""),ROWS($A$15:A221)+$B$3)),INDEX(bhpc_data[sku],SMALL(IF(ISNUMBER(MATCH(bhpc_data[category],$EC$9,0)*MATCH(bhpc_data[sex],$EC$11,0)*MATCH(bhpc_data[size],$EC$13,0)),MATCH(ROW(bhpc_data[sku]),ROW(bhpc_data[sku])),""),ROWS($A$15:A221)+$B$3))))),"")</f>
        <v>Y00007</v>
      </c>
      <c r="EF216" s="446" t="str" cm="1">
        <f t="array" ref="EF216">IFERROR(IF($EC$9="",IF($EC$11="",IF($EC$13="",INDEX(bhpc_data[description],SMALL(MATCH(ROW(bhpc_data[sku]),ROW(bhpc_data[sku])),ROWS($A$15:A221)+$B$3)),INDEX(bhpc_data[description],SMALL(IF(ISNUMBER(MATCH(bhpc_data[size],$EC$13,0)),MATCH(ROW(bhpc_data[sku]),ROW(bhpc_data[sku])),""),ROWS($A$15:A221)+$B$3))),IF($EC$13="",INDEX(bhpc_data[description],SMALL(IF(ISNUMBER(MATCH(bhpc_data[sex],$EC$11,0)),MATCH(ROW(bhpc_data[sku]),ROW(bhpc_data[sku])),""),ROWS($A$15:A221)+$B$3)),INDEX(bhpc_data[description],SMALL(IF(ISNUMBER(MATCH(bhpc_data[sex],$EC$11,0)*MATCH(bhpc_data[size],$EC$13,0)),MATCH(ROW(bhpc_data[sku]),ROW(bhpc_data[sku])),""),ROWS($A$15:A221)+$B$3)))),IF($EC$11="",IF($EC$13="",INDEX(bhpc_data[description],SMALL(IF(ISNUMBER(MATCH(bhpc_data[category],$EC$9,0)),MATCH(ROW(bhpc_data[sku]),ROW(bhpc_data[sku])),""),ROWS($A$15:A221)+$B$3)),INDEX(bhpc_data[description],SMALL(IF(ISNUMBER(MATCH(bhpc_data[category],$EC$9,0)*MATCH(bhpc_data[size],$EC$13,0)),MATCH(ROW(bhpc_data[sku]),ROW(bhpc_data[sku])),""),ROWS($A$15:A221)+$B$3))),IF($EC$13="",INDEX(bhpc_data[description],SMALL(IF(ISNUMBER(MATCH(bhpc_data[category],$EC$9,0)*MATCH(bhpc_data[sex],$EC$11,0)),MATCH(ROW(bhpc_data[sku]),ROW(bhpc_data[sku])),""),ROWS($A$15:A221)+$B$3)),INDEX(bhpc_data[description],SMALL(IF(ISNUMBER(MATCH(bhpc_data[category],$EC$9,0)*MATCH(bhpc_data[sex],$EC$11,0)*MATCH(bhpc_data[size],$EC$13,0)),MATCH(ROW(bhpc_data[sku]),ROW(bhpc_data[sku])),""),ROWS($A$15:A221)+$B$3))))),"")</f>
        <v>YB2313A BHPC SUNGLASSES SATIN NAVY / SOLID SMOKE</v>
      </c>
      <c r="EG216" s="447">
        <f>IFERROR(IF('BHPC MANAGER'!$EE216="","",INDEX(inventory[ESISTENZA],MATCH('BHPC MANAGER'!$EE216,inventory[SKU],0))),0)</f>
        <v>169</v>
      </c>
      <c r="EH216" s="448">
        <v>-5</v>
      </c>
      <c r="EI216" s="448">
        <f t="shared" si="19"/>
        <v>164</v>
      </c>
      <c r="EJ216" s="449">
        <v>0</v>
      </c>
      <c r="EK216" s="450">
        <f t="shared" si="20"/>
        <v>164</v>
      </c>
    </row>
    <row r="217" spans="63:141" x14ac:dyDescent="0.35">
      <c r="BK217" s="296"/>
      <c r="BL217" s="297"/>
      <c r="BM217" s="298"/>
      <c r="BN217" s="297"/>
      <c r="BO217" s="298"/>
      <c r="EE217" s="439" t="str" cm="1">
        <f t="array" ref="EE217">IFERROR(IF($EC$9="",IF($EC$11="",IF($EC$13="",INDEX(bhpc_data[sku],SMALL(MATCH(ROW(bhpc_data[sku]),ROW(bhpc_data[sku])),ROWS($A$15:A222)+$B$3)),INDEX(bhpc_data[sku],SMALL(IF(ISNUMBER(MATCH(bhpc_data[size],$EC$13,0)),MATCH(ROW(bhpc_data[sku]),ROW(bhpc_data[sku])),""),ROWS($A$15:A222)+$B$3))),IF($EC$13="",INDEX(bhpc_data[sku],SMALL(IF(ISNUMBER(MATCH(bhpc_data[sex],$EC$11,0)),MATCH(ROW(bhpc_data[sku]),ROW(bhpc_data[sku])),""),ROWS($A$15:A222)+$B$3)),INDEX(bhpc_data[sku],SMALL(IF(ISNUMBER(MATCH(bhpc_data[sex],$EC$11,0)*MATCH(bhpc_data[size],$EC$13,0)),MATCH(ROW(bhpc_data[sku]),ROW(bhpc_data[sku])),""),ROWS($A$15:A222)+$B$3)))),IF($EC$11="",IF($EC$13="",INDEX(bhpc_data[sku],SMALL(IF(ISNUMBER(MATCH(bhpc_data[category],$EC$9,0)),MATCH(ROW(bhpc_data[sku]),ROW(bhpc_data[sku])),""),ROWS($A$15:A222)+$B$3)),INDEX(bhpc_data[sku],SMALL(IF(ISNUMBER(MATCH(bhpc_data[category],$EC$9,0)*MATCH(bhpc_data[size],$EC$13,0)),MATCH(ROW(bhpc_data[sku]),ROW(bhpc_data[sku])),""),ROWS($A$15:A222)+$B$3))),IF($EC$13="",INDEX(bhpc_data[sku],SMALL(IF(ISNUMBER(MATCH(bhpc_data[category],$EC$9,0)*MATCH(bhpc_data[sex],$EC$11,0)),MATCH(ROW(bhpc_data[sku]),ROW(bhpc_data[sku])),""),ROWS($A$15:A222)+$B$3)),INDEX(bhpc_data[sku],SMALL(IF(ISNUMBER(MATCH(bhpc_data[category],$EC$9,0)*MATCH(bhpc_data[sex],$EC$11,0)*MATCH(bhpc_data[size],$EC$13,0)),MATCH(ROW(bhpc_data[sku]),ROW(bhpc_data[sku])),""),ROWS($A$15:A222)+$B$3))))),"")</f>
        <v>Y00008</v>
      </c>
      <c r="EF217" s="440" t="str" cm="1">
        <f t="array" ref="EF217">IFERROR(IF($EC$9="",IF($EC$11="",IF($EC$13="",INDEX(bhpc_data[description],SMALL(MATCH(ROW(bhpc_data[sku]),ROW(bhpc_data[sku])),ROWS($A$15:A222)+$B$3)),INDEX(bhpc_data[description],SMALL(IF(ISNUMBER(MATCH(bhpc_data[size],$EC$13,0)),MATCH(ROW(bhpc_data[sku]),ROW(bhpc_data[sku])),""),ROWS($A$15:A222)+$B$3))),IF($EC$13="",INDEX(bhpc_data[description],SMALL(IF(ISNUMBER(MATCH(bhpc_data[sex],$EC$11,0)),MATCH(ROW(bhpc_data[sku]),ROW(bhpc_data[sku])),""),ROWS($A$15:A222)+$B$3)),INDEX(bhpc_data[description],SMALL(IF(ISNUMBER(MATCH(bhpc_data[sex],$EC$11,0)*MATCH(bhpc_data[size],$EC$13,0)),MATCH(ROW(bhpc_data[sku]),ROW(bhpc_data[sku])),""),ROWS($A$15:A222)+$B$3)))),IF($EC$11="",IF($EC$13="",INDEX(bhpc_data[description],SMALL(IF(ISNUMBER(MATCH(bhpc_data[category],$EC$9,0)),MATCH(ROW(bhpc_data[sku]),ROW(bhpc_data[sku])),""),ROWS($A$15:A222)+$B$3)),INDEX(bhpc_data[description],SMALL(IF(ISNUMBER(MATCH(bhpc_data[category],$EC$9,0)*MATCH(bhpc_data[size],$EC$13,0)),MATCH(ROW(bhpc_data[sku]),ROW(bhpc_data[sku])),""),ROWS($A$15:A222)+$B$3))),IF($EC$13="",INDEX(bhpc_data[description],SMALL(IF(ISNUMBER(MATCH(bhpc_data[category],$EC$9,0)*MATCH(bhpc_data[sex],$EC$11,0)),MATCH(ROW(bhpc_data[sku]),ROW(bhpc_data[sku])),""),ROWS($A$15:A222)+$B$3)),INDEX(bhpc_data[description],SMALL(IF(ISNUMBER(MATCH(bhpc_data[category],$EC$9,0)*MATCH(bhpc_data[sex],$EC$11,0)*MATCH(bhpc_data[size],$EC$13,0)),MATCH(ROW(bhpc_data[sku]),ROW(bhpc_data[sku])),""),ROWS($A$15:A222)+$B$3))))),"")</f>
        <v>YB2313B BHPC SUNGLASSES MATT BLACK / SOLID GREY</v>
      </c>
      <c r="EG217" s="441">
        <f>IFERROR(IF('BHPC MANAGER'!$EE217="","",INDEX(inventory[ESISTENZA],MATCH('BHPC MANAGER'!$EE217,inventory[SKU],0))),0)</f>
        <v>269</v>
      </c>
      <c r="EH217" s="442">
        <v>-5</v>
      </c>
      <c r="EI217" s="442">
        <f t="shared" si="19"/>
        <v>264</v>
      </c>
      <c r="EJ217" s="443">
        <v>0</v>
      </c>
      <c r="EK217" s="444">
        <f t="shared" si="20"/>
        <v>264</v>
      </c>
    </row>
    <row r="218" spans="63:141" x14ac:dyDescent="0.35">
      <c r="BK218" s="296"/>
      <c r="BL218" s="297"/>
      <c r="BM218" s="298"/>
      <c r="BN218" s="297"/>
      <c r="BO218" s="298"/>
      <c r="EE218" s="445" t="str" cm="1">
        <f t="array" ref="EE218">IFERROR(IF($EC$9="",IF($EC$11="",IF($EC$13="",INDEX(bhpc_data[sku],SMALL(MATCH(ROW(bhpc_data[sku]),ROW(bhpc_data[sku])),ROWS($A$15:A223)+$B$3)),INDEX(bhpc_data[sku],SMALL(IF(ISNUMBER(MATCH(bhpc_data[size],$EC$13,0)),MATCH(ROW(bhpc_data[sku]),ROW(bhpc_data[sku])),""),ROWS($A$15:A223)+$B$3))),IF($EC$13="",INDEX(bhpc_data[sku],SMALL(IF(ISNUMBER(MATCH(bhpc_data[sex],$EC$11,0)),MATCH(ROW(bhpc_data[sku]),ROW(bhpc_data[sku])),""),ROWS($A$15:A223)+$B$3)),INDEX(bhpc_data[sku],SMALL(IF(ISNUMBER(MATCH(bhpc_data[sex],$EC$11,0)*MATCH(bhpc_data[size],$EC$13,0)),MATCH(ROW(bhpc_data[sku]),ROW(bhpc_data[sku])),""),ROWS($A$15:A223)+$B$3)))),IF($EC$11="",IF($EC$13="",INDEX(bhpc_data[sku],SMALL(IF(ISNUMBER(MATCH(bhpc_data[category],$EC$9,0)),MATCH(ROW(bhpc_data[sku]),ROW(bhpc_data[sku])),""),ROWS($A$15:A223)+$B$3)),INDEX(bhpc_data[sku],SMALL(IF(ISNUMBER(MATCH(bhpc_data[category],$EC$9,0)*MATCH(bhpc_data[size],$EC$13,0)),MATCH(ROW(bhpc_data[sku]),ROW(bhpc_data[sku])),""),ROWS($A$15:A223)+$B$3))),IF($EC$13="",INDEX(bhpc_data[sku],SMALL(IF(ISNUMBER(MATCH(bhpc_data[category],$EC$9,0)*MATCH(bhpc_data[sex],$EC$11,0)),MATCH(ROW(bhpc_data[sku]),ROW(bhpc_data[sku])),""),ROWS($A$15:A223)+$B$3)),INDEX(bhpc_data[sku],SMALL(IF(ISNUMBER(MATCH(bhpc_data[category],$EC$9,0)*MATCH(bhpc_data[sex],$EC$11,0)*MATCH(bhpc_data[size],$EC$13,0)),MATCH(ROW(bhpc_data[sku]),ROW(bhpc_data[sku])),""),ROWS($A$15:A223)+$B$3))))),"")</f>
        <v>Y00009</v>
      </c>
      <c r="EF218" s="446" t="str" cm="1">
        <f t="array" ref="EF218">IFERROR(IF($EC$9="",IF($EC$11="",IF($EC$13="",INDEX(bhpc_data[description],SMALL(MATCH(ROW(bhpc_data[sku]),ROW(bhpc_data[sku])),ROWS($A$15:A223)+$B$3)),INDEX(bhpc_data[description],SMALL(IF(ISNUMBER(MATCH(bhpc_data[size],$EC$13,0)),MATCH(ROW(bhpc_data[sku]),ROW(bhpc_data[sku])),""),ROWS($A$15:A223)+$B$3))),IF($EC$13="",INDEX(bhpc_data[description],SMALL(IF(ISNUMBER(MATCH(bhpc_data[sex],$EC$11,0)),MATCH(ROW(bhpc_data[sku]),ROW(bhpc_data[sku])),""),ROWS($A$15:A223)+$B$3)),INDEX(bhpc_data[description],SMALL(IF(ISNUMBER(MATCH(bhpc_data[sex],$EC$11,0)*MATCH(bhpc_data[size],$EC$13,0)),MATCH(ROW(bhpc_data[sku]),ROW(bhpc_data[sku])),""),ROWS($A$15:A223)+$B$3)))),IF($EC$11="",IF($EC$13="",INDEX(bhpc_data[description],SMALL(IF(ISNUMBER(MATCH(bhpc_data[category],$EC$9,0)),MATCH(ROW(bhpc_data[sku]),ROW(bhpc_data[sku])),""),ROWS($A$15:A223)+$B$3)),INDEX(bhpc_data[description],SMALL(IF(ISNUMBER(MATCH(bhpc_data[category],$EC$9,0)*MATCH(bhpc_data[size],$EC$13,0)),MATCH(ROW(bhpc_data[sku]),ROW(bhpc_data[sku])),""),ROWS($A$15:A223)+$B$3))),IF($EC$13="",INDEX(bhpc_data[description],SMALL(IF(ISNUMBER(MATCH(bhpc_data[category],$EC$9,0)*MATCH(bhpc_data[sex],$EC$11,0)),MATCH(ROW(bhpc_data[sku]),ROW(bhpc_data[sku])),""),ROWS($A$15:A223)+$B$3)),INDEX(bhpc_data[description],SMALL(IF(ISNUMBER(MATCH(bhpc_data[category],$EC$9,0)*MATCH(bhpc_data[sex],$EC$11,0)*MATCH(bhpc_data[size],$EC$13,0)),MATCH(ROW(bhpc_data[sku]),ROW(bhpc_data[sku])),""),ROWS($A$15:A223)+$B$3))))),"")</f>
        <v>YB2313C BHPC SUNGLASSES BLACK/GUN / SOLID GREEN</v>
      </c>
      <c r="EG218" s="447">
        <f>IFERROR(IF('BHPC MANAGER'!$EE218="","",INDEX(inventory[ESISTENZA],MATCH('BHPC MANAGER'!$EE218,inventory[SKU],0))),0)</f>
        <v>169</v>
      </c>
      <c r="EH218" s="448">
        <v>-5</v>
      </c>
      <c r="EI218" s="448">
        <f t="shared" si="19"/>
        <v>164</v>
      </c>
      <c r="EJ218" s="449">
        <v>0</v>
      </c>
      <c r="EK218" s="450">
        <f t="shared" si="20"/>
        <v>164</v>
      </c>
    </row>
    <row r="219" spans="63:141" x14ac:dyDescent="0.35">
      <c r="BK219" s="296"/>
      <c r="BL219" s="297"/>
      <c r="BM219" s="298"/>
      <c r="BN219" s="297"/>
      <c r="BO219" s="298"/>
      <c r="EE219" s="439" t="str" cm="1">
        <f t="array" ref="EE219">IFERROR(IF($EC$9="",IF($EC$11="",IF($EC$13="",INDEX(bhpc_data[sku],SMALL(MATCH(ROW(bhpc_data[sku]),ROW(bhpc_data[sku])),ROWS($A$15:A224)+$B$3)),INDEX(bhpc_data[sku],SMALL(IF(ISNUMBER(MATCH(bhpc_data[size],$EC$13,0)),MATCH(ROW(bhpc_data[sku]),ROW(bhpc_data[sku])),""),ROWS($A$15:A224)+$B$3))),IF($EC$13="",INDEX(bhpc_data[sku],SMALL(IF(ISNUMBER(MATCH(bhpc_data[sex],$EC$11,0)),MATCH(ROW(bhpc_data[sku]),ROW(bhpc_data[sku])),""),ROWS($A$15:A224)+$B$3)),INDEX(bhpc_data[sku],SMALL(IF(ISNUMBER(MATCH(bhpc_data[sex],$EC$11,0)*MATCH(bhpc_data[size],$EC$13,0)),MATCH(ROW(bhpc_data[sku]),ROW(bhpc_data[sku])),""),ROWS($A$15:A224)+$B$3)))),IF($EC$11="",IF($EC$13="",INDEX(bhpc_data[sku],SMALL(IF(ISNUMBER(MATCH(bhpc_data[category],$EC$9,0)),MATCH(ROW(bhpc_data[sku]),ROW(bhpc_data[sku])),""),ROWS($A$15:A224)+$B$3)),INDEX(bhpc_data[sku],SMALL(IF(ISNUMBER(MATCH(bhpc_data[category],$EC$9,0)*MATCH(bhpc_data[size],$EC$13,0)),MATCH(ROW(bhpc_data[sku]),ROW(bhpc_data[sku])),""),ROWS($A$15:A224)+$B$3))),IF($EC$13="",INDEX(bhpc_data[sku],SMALL(IF(ISNUMBER(MATCH(bhpc_data[category],$EC$9,0)*MATCH(bhpc_data[sex],$EC$11,0)),MATCH(ROW(bhpc_data[sku]),ROW(bhpc_data[sku])),""),ROWS($A$15:A224)+$B$3)),INDEX(bhpc_data[sku],SMALL(IF(ISNUMBER(MATCH(bhpc_data[category],$EC$9,0)*MATCH(bhpc_data[sex],$EC$11,0)*MATCH(bhpc_data[size],$EC$13,0)),MATCH(ROW(bhpc_data[sku]),ROW(bhpc_data[sku])),""),ROWS($A$15:A224)+$B$3))))),"")</f>
        <v>Y00010</v>
      </c>
      <c r="EF219" s="440" t="str" cm="1">
        <f t="array" ref="EF219">IFERROR(IF($EC$9="",IF($EC$11="",IF($EC$13="",INDEX(bhpc_data[description],SMALL(MATCH(ROW(bhpc_data[sku]),ROW(bhpc_data[sku])),ROWS($A$15:A224)+$B$3)),INDEX(bhpc_data[description],SMALL(IF(ISNUMBER(MATCH(bhpc_data[size],$EC$13,0)),MATCH(ROW(bhpc_data[sku]),ROW(bhpc_data[sku])),""),ROWS($A$15:A224)+$B$3))),IF($EC$13="",INDEX(bhpc_data[description],SMALL(IF(ISNUMBER(MATCH(bhpc_data[sex],$EC$11,0)),MATCH(ROW(bhpc_data[sku]),ROW(bhpc_data[sku])),""),ROWS($A$15:A224)+$B$3)),INDEX(bhpc_data[description],SMALL(IF(ISNUMBER(MATCH(bhpc_data[sex],$EC$11,0)*MATCH(bhpc_data[size],$EC$13,0)),MATCH(ROW(bhpc_data[sku]),ROW(bhpc_data[sku])),""),ROWS($A$15:A224)+$B$3)))),IF($EC$11="",IF($EC$13="",INDEX(bhpc_data[description],SMALL(IF(ISNUMBER(MATCH(bhpc_data[category],$EC$9,0)),MATCH(ROW(bhpc_data[sku]),ROW(bhpc_data[sku])),""),ROWS($A$15:A224)+$B$3)),INDEX(bhpc_data[description],SMALL(IF(ISNUMBER(MATCH(bhpc_data[category],$EC$9,0)*MATCH(bhpc_data[size],$EC$13,0)),MATCH(ROW(bhpc_data[sku]),ROW(bhpc_data[sku])),""),ROWS($A$15:A224)+$B$3))),IF($EC$13="",INDEX(bhpc_data[description],SMALL(IF(ISNUMBER(MATCH(bhpc_data[category],$EC$9,0)*MATCH(bhpc_data[sex],$EC$11,0)),MATCH(ROW(bhpc_data[sku]),ROW(bhpc_data[sku])),""),ROWS($A$15:A224)+$B$3)),INDEX(bhpc_data[description],SMALL(IF(ISNUMBER(MATCH(bhpc_data[category],$EC$9,0)*MATCH(bhpc_data[sex],$EC$11,0)*MATCH(bhpc_data[size],$EC$13,0)),MATCH(ROW(bhpc_data[sku]),ROW(bhpc_data[sku])),""),ROWS($A$15:A224)+$B$3))))),"")</f>
        <v>YB2314A BHPC SUNGLASSES MATT BLACK / SOLID GREEN</v>
      </c>
      <c r="EG219" s="441">
        <f>IFERROR(IF('BHPC MANAGER'!$EE219="","",INDEX(inventory[ESISTENZA],MATCH('BHPC MANAGER'!$EE219,inventory[SKU],0))),0)</f>
        <v>0</v>
      </c>
      <c r="EH219" s="442">
        <v>0</v>
      </c>
      <c r="EI219" s="442">
        <f t="shared" si="19"/>
        <v>0</v>
      </c>
      <c r="EJ219" s="443">
        <v>0</v>
      </c>
      <c r="EK219" s="444">
        <f t="shared" si="20"/>
        <v>0</v>
      </c>
    </row>
    <row r="220" spans="63:141" x14ac:dyDescent="0.35">
      <c r="BK220" s="296"/>
      <c r="BL220" s="297"/>
      <c r="BM220" s="298"/>
      <c r="BN220" s="297"/>
      <c r="BO220" s="298"/>
      <c r="EE220" s="445" t="str" cm="1">
        <f t="array" ref="EE220">IFERROR(IF($EC$9="",IF($EC$11="",IF($EC$13="",INDEX(bhpc_data[sku],SMALL(MATCH(ROW(bhpc_data[sku]),ROW(bhpc_data[sku])),ROWS($A$15:A225)+$B$3)),INDEX(bhpc_data[sku],SMALL(IF(ISNUMBER(MATCH(bhpc_data[size],$EC$13,0)),MATCH(ROW(bhpc_data[sku]),ROW(bhpc_data[sku])),""),ROWS($A$15:A225)+$B$3))),IF($EC$13="",INDEX(bhpc_data[sku],SMALL(IF(ISNUMBER(MATCH(bhpc_data[sex],$EC$11,0)),MATCH(ROW(bhpc_data[sku]),ROW(bhpc_data[sku])),""),ROWS($A$15:A225)+$B$3)),INDEX(bhpc_data[sku],SMALL(IF(ISNUMBER(MATCH(bhpc_data[sex],$EC$11,0)*MATCH(bhpc_data[size],$EC$13,0)),MATCH(ROW(bhpc_data[sku]),ROW(bhpc_data[sku])),""),ROWS($A$15:A225)+$B$3)))),IF($EC$11="",IF($EC$13="",INDEX(bhpc_data[sku],SMALL(IF(ISNUMBER(MATCH(bhpc_data[category],$EC$9,0)),MATCH(ROW(bhpc_data[sku]),ROW(bhpc_data[sku])),""),ROWS($A$15:A225)+$B$3)),INDEX(bhpc_data[sku],SMALL(IF(ISNUMBER(MATCH(bhpc_data[category],$EC$9,0)*MATCH(bhpc_data[size],$EC$13,0)),MATCH(ROW(bhpc_data[sku]),ROW(bhpc_data[sku])),""),ROWS($A$15:A225)+$B$3))),IF($EC$13="",INDEX(bhpc_data[sku],SMALL(IF(ISNUMBER(MATCH(bhpc_data[category],$EC$9,0)*MATCH(bhpc_data[sex],$EC$11,0)),MATCH(ROW(bhpc_data[sku]),ROW(bhpc_data[sku])),""),ROWS($A$15:A225)+$B$3)),INDEX(bhpc_data[sku],SMALL(IF(ISNUMBER(MATCH(bhpc_data[category],$EC$9,0)*MATCH(bhpc_data[sex],$EC$11,0)*MATCH(bhpc_data[size],$EC$13,0)),MATCH(ROW(bhpc_data[sku]),ROW(bhpc_data[sku])),""),ROWS($A$15:A225)+$B$3))))),"")</f>
        <v>Y00011</v>
      </c>
      <c r="EF220" s="446" t="str" cm="1">
        <f t="array" ref="EF220">IFERROR(IF($EC$9="",IF($EC$11="",IF($EC$13="",INDEX(bhpc_data[description],SMALL(MATCH(ROW(bhpc_data[sku]),ROW(bhpc_data[sku])),ROWS($A$15:A225)+$B$3)),INDEX(bhpc_data[description],SMALL(IF(ISNUMBER(MATCH(bhpc_data[size],$EC$13,0)),MATCH(ROW(bhpc_data[sku]),ROW(bhpc_data[sku])),""),ROWS($A$15:A225)+$B$3))),IF($EC$13="",INDEX(bhpc_data[description],SMALL(IF(ISNUMBER(MATCH(bhpc_data[sex],$EC$11,0)),MATCH(ROW(bhpc_data[sku]),ROW(bhpc_data[sku])),""),ROWS($A$15:A225)+$B$3)),INDEX(bhpc_data[description],SMALL(IF(ISNUMBER(MATCH(bhpc_data[sex],$EC$11,0)*MATCH(bhpc_data[size],$EC$13,0)),MATCH(ROW(bhpc_data[sku]),ROW(bhpc_data[sku])),""),ROWS($A$15:A225)+$B$3)))),IF($EC$11="",IF($EC$13="",INDEX(bhpc_data[description],SMALL(IF(ISNUMBER(MATCH(bhpc_data[category],$EC$9,0)),MATCH(ROW(bhpc_data[sku]),ROW(bhpc_data[sku])),""),ROWS($A$15:A225)+$B$3)),INDEX(bhpc_data[description],SMALL(IF(ISNUMBER(MATCH(bhpc_data[category],$EC$9,0)*MATCH(bhpc_data[size],$EC$13,0)),MATCH(ROW(bhpc_data[sku]),ROW(bhpc_data[sku])),""),ROWS($A$15:A225)+$B$3))),IF($EC$13="",INDEX(bhpc_data[description],SMALL(IF(ISNUMBER(MATCH(bhpc_data[category],$EC$9,0)*MATCH(bhpc_data[sex],$EC$11,0)),MATCH(ROW(bhpc_data[sku]),ROW(bhpc_data[sku])),""),ROWS($A$15:A225)+$B$3)),INDEX(bhpc_data[description],SMALL(IF(ISNUMBER(MATCH(bhpc_data[category],$EC$9,0)*MATCH(bhpc_data[sex],$EC$11,0)*MATCH(bhpc_data[size],$EC$13,0)),MATCH(ROW(bhpc_data[sku]),ROW(bhpc_data[sku])),""),ROWS($A$15:A225)+$B$3))))),"")</f>
        <v>YB2314B BHPC SUNGLASSES MATT BLACK / SOLID GREY</v>
      </c>
      <c r="EG220" s="447">
        <f>IFERROR(IF('BHPC MANAGER'!$EE220="","",INDEX(inventory[ESISTENZA],MATCH('BHPC MANAGER'!$EE220,inventory[SKU],0))),0)</f>
        <v>0</v>
      </c>
      <c r="EH220" s="448">
        <v>0</v>
      </c>
      <c r="EI220" s="448">
        <f t="shared" si="19"/>
        <v>0</v>
      </c>
      <c r="EJ220" s="449">
        <v>0</v>
      </c>
      <c r="EK220" s="450">
        <f t="shared" si="20"/>
        <v>0</v>
      </c>
    </row>
    <row r="221" spans="63:141" x14ac:dyDescent="0.35">
      <c r="BK221" s="296"/>
      <c r="BL221" s="297"/>
      <c r="BM221" s="298"/>
      <c r="BN221" s="297"/>
      <c r="BO221" s="298"/>
      <c r="EE221" s="439" t="str" cm="1">
        <f t="array" ref="EE221">IFERROR(IF($EC$9="",IF($EC$11="",IF($EC$13="",INDEX(bhpc_data[sku],SMALL(MATCH(ROW(bhpc_data[sku]),ROW(bhpc_data[sku])),ROWS($A$15:A226)+$B$3)),INDEX(bhpc_data[sku],SMALL(IF(ISNUMBER(MATCH(bhpc_data[size],$EC$13,0)),MATCH(ROW(bhpc_data[sku]),ROW(bhpc_data[sku])),""),ROWS($A$15:A226)+$B$3))),IF($EC$13="",INDEX(bhpc_data[sku],SMALL(IF(ISNUMBER(MATCH(bhpc_data[sex],$EC$11,0)),MATCH(ROW(bhpc_data[sku]),ROW(bhpc_data[sku])),""),ROWS($A$15:A226)+$B$3)),INDEX(bhpc_data[sku],SMALL(IF(ISNUMBER(MATCH(bhpc_data[sex],$EC$11,0)*MATCH(bhpc_data[size],$EC$13,0)),MATCH(ROW(bhpc_data[sku]),ROW(bhpc_data[sku])),""),ROWS($A$15:A226)+$B$3)))),IF($EC$11="",IF($EC$13="",INDEX(bhpc_data[sku],SMALL(IF(ISNUMBER(MATCH(bhpc_data[category],$EC$9,0)),MATCH(ROW(bhpc_data[sku]),ROW(bhpc_data[sku])),""),ROWS($A$15:A226)+$B$3)),INDEX(bhpc_data[sku],SMALL(IF(ISNUMBER(MATCH(bhpc_data[category],$EC$9,0)*MATCH(bhpc_data[size],$EC$13,0)),MATCH(ROW(bhpc_data[sku]),ROW(bhpc_data[sku])),""),ROWS($A$15:A226)+$B$3))),IF($EC$13="",INDEX(bhpc_data[sku],SMALL(IF(ISNUMBER(MATCH(bhpc_data[category],$EC$9,0)*MATCH(bhpc_data[sex],$EC$11,0)),MATCH(ROW(bhpc_data[sku]),ROW(bhpc_data[sku])),""),ROWS($A$15:A226)+$B$3)),INDEX(bhpc_data[sku],SMALL(IF(ISNUMBER(MATCH(bhpc_data[category],$EC$9,0)*MATCH(bhpc_data[sex],$EC$11,0)*MATCH(bhpc_data[size],$EC$13,0)),MATCH(ROW(bhpc_data[sku]),ROW(bhpc_data[sku])),""),ROWS($A$15:A226)+$B$3))))),"")</f>
        <v>Y00012</v>
      </c>
      <c r="EF221" s="440" t="str" cm="1">
        <f t="array" ref="EF221">IFERROR(IF($EC$9="",IF($EC$11="",IF($EC$13="",INDEX(bhpc_data[description],SMALL(MATCH(ROW(bhpc_data[sku]),ROW(bhpc_data[sku])),ROWS($A$15:A226)+$B$3)),INDEX(bhpc_data[description],SMALL(IF(ISNUMBER(MATCH(bhpc_data[size],$EC$13,0)),MATCH(ROW(bhpc_data[sku]),ROW(bhpc_data[sku])),""),ROWS($A$15:A226)+$B$3))),IF($EC$13="",INDEX(bhpc_data[description],SMALL(IF(ISNUMBER(MATCH(bhpc_data[sex],$EC$11,0)),MATCH(ROW(bhpc_data[sku]),ROW(bhpc_data[sku])),""),ROWS($A$15:A226)+$B$3)),INDEX(bhpc_data[description],SMALL(IF(ISNUMBER(MATCH(bhpc_data[sex],$EC$11,0)*MATCH(bhpc_data[size],$EC$13,0)),MATCH(ROW(bhpc_data[sku]),ROW(bhpc_data[sku])),""),ROWS($A$15:A226)+$B$3)))),IF($EC$11="",IF($EC$13="",INDEX(bhpc_data[description],SMALL(IF(ISNUMBER(MATCH(bhpc_data[category],$EC$9,0)),MATCH(ROW(bhpc_data[sku]),ROW(bhpc_data[sku])),""),ROWS($A$15:A226)+$B$3)),INDEX(bhpc_data[description],SMALL(IF(ISNUMBER(MATCH(bhpc_data[category],$EC$9,0)*MATCH(bhpc_data[size],$EC$13,0)),MATCH(ROW(bhpc_data[sku]),ROW(bhpc_data[sku])),""),ROWS($A$15:A226)+$B$3))),IF($EC$13="",INDEX(bhpc_data[description],SMALL(IF(ISNUMBER(MATCH(bhpc_data[category],$EC$9,0)*MATCH(bhpc_data[sex],$EC$11,0)),MATCH(ROW(bhpc_data[sku]),ROW(bhpc_data[sku])),""),ROWS($A$15:A226)+$B$3)),INDEX(bhpc_data[description],SMALL(IF(ISNUMBER(MATCH(bhpc_data[category],$EC$9,0)*MATCH(bhpc_data[sex],$EC$11,0)*MATCH(bhpc_data[size],$EC$13,0)),MATCH(ROW(bhpc_data[sku]),ROW(bhpc_data[sku])),""),ROWS($A$15:A226)+$B$3))))),"")</f>
        <v>YB2314C BHPC SUNGLASSES BLACK / HIGH TRANSMIT YELLOW</v>
      </c>
      <c r="EG221" s="441">
        <f>IFERROR(IF('BHPC MANAGER'!$EE221="","",INDEX(inventory[ESISTENZA],MATCH('BHPC MANAGER'!$EE221,inventory[SKU],0))),0)</f>
        <v>69</v>
      </c>
      <c r="EH221" s="442">
        <v>-5</v>
      </c>
      <c r="EI221" s="442">
        <f t="shared" si="19"/>
        <v>64</v>
      </c>
      <c r="EJ221" s="443">
        <v>0</v>
      </c>
      <c r="EK221" s="444">
        <f t="shared" si="20"/>
        <v>64</v>
      </c>
    </row>
    <row r="222" spans="63:141" x14ac:dyDescent="0.35">
      <c r="BK222" s="296"/>
      <c r="BL222" s="297"/>
      <c r="BM222" s="298"/>
      <c r="BN222" s="297"/>
      <c r="BO222" s="298"/>
      <c r="EE222" s="445" t="str" cm="1">
        <f t="array" ref="EE222">IFERROR(IF($EC$9="",IF($EC$11="",IF($EC$13="",INDEX(bhpc_data[sku],SMALL(MATCH(ROW(bhpc_data[sku]),ROW(bhpc_data[sku])),ROWS($A$15:A227)+$B$3)),INDEX(bhpc_data[sku],SMALL(IF(ISNUMBER(MATCH(bhpc_data[size],$EC$13,0)),MATCH(ROW(bhpc_data[sku]),ROW(bhpc_data[sku])),""),ROWS($A$15:A227)+$B$3))),IF($EC$13="",INDEX(bhpc_data[sku],SMALL(IF(ISNUMBER(MATCH(bhpc_data[sex],$EC$11,0)),MATCH(ROW(bhpc_data[sku]),ROW(bhpc_data[sku])),""),ROWS($A$15:A227)+$B$3)),INDEX(bhpc_data[sku],SMALL(IF(ISNUMBER(MATCH(bhpc_data[sex],$EC$11,0)*MATCH(bhpc_data[size],$EC$13,0)),MATCH(ROW(bhpc_data[sku]),ROW(bhpc_data[sku])),""),ROWS($A$15:A227)+$B$3)))),IF($EC$11="",IF($EC$13="",INDEX(bhpc_data[sku],SMALL(IF(ISNUMBER(MATCH(bhpc_data[category],$EC$9,0)),MATCH(ROW(bhpc_data[sku]),ROW(bhpc_data[sku])),""),ROWS($A$15:A227)+$B$3)),INDEX(bhpc_data[sku],SMALL(IF(ISNUMBER(MATCH(bhpc_data[category],$EC$9,0)*MATCH(bhpc_data[size],$EC$13,0)),MATCH(ROW(bhpc_data[sku]),ROW(bhpc_data[sku])),""),ROWS($A$15:A227)+$B$3))),IF($EC$13="",INDEX(bhpc_data[sku],SMALL(IF(ISNUMBER(MATCH(bhpc_data[category],$EC$9,0)*MATCH(bhpc_data[sex],$EC$11,0)),MATCH(ROW(bhpc_data[sku]),ROW(bhpc_data[sku])),""),ROWS($A$15:A227)+$B$3)),INDEX(bhpc_data[sku],SMALL(IF(ISNUMBER(MATCH(bhpc_data[category],$EC$9,0)*MATCH(bhpc_data[sex],$EC$11,0)*MATCH(bhpc_data[size],$EC$13,0)),MATCH(ROW(bhpc_data[sku]),ROW(bhpc_data[sku])),""),ROWS($A$15:A227)+$B$3))))),"")</f>
        <v>Y00013</v>
      </c>
      <c r="EF222" s="446" t="str" cm="1">
        <f t="array" ref="EF222">IFERROR(IF($EC$9="",IF($EC$11="",IF($EC$13="",INDEX(bhpc_data[description],SMALL(MATCH(ROW(bhpc_data[sku]),ROW(bhpc_data[sku])),ROWS($A$15:A227)+$B$3)),INDEX(bhpc_data[description],SMALL(IF(ISNUMBER(MATCH(bhpc_data[size],$EC$13,0)),MATCH(ROW(bhpc_data[sku]),ROW(bhpc_data[sku])),""),ROWS($A$15:A227)+$B$3))),IF($EC$13="",INDEX(bhpc_data[description],SMALL(IF(ISNUMBER(MATCH(bhpc_data[sex],$EC$11,0)),MATCH(ROW(bhpc_data[sku]),ROW(bhpc_data[sku])),""),ROWS($A$15:A227)+$B$3)),INDEX(bhpc_data[description],SMALL(IF(ISNUMBER(MATCH(bhpc_data[sex],$EC$11,0)*MATCH(bhpc_data[size],$EC$13,0)),MATCH(ROW(bhpc_data[sku]),ROW(bhpc_data[sku])),""),ROWS($A$15:A227)+$B$3)))),IF($EC$11="",IF($EC$13="",INDEX(bhpc_data[description],SMALL(IF(ISNUMBER(MATCH(bhpc_data[category],$EC$9,0)),MATCH(ROW(bhpc_data[sku]),ROW(bhpc_data[sku])),""),ROWS($A$15:A227)+$B$3)),INDEX(bhpc_data[description],SMALL(IF(ISNUMBER(MATCH(bhpc_data[category],$EC$9,0)*MATCH(bhpc_data[size],$EC$13,0)),MATCH(ROW(bhpc_data[sku]),ROW(bhpc_data[sku])),""),ROWS($A$15:A227)+$B$3))),IF($EC$13="",INDEX(bhpc_data[description],SMALL(IF(ISNUMBER(MATCH(bhpc_data[category],$EC$9,0)*MATCH(bhpc_data[sex],$EC$11,0)),MATCH(ROW(bhpc_data[sku]),ROW(bhpc_data[sku])),""),ROWS($A$15:A227)+$B$3)),INDEX(bhpc_data[description],SMALL(IF(ISNUMBER(MATCH(bhpc_data[category],$EC$9,0)*MATCH(bhpc_data[sex],$EC$11,0)*MATCH(bhpc_data[size],$EC$13,0)),MATCH(ROW(bhpc_data[sku]),ROW(bhpc_data[sku])),""),ROWS($A$15:A227)+$B$3))))),"")</f>
        <v>YB1304A BHPC SUNGLASSES GUN/TRANSP.GREY/GRADIENT GREY</v>
      </c>
      <c r="EG222" s="447">
        <f>IFERROR(IF('BHPC MANAGER'!$EE222="","",INDEX(inventory[ESISTENZA],MATCH('BHPC MANAGER'!$EE222,inventory[SKU],0))),0)</f>
        <v>69</v>
      </c>
      <c r="EH222" s="448">
        <v>-5</v>
      </c>
      <c r="EI222" s="448">
        <f t="shared" si="19"/>
        <v>64</v>
      </c>
      <c r="EJ222" s="449">
        <v>0</v>
      </c>
      <c r="EK222" s="450">
        <f t="shared" si="20"/>
        <v>64</v>
      </c>
    </row>
    <row r="223" spans="63:141" x14ac:dyDescent="0.35">
      <c r="BK223" s="296"/>
      <c r="BL223" s="297"/>
      <c r="BM223" s="298"/>
      <c r="BN223" s="297"/>
      <c r="BO223" s="298"/>
      <c r="EE223" s="439" t="str" cm="1">
        <f t="array" ref="EE223">IFERROR(IF($EC$9="",IF($EC$11="",IF($EC$13="",INDEX(bhpc_data[sku],SMALL(MATCH(ROW(bhpc_data[sku]),ROW(bhpc_data[sku])),ROWS($A$15:A228)+$B$3)),INDEX(bhpc_data[sku],SMALL(IF(ISNUMBER(MATCH(bhpc_data[size],$EC$13,0)),MATCH(ROW(bhpc_data[sku]),ROW(bhpc_data[sku])),""),ROWS($A$15:A228)+$B$3))),IF($EC$13="",INDEX(bhpc_data[sku],SMALL(IF(ISNUMBER(MATCH(bhpc_data[sex],$EC$11,0)),MATCH(ROW(bhpc_data[sku]),ROW(bhpc_data[sku])),""),ROWS($A$15:A228)+$B$3)),INDEX(bhpc_data[sku],SMALL(IF(ISNUMBER(MATCH(bhpc_data[sex],$EC$11,0)*MATCH(bhpc_data[size],$EC$13,0)),MATCH(ROW(bhpc_data[sku]),ROW(bhpc_data[sku])),""),ROWS($A$15:A228)+$B$3)))),IF($EC$11="",IF($EC$13="",INDEX(bhpc_data[sku],SMALL(IF(ISNUMBER(MATCH(bhpc_data[category],$EC$9,0)),MATCH(ROW(bhpc_data[sku]),ROW(bhpc_data[sku])),""),ROWS($A$15:A228)+$B$3)),INDEX(bhpc_data[sku],SMALL(IF(ISNUMBER(MATCH(bhpc_data[category],$EC$9,0)*MATCH(bhpc_data[size],$EC$13,0)),MATCH(ROW(bhpc_data[sku]),ROW(bhpc_data[sku])),""),ROWS($A$15:A228)+$B$3))),IF($EC$13="",INDEX(bhpc_data[sku],SMALL(IF(ISNUMBER(MATCH(bhpc_data[category],$EC$9,0)*MATCH(bhpc_data[sex],$EC$11,0)),MATCH(ROW(bhpc_data[sku]),ROW(bhpc_data[sku])),""),ROWS($A$15:A228)+$B$3)),INDEX(bhpc_data[sku],SMALL(IF(ISNUMBER(MATCH(bhpc_data[category],$EC$9,0)*MATCH(bhpc_data[sex],$EC$11,0)*MATCH(bhpc_data[size],$EC$13,0)),MATCH(ROW(bhpc_data[sku]),ROW(bhpc_data[sku])),""),ROWS($A$15:A228)+$B$3))))),"")</f>
        <v>Y00014</v>
      </c>
      <c r="EF223" s="440" t="str" cm="1">
        <f t="array" ref="EF223">IFERROR(IF($EC$9="",IF($EC$11="",IF($EC$13="",INDEX(bhpc_data[description],SMALL(MATCH(ROW(bhpc_data[sku]),ROW(bhpc_data[sku])),ROWS($A$15:A228)+$B$3)),INDEX(bhpc_data[description],SMALL(IF(ISNUMBER(MATCH(bhpc_data[size],$EC$13,0)),MATCH(ROW(bhpc_data[sku]),ROW(bhpc_data[sku])),""),ROWS($A$15:A228)+$B$3))),IF($EC$13="",INDEX(bhpc_data[description],SMALL(IF(ISNUMBER(MATCH(bhpc_data[sex],$EC$11,0)),MATCH(ROW(bhpc_data[sku]),ROW(bhpc_data[sku])),""),ROWS($A$15:A228)+$B$3)),INDEX(bhpc_data[description],SMALL(IF(ISNUMBER(MATCH(bhpc_data[sex],$EC$11,0)*MATCH(bhpc_data[size],$EC$13,0)),MATCH(ROW(bhpc_data[sku]),ROW(bhpc_data[sku])),""),ROWS($A$15:A228)+$B$3)))),IF($EC$11="",IF($EC$13="",INDEX(bhpc_data[description],SMALL(IF(ISNUMBER(MATCH(bhpc_data[category],$EC$9,0)),MATCH(ROW(bhpc_data[sku]),ROW(bhpc_data[sku])),""),ROWS($A$15:A228)+$B$3)),INDEX(bhpc_data[description],SMALL(IF(ISNUMBER(MATCH(bhpc_data[category],$EC$9,0)*MATCH(bhpc_data[size],$EC$13,0)),MATCH(ROW(bhpc_data[sku]),ROW(bhpc_data[sku])),""),ROWS($A$15:A228)+$B$3))),IF($EC$13="",INDEX(bhpc_data[description],SMALL(IF(ISNUMBER(MATCH(bhpc_data[category],$EC$9,0)*MATCH(bhpc_data[sex],$EC$11,0)),MATCH(ROW(bhpc_data[sku]),ROW(bhpc_data[sku])),""),ROWS($A$15:A228)+$B$3)),INDEX(bhpc_data[description],SMALL(IF(ISNUMBER(MATCH(bhpc_data[category],$EC$9,0)*MATCH(bhpc_data[sex],$EC$11,0)*MATCH(bhpc_data[size],$EC$13,0)),MATCH(ROW(bhpc_data[sku]),ROW(bhpc_data[sku])),""),ROWS($A$15:A228)+$B$3))))),"")</f>
        <v>YB1304B BHPC SUNGLASSES GOLD/TRANSP.OLIVEGRADIENT CLAY</v>
      </c>
      <c r="EG223" s="441">
        <f>IFERROR(IF('BHPC MANAGER'!$EE223="","",INDEX(inventory[ESISTENZA],MATCH('BHPC MANAGER'!$EE223,inventory[SKU],0))),0)</f>
        <v>69</v>
      </c>
      <c r="EH223" s="442">
        <v>-5</v>
      </c>
      <c r="EI223" s="442">
        <f t="shared" si="19"/>
        <v>64</v>
      </c>
      <c r="EJ223" s="443">
        <v>0</v>
      </c>
      <c r="EK223" s="444">
        <f t="shared" si="20"/>
        <v>64</v>
      </c>
    </row>
    <row r="224" spans="63:141" x14ac:dyDescent="0.35">
      <c r="BK224" s="296"/>
      <c r="BL224" s="297"/>
      <c r="BM224" s="298"/>
      <c r="BN224" s="297"/>
      <c r="BO224" s="298"/>
      <c r="EE224" s="445" t="str" cm="1">
        <f t="array" ref="EE224">IFERROR(IF($EC$9="",IF($EC$11="",IF($EC$13="",INDEX(bhpc_data[sku],SMALL(MATCH(ROW(bhpc_data[sku]),ROW(bhpc_data[sku])),ROWS($A$15:A229)+$B$3)),INDEX(bhpc_data[sku],SMALL(IF(ISNUMBER(MATCH(bhpc_data[size],$EC$13,0)),MATCH(ROW(bhpc_data[sku]),ROW(bhpc_data[sku])),""),ROWS($A$15:A229)+$B$3))),IF($EC$13="",INDEX(bhpc_data[sku],SMALL(IF(ISNUMBER(MATCH(bhpc_data[sex],$EC$11,0)),MATCH(ROW(bhpc_data[sku]),ROW(bhpc_data[sku])),""),ROWS($A$15:A229)+$B$3)),INDEX(bhpc_data[sku],SMALL(IF(ISNUMBER(MATCH(bhpc_data[sex],$EC$11,0)*MATCH(bhpc_data[size],$EC$13,0)),MATCH(ROW(bhpc_data[sku]),ROW(bhpc_data[sku])),""),ROWS($A$15:A229)+$B$3)))),IF($EC$11="",IF($EC$13="",INDEX(bhpc_data[sku],SMALL(IF(ISNUMBER(MATCH(bhpc_data[category],$EC$9,0)),MATCH(ROW(bhpc_data[sku]),ROW(bhpc_data[sku])),""),ROWS($A$15:A229)+$B$3)),INDEX(bhpc_data[sku],SMALL(IF(ISNUMBER(MATCH(bhpc_data[category],$EC$9,0)*MATCH(bhpc_data[size],$EC$13,0)),MATCH(ROW(bhpc_data[sku]),ROW(bhpc_data[sku])),""),ROWS($A$15:A229)+$B$3))),IF($EC$13="",INDEX(bhpc_data[sku],SMALL(IF(ISNUMBER(MATCH(bhpc_data[category],$EC$9,0)*MATCH(bhpc_data[sex],$EC$11,0)),MATCH(ROW(bhpc_data[sku]),ROW(bhpc_data[sku])),""),ROWS($A$15:A229)+$B$3)),INDEX(bhpc_data[sku],SMALL(IF(ISNUMBER(MATCH(bhpc_data[category],$EC$9,0)*MATCH(bhpc_data[sex],$EC$11,0)*MATCH(bhpc_data[size],$EC$13,0)),MATCH(ROW(bhpc_data[sku]),ROW(bhpc_data[sku])),""),ROWS($A$15:A229)+$B$3))))),"")</f>
        <v>Y00015</v>
      </c>
      <c r="EF224" s="446" t="str" cm="1">
        <f t="array" ref="EF224">IFERROR(IF($EC$9="",IF($EC$11="",IF($EC$13="",INDEX(bhpc_data[description],SMALL(MATCH(ROW(bhpc_data[sku]),ROW(bhpc_data[sku])),ROWS($A$15:A229)+$B$3)),INDEX(bhpc_data[description],SMALL(IF(ISNUMBER(MATCH(bhpc_data[size],$EC$13,0)),MATCH(ROW(bhpc_data[sku]),ROW(bhpc_data[sku])),""),ROWS($A$15:A229)+$B$3))),IF($EC$13="",INDEX(bhpc_data[description],SMALL(IF(ISNUMBER(MATCH(bhpc_data[sex],$EC$11,0)),MATCH(ROW(bhpc_data[sku]),ROW(bhpc_data[sku])),""),ROWS($A$15:A229)+$B$3)),INDEX(bhpc_data[description],SMALL(IF(ISNUMBER(MATCH(bhpc_data[sex],$EC$11,0)*MATCH(bhpc_data[size],$EC$13,0)),MATCH(ROW(bhpc_data[sku]),ROW(bhpc_data[sku])),""),ROWS($A$15:A229)+$B$3)))),IF($EC$11="",IF($EC$13="",INDEX(bhpc_data[description],SMALL(IF(ISNUMBER(MATCH(bhpc_data[category],$EC$9,0)),MATCH(ROW(bhpc_data[sku]),ROW(bhpc_data[sku])),""),ROWS($A$15:A229)+$B$3)),INDEX(bhpc_data[description],SMALL(IF(ISNUMBER(MATCH(bhpc_data[category],$EC$9,0)*MATCH(bhpc_data[size],$EC$13,0)),MATCH(ROW(bhpc_data[sku]),ROW(bhpc_data[sku])),""),ROWS($A$15:A229)+$B$3))),IF($EC$13="",INDEX(bhpc_data[description],SMALL(IF(ISNUMBER(MATCH(bhpc_data[category],$EC$9,0)*MATCH(bhpc_data[sex],$EC$11,0)),MATCH(ROW(bhpc_data[sku]),ROW(bhpc_data[sku])),""),ROWS($A$15:A229)+$B$3)),INDEX(bhpc_data[description],SMALL(IF(ISNUMBER(MATCH(bhpc_data[category],$EC$9,0)*MATCH(bhpc_data[sex],$EC$11,0)*MATCH(bhpc_data[size],$EC$13,0)),MATCH(ROW(bhpc_data[sku]),ROW(bhpc_data[sku])),""),ROWS($A$15:A229)+$B$3))))),"")</f>
        <v>YB1304C BHPC SUNGLASSES GUN/TRANSP. BLUE/GRADIENT BLU</v>
      </c>
      <c r="EG224" s="447">
        <f>IFERROR(IF('BHPC MANAGER'!$EE224="","",INDEX(inventory[ESISTENZA],MATCH('BHPC MANAGER'!$EE224,inventory[SKU],0))),0)</f>
        <v>69</v>
      </c>
      <c r="EH224" s="448">
        <v>-5</v>
      </c>
      <c r="EI224" s="448">
        <f t="shared" si="19"/>
        <v>64</v>
      </c>
      <c r="EJ224" s="449">
        <v>0</v>
      </c>
      <c r="EK224" s="450">
        <f t="shared" si="20"/>
        <v>64</v>
      </c>
    </row>
    <row r="225" spans="63:141" x14ac:dyDescent="0.35">
      <c r="BK225" s="296"/>
      <c r="BL225" s="297"/>
      <c r="BM225" s="298"/>
      <c r="BN225" s="297"/>
      <c r="BO225" s="298"/>
      <c r="EE225" s="439" t="str" cm="1">
        <f t="array" ref="EE225">IFERROR(IF($EC$9="",IF($EC$11="",IF($EC$13="",INDEX(bhpc_data[sku],SMALL(MATCH(ROW(bhpc_data[sku]),ROW(bhpc_data[sku])),ROWS($A$15:A230)+$B$3)),INDEX(bhpc_data[sku],SMALL(IF(ISNUMBER(MATCH(bhpc_data[size],$EC$13,0)),MATCH(ROW(bhpc_data[sku]),ROW(bhpc_data[sku])),""),ROWS($A$15:A230)+$B$3))),IF($EC$13="",INDEX(bhpc_data[sku],SMALL(IF(ISNUMBER(MATCH(bhpc_data[sex],$EC$11,0)),MATCH(ROW(bhpc_data[sku]),ROW(bhpc_data[sku])),""),ROWS($A$15:A230)+$B$3)),INDEX(bhpc_data[sku],SMALL(IF(ISNUMBER(MATCH(bhpc_data[sex],$EC$11,0)*MATCH(bhpc_data[size],$EC$13,0)),MATCH(ROW(bhpc_data[sku]),ROW(bhpc_data[sku])),""),ROWS($A$15:A230)+$B$3)))),IF($EC$11="",IF($EC$13="",INDEX(bhpc_data[sku],SMALL(IF(ISNUMBER(MATCH(bhpc_data[category],$EC$9,0)),MATCH(ROW(bhpc_data[sku]),ROW(bhpc_data[sku])),""),ROWS($A$15:A230)+$B$3)),INDEX(bhpc_data[sku],SMALL(IF(ISNUMBER(MATCH(bhpc_data[category],$EC$9,0)*MATCH(bhpc_data[size],$EC$13,0)),MATCH(ROW(bhpc_data[sku]),ROW(bhpc_data[sku])),""),ROWS($A$15:A230)+$B$3))),IF($EC$13="",INDEX(bhpc_data[sku],SMALL(IF(ISNUMBER(MATCH(bhpc_data[category],$EC$9,0)*MATCH(bhpc_data[sex],$EC$11,0)),MATCH(ROW(bhpc_data[sku]),ROW(bhpc_data[sku])),""),ROWS($A$15:A230)+$B$3)),INDEX(bhpc_data[sku],SMALL(IF(ISNUMBER(MATCH(bhpc_data[category],$EC$9,0)*MATCH(bhpc_data[sex],$EC$11,0)*MATCH(bhpc_data[size],$EC$13,0)),MATCH(ROW(bhpc_data[sku]),ROW(bhpc_data[sku])),""),ROWS($A$15:A230)+$B$3))))),"")</f>
        <v>Y00016</v>
      </c>
      <c r="EF225" s="440" t="str" cm="1">
        <f t="array" ref="EF225">IFERROR(IF($EC$9="",IF($EC$11="",IF($EC$13="",INDEX(bhpc_data[description],SMALL(MATCH(ROW(bhpc_data[sku]),ROW(bhpc_data[sku])),ROWS($A$15:A230)+$B$3)),INDEX(bhpc_data[description],SMALL(IF(ISNUMBER(MATCH(bhpc_data[size],$EC$13,0)),MATCH(ROW(bhpc_data[sku]),ROW(bhpc_data[sku])),""),ROWS($A$15:A230)+$B$3))),IF($EC$13="",INDEX(bhpc_data[description],SMALL(IF(ISNUMBER(MATCH(bhpc_data[sex],$EC$11,0)),MATCH(ROW(bhpc_data[sku]),ROW(bhpc_data[sku])),""),ROWS($A$15:A230)+$B$3)),INDEX(bhpc_data[description],SMALL(IF(ISNUMBER(MATCH(bhpc_data[sex],$EC$11,0)*MATCH(bhpc_data[size],$EC$13,0)),MATCH(ROW(bhpc_data[sku]),ROW(bhpc_data[sku])),""),ROWS($A$15:A230)+$B$3)))),IF($EC$11="",IF($EC$13="",INDEX(bhpc_data[description],SMALL(IF(ISNUMBER(MATCH(bhpc_data[category],$EC$9,0)),MATCH(ROW(bhpc_data[sku]),ROW(bhpc_data[sku])),""),ROWS($A$15:A230)+$B$3)),INDEX(bhpc_data[description],SMALL(IF(ISNUMBER(MATCH(bhpc_data[category],$EC$9,0)*MATCH(bhpc_data[size],$EC$13,0)),MATCH(ROW(bhpc_data[sku]),ROW(bhpc_data[sku])),""),ROWS($A$15:A230)+$B$3))),IF($EC$13="",INDEX(bhpc_data[description],SMALL(IF(ISNUMBER(MATCH(bhpc_data[category],$EC$9,0)*MATCH(bhpc_data[sex],$EC$11,0)),MATCH(ROW(bhpc_data[sku]),ROW(bhpc_data[sku])),""),ROWS($A$15:A230)+$B$3)),INDEX(bhpc_data[description],SMALL(IF(ISNUMBER(MATCH(bhpc_data[category],$EC$9,0)*MATCH(bhpc_data[sex],$EC$11,0)*MATCH(bhpc_data[size],$EC$13,0)),MATCH(ROW(bhpc_data[sku]),ROW(bhpc_data[sku])),""),ROWS($A$15:A230)+$B$3))))),"")</f>
        <v>YB1308A BHPC SUNGLASSES SATIN GUN/SOLID SMOKE</v>
      </c>
      <c r="EG225" s="441">
        <f>IFERROR(IF('BHPC MANAGER'!$EE225="","",INDEX(inventory[ESISTENZA],MATCH('BHPC MANAGER'!$EE225,inventory[SKU],0))),0)</f>
        <v>0</v>
      </c>
      <c r="EH225" s="442" t="s">
        <v>861</v>
      </c>
      <c r="EI225" s="442">
        <f t="shared" si="19"/>
        <v>0</v>
      </c>
      <c r="EJ225" s="443" t="s">
        <v>861</v>
      </c>
      <c r="EK225" s="444">
        <f t="shared" si="20"/>
        <v>0</v>
      </c>
    </row>
    <row r="226" spans="63:141" x14ac:dyDescent="0.35">
      <c r="BK226" s="296"/>
      <c r="BL226" s="297"/>
      <c r="BM226" s="298"/>
      <c r="BN226" s="297"/>
      <c r="BO226" s="298"/>
      <c r="EE226" s="445" t="str" cm="1">
        <f t="array" ref="EE226">IFERROR(IF($EC$9="",IF($EC$11="",IF($EC$13="",INDEX(bhpc_data[sku],SMALL(MATCH(ROW(bhpc_data[sku]),ROW(bhpc_data[sku])),ROWS($A$15:A231)+$B$3)),INDEX(bhpc_data[sku],SMALL(IF(ISNUMBER(MATCH(bhpc_data[size],$EC$13,0)),MATCH(ROW(bhpc_data[sku]),ROW(bhpc_data[sku])),""),ROWS($A$15:A231)+$B$3))),IF($EC$13="",INDEX(bhpc_data[sku],SMALL(IF(ISNUMBER(MATCH(bhpc_data[sex],$EC$11,0)),MATCH(ROW(bhpc_data[sku]),ROW(bhpc_data[sku])),""),ROWS($A$15:A231)+$B$3)),INDEX(bhpc_data[sku],SMALL(IF(ISNUMBER(MATCH(bhpc_data[sex],$EC$11,0)*MATCH(bhpc_data[size],$EC$13,0)),MATCH(ROW(bhpc_data[sku]),ROW(bhpc_data[sku])),""),ROWS($A$15:A231)+$B$3)))),IF($EC$11="",IF($EC$13="",INDEX(bhpc_data[sku],SMALL(IF(ISNUMBER(MATCH(bhpc_data[category],$EC$9,0)),MATCH(ROW(bhpc_data[sku]),ROW(bhpc_data[sku])),""),ROWS($A$15:A231)+$B$3)),INDEX(bhpc_data[sku],SMALL(IF(ISNUMBER(MATCH(bhpc_data[category],$EC$9,0)*MATCH(bhpc_data[size],$EC$13,0)),MATCH(ROW(bhpc_data[sku]),ROW(bhpc_data[sku])),""),ROWS($A$15:A231)+$B$3))),IF($EC$13="",INDEX(bhpc_data[sku],SMALL(IF(ISNUMBER(MATCH(bhpc_data[category],$EC$9,0)*MATCH(bhpc_data[sex],$EC$11,0)),MATCH(ROW(bhpc_data[sku]),ROW(bhpc_data[sku])),""),ROWS($A$15:A231)+$B$3)),INDEX(bhpc_data[sku],SMALL(IF(ISNUMBER(MATCH(bhpc_data[category],$EC$9,0)*MATCH(bhpc_data[sex],$EC$11,0)*MATCH(bhpc_data[size],$EC$13,0)),MATCH(ROW(bhpc_data[sku]),ROW(bhpc_data[sku])),""),ROWS($A$15:A231)+$B$3))))),"")</f>
        <v>Y00017</v>
      </c>
      <c r="EF226" s="446" t="str" cm="1">
        <f t="array" ref="EF226">IFERROR(IF($EC$9="",IF($EC$11="",IF($EC$13="",INDEX(bhpc_data[description],SMALL(MATCH(ROW(bhpc_data[sku]),ROW(bhpc_data[sku])),ROWS($A$15:A231)+$B$3)),INDEX(bhpc_data[description],SMALL(IF(ISNUMBER(MATCH(bhpc_data[size],$EC$13,0)),MATCH(ROW(bhpc_data[sku]),ROW(bhpc_data[sku])),""),ROWS($A$15:A231)+$B$3))),IF($EC$13="",INDEX(bhpc_data[description],SMALL(IF(ISNUMBER(MATCH(bhpc_data[sex],$EC$11,0)),MATCH(ROW(bhpc_data[sku]),ROW(bhpc_data[sku])),""),ROWS($A$15:A231)+$B$3)),INDEX(bhpc_data[description],SMALL(IF(ISNUMBER(MATCH(bhpc_data[sex],$EC$11,0)*MATCH(bhpc_data[size],$EC$13,0)),MATCH(ROW(bhpc_data[sku]),ROW(bhpc_data[sku])),""),ROWS($A$15:A231)+$B$3)))),IF($EC$11="",IF($EC$13="",INDEX(bhpc_data[description],SMALL(IF(ISNUMBER(MATCH(bhpc_data[category],$EC$9,0)),MATCH(ROW(bhpc_data[sku]),ROW(bhpc_data[sku])),""),ROWS($A$15:A231)+$B$3)),INDEX(bhpc_data[description],SMALL(IF(ISNUMBER(MATCH(bhpc_data[category],$EC$9,0)*MATCH(bhpc_data[size],$EC$13,0)),MATCH(ROW(bhpc_data[sku]),ROW(bhpc_data[sku])),""),ROWS($A$15:A231)+$B$3))),IF($EC$13="",INDEX(bhpc_data[description],SMALL(IF(ISNUMBER(MATCH(bhpc_data[category],$EC$9,0)*MATCH(bhpc_data[sex],$EC$11,0)),MATCH(ROW(bhpc_data[sku]),ROW(bhpc_data[sku])),""),ROWS($A$15:A231)+$B$3)),INDEX(bhpc_data[description],SMALL(IF(ISNUMBER(MATCH(bhpc_data[category],$EC$9,0)*MATCH(bhpc_data[sex],$EC$11,0)*MATCH(bhpc_data[size],$EC$13,0)),MATCH(ROW(bhpc_data[sku]),ROW(bhpc_data[sku])),""),ROWS($A$15:A231)+$B$3))))),"")</f>
        <v>YB1308B BHPC SUNGLASSES GUN/SOLID BROWN</v>
      </c>
      <c r="EG226" s="447">
        <f>IFERROR(IF('BHPC MANAGER'!$EE226="","",INDEX(inventory[ESISTENZA],MATCH('BHPC MANAGER'!$EE226,inventory[SKU],0))),0)</f>
        <v>0</v>
      </c>
      <c r="EH226" s="448" t="s">
        <v>861</v>
      </c>
      <c r="EI226" s="448">
        <f t="shared" si="19"/>
        <v>0</v>
      </c>
      <c r="EJ226" s="449" t="s">
        <v>861</v>
      </c>
      <c r="EK226" s="450">
        <f t="shared" si="20"/>
        <v>0</v>
      </c>
    </row>
    <row r="227" spans="63:141" x14ac:dyDescent="0.35">
      <c r="BK227" s="296"/>
      <c r="BL227" s="297"/>
      <c r="BM227" s="298"/>
      <c r="BN227" s="297"/>
      <c r="BO227" s="298"/>
      <c r="EE227" s="439" t="str" cm="1">
        <f t="array" ref="EE227">IFERROR(IF($EC$9="",IF($EC$11="",IF($EC$13="",INDEX(bhpc_data[sku],SMALL(MATCH(ROW(bhpc_data[sku]),ROW(bhpc_data[sku])),ROWS($A$15:A232)+$B$3)),INDEX(bhpc_data[sku],SMALL(IF(ISNUMBER(MATCH(bhpc_data[size],$EC$13,0)),MATCH(ROW(bhpc_data[sku]),ROW(bhpc_data[sku])),""),ROWS($A$15:A232)+$B$3))),IF($EC$13="",INDEX(bhpc_data[sku],SMALL(IF(ISNUMBER(MATCH(bhpc_data[sex],$EC$11,0)),MATCH(ROW(bhpc_data[sku]),ROW(bhpc_data[sku])),""),ROWS($A$15:A232)+$B$3)),INDEX(bhpc_data[sku],SMALL(IF(ISNUMBER(MATCH(bhpc_data[sex],$EC$11,0)*MATCH(bhpc_data[size],$EC$13,0)),MATCH(ROW(bhpc_data[sku]),ROW(bhpc_data[sku])),""),ROWS($A$15:A232)+$B$3)))),IF($EC$11="",IF($EC$13="",INDEX(bhpc_data[sku],SMALL(IF(ISNUMBER(MATCH(bhpc_data[category],$EC$9,0)),MATCH(ROW(bhpc_data[sku]),ROW(bhpc_data[sku])),""),ROWS($A$15:A232)+$B$3)),INDEX(bhpc_data[sku],SMALL(IF(ISNUMBER(MATCH(bhpc_data[category],$EC$9,0)*MATCH(bhpc_data[size],$EC$13,0)),MATCH(ROW(bhpc_data[sku]),ROW(bhpc_data[sku])),""),ROWS($A$15:A232)+$B$3))),IF($EC$13="",INDEX(bhpc_data[sku],SMALL(IF(ISNUMBER(MATCH(bhpc_data[category],$EC$9,0)*MATCH(bhpc_data[sex],$EC$11,0)),MATCH(ROW(bhpc_data[sku]),ROW(bhpc_data[sku])),""),ROWS($A$15:A232)+$B$3)),INDEX(bhpc_data[sku],SMALL(IF(ISNUMBER(MATCH(bhpc_data[category],$EC$9,0)*MATCH(bhpc_data[sex],$EC$11,0)*MATCH(bhpc_data[size],$EC$13,0)),MATCH(ROW(bhpc_data[sku]),ROW(bhpc_data[sku])),""),ROWS($A$15:A232)+$B$3))))),"")</f>
        <v>Y00018</v>
      </c>
      <c r="EF227" s="440" t="str" cm="1">
        <f t="array" ref="EF227">IFERROR(IF($EC$9="",IF($EC$11="",IF($EC$13="",INDEX(bhpc_data[description],SMALL(MATCH(ROW(bhpc_data[sku]),ROW(bhpc_data[sku])),ROWS($A$15:A232)+$B$3)),INDEX(bhpc_data[description],SMALL(IF(ISNUMBER(MATCH(bhpc_data[size],$EC$13,0)),MATCH(ROW(bhpc_data[sku]),ROW(bhpc_data[sku])),""),ROWS($A$15:A232)+$B$3))),IF($EC$13="",INDEX(bhpc_data[description],SMALL(IF(ISNUMBER(MATCH(bhpc_data[sex],$EC$11,0)),MATCH(ROW(bhpc_data[sku]),ROW(bhpc_data[sku])),""),ROWS($A$15:A232)+$B$3)),INDEX(bhpc_data[description],SMALL(IF(ISNUMBER(MATCH(bhpc_data[sex],$EC$11,0)*MATCH(bhpc_data[size],$EC$13,0)),MATCH(ROW(bhpc_data[sku]),ROW(bhpc_data[sku])),""),ROWS($A$15:A232)+$B$3)))),IF($EC$11="",IF($EC$13="",INDEX(bhpc_data[description],SMALL(IF(ISNUMBER(MATCH(bhpc_data[category],$EC$9,0)),MATCH(ROW(bhpc_data[sku]),ROW(bhpc_data[sku])),""),ROWS($A$15:A232)+$B$3)),INDEX(bhpc_data[description],SMALL(IF(ISNUMBER(MATCH(bhpc_data[category],$EC$9,0)*MATCH(bhpc_data[size],$EC$13,0)),MATCH(ROW(bhpc_data[sku]),ROW(bhpc_data[sku])),""),ROWS($A$15:A232)+$B$3))),IF($EC$13="",INDEX(bhpc_data[description],SMALL(IF(ISNUMBER(MATCH(bhpc_data[category],$EC$9,0)*MATCH(bhpc_data[sex],$EC$11,0)),MATCH(ROW(bhpc_data[sku]),ROW(bhpc_data[sku])),""),ROWS($A$15:A232)+$B$3)),INDEX(bhpc_data[description],SMALL(IF(ISNUMBER(MATCH(bhpc_data[category],$EC$9,0)*MATCH(bhpc_data[sex],$EC$11,0)*MATCH(bhpc_data[size],$EC$13,0)),MATCH(ROW(bhpc_data[sku]),ROW(bhpc_data[sku])),""),ROWS($A$15:A232)+$B$3))))),"")</f>
        <v>YB1308C BHPC SUNGLASSES SATIN GOLD/SOLID GREEN</v>
      </c>
      <c r="EG227" s="441">
        <f>IFERROR(IF('BHPC MANAGER'!$EE227="","",INDEX(inventory[ESISTENZA],MATCH('BHPC MANAGER'!$EE227,inventory[SKU],0))),0)</f>
        <v>0</v>
      </c>
      <c r="EH227" s="442" t="s">
        <v>861</v>
      </c>
      <c r="EI227" s="442">
        <f t="shared" si="19"/>
        <v>0</v>
      </c>
      <c r="EJ227" s="443" t="s">
        <v>861</v>
      </c>
      <c r="EK227" s="444">
        <f t="shared" si="20"/>
        <v>0</v>
      </c>
    </row>
    <row r="228" spans="63:141" x14ac:dyDescent="0.35">
      <c r="BK228" s="296"/>
      <c r="BL228" s="297"/>
      <c r="BM228" s="298"/>
      <c r="BN228" s="297"/>
      <c r="BO228" s="298"/>
      <c r="EE228" s="445" t="str" cm="1">
        <f t="array" ref="EE228">IFERROR(IF($EC$9="",IF($EC$11="",IF($EC$13="",INDEX(bhpc_data[sku],SMALL(MATCH(ROW(bhpc_data[sku]),ROW(bhpc_data[sku])),ROWS($A$15:A233)+$B$3)),INDEX(bhpc_data[sku],SMALL(IF(ISNUMBER(MATCH(bhpc_data[size],$EC$13,0)),MATCH(ROW(bhpc_data[sku]),ROW(bhpc_data[sku])),""),ROWS($A$15:A233)+$B$3))),IF($EC$13="",INDEX(bhpc_data[sku],SMALL(IF(ISNUMBER(MATCH(bhpc_data[sex],$EC$11,0)),MATCH(ROW(bhpc_data[sku]),ROW(bhpc_data[sku])),""),ROWS($A$15:A233)+$B$3)),INDEX(bhpc_data[sku],SMALL(IF(ISNUMBER(MATCH(bhpc_data[sex],$EC$11,0)*MATCH(bhpc_data[size],$EC$13,0)),MATCH(ROW(bhpc_data[sku]),ROW(bhpc_data[sku])),""),ROWS($A$15:A233)+$B$3)))),IF($EC$11="",IF($EC$13="",INDEX(bhpc_data[sku],SMALL(IF(ISNUMBER(MATCH(bhpc_data[category],$EC$9,0)),MATCH(ROW(bhpc_data[sku]),ROW(bhpc_data[sku])),""),ROWS($A$15:A233)+$B$3)),INDEX(bhpc_data[sku],SMALL(IF(ISNUMBER(MATCH(bhpc_data[category],$EC$9,0)*MATCH(bhpc_data[size],$EC$13,0)),MATCH(ROW(bhpc_data[sku]),ROW(bhpc_data[sku])),""),ROWS($A$15:A233)+$B$3))),IF($EC$13="",INDEX(bhpc_data[sku],SMALL(IF(ISNUMBER(MATCH(bhpc_data[category],$EC$9,0)*MATCH(bhpc_data[sex],$EC$11,0)),MATCH(ROW(bhpc_data[sku]),ROW(bhpc_data[sku])),""),ROWS($A$15:A233)+$B$3)),INDEX(bhpc_data[sku],SMALL(IF(ISNUMBER(MATCH(bhpc_data[category],$EC$9,0)*MATCH(bhpc_data[sex],$EC$11,0)*MATCH(bhpc_data[size],$EC$13,0)),MATCH(ROW(bhpc_data[sku]),ROW(bhpc_data[sku])),""),ROWS($A$15:A233)+$B$3))))),"")</f>
        <v>Y00019</v>
      </c>
      <c r="EF228" s="446" t="str" cm="1">
        <f t="array" ref="EF228">IFERROR(IF($EC$9="",IF($EC$11="",IF($EC$13="",INDEX(bhpc_data[description],SMALL(MATCH(ROW(bhpc_data[sku]),ROW(bhpc_data[sku])),ROWS($A$15:A233)+$B$3)),INDEX(bhpc_data[description],SMALL(IF(ISNUMBER(MATCH(bhpc_data[size],$EC$13,0)),MATCH(ROW(bhpc_data[sku]),ROW(bhpc_data[sku])),""),ROWS($A$15:A233)+$B$3))),IF($EC$13="",INDEX(bhpc_data[description],SMALL(IF(ISNUMBER(MATCH(bhpc_data[sex],$EC$11,0)),MATCH(ROW(bhpc_data[sku]),ROW(bhpc_data[sku])),""),ROWS($A$15:A233)+$B$3)),INDEX(bhpc_data[description],SMALL(IF(ISNUMBER(MATCH(bhpc_data[sex],$EC$11,0)*MATCH(bhpc_data[size],$EC$13,0)),MATCH(ROW(bhpc_data[sku]),ROW(bhpc_data[sku])),""),ROWS($A$15:A233)+$B$3)))),IF($EC$11="",IF($EC$13="",INDEX(bhpc_data[description],SMALL(IF(ISNUMBER(MATCH(bhpc_data[category],$EC$9,0)),MATCH(ROW(bhpc_data[sku]),ROW(bhpc_data[sku])),""),ROWS($A$15:A233)+$B$3)),INDEX(bhpc_data[description],SMALL(IF(ISNUMBER(MATCH(bhpc_data[category],$EC$9,0)*MATCH(bhpc_data[size],$EC$13,0)),MATCH(ROW(bhpc_data[sku]),ROW(bhpc_data[sku])),""),ROWS($A$15:A233)+$B$3))),IF($EC$13="",INDEX(bhpc_data[description],SMALL(IF(ISNUMBER(MATCH(bhpc_data[category],$EC$9,0)*MATCH(bhpc_data[sex],$EC$11,0)),MATCH(ROW(bhpc_data[sku]),ROW(bhpc_data[sku])),""),ROWS($A$15:A233)+$B$3)),INDEX(bhpc_data[description],SMALL(IF(ISNUMBER(MATCH(bhpc_data[category],$EC$9,0)*MATCH(bhpc_data[sex],$EC$11,0)*MATCH(bhpc_data[size],$EC$13,0)),MATCH(ROW(bhpc_data[sku]),ROW(bhpc_data[sku])),""),ROWS($A$15:A233)+$B$3))))),"")</f>
        <v>YB1305A BHPC SUNGLASSES GOLD / SOLID GREEN</v>
      </c>
      <c r="EG228" s="447">
        <f>IFERROR(IF('BHPC MANAGER'!$EE228="","",INDEX(inventory[ESISTENZA],MATCH('BHPC MANAGER'!$EE228,inventory[SKU],0))),0)</f>
        <v>0</v>
      </c>
      <c r="EH228" s="448" t="s">
        <v>861</v>
      </c>
      <c r="EI228" s="448">
        <f t="shared" si="19"/>
        <v>0</v>
      </c>
      <c r="EJ228" s="449" t="s">
        <v>861</v>
      </c>
      <c r="EK228" s="450">
        <f t="shared" si="20"/>
        <v>0</v>
      </c>
    </row>
    <row r="229" spans="63:141" x14ac:dyDescent="0.35">
      <c r="BK229" s="296"/>
      <c r="BL229" s="297"/>
      <c r="BM229" s="298"/>
      <c r="BN229" s="297"/>
      <c r="BO229" s="298"/>
      <c r="EE229" s="439" t="str" cm="1">
        <f t="array" ref="EE229">IFERROR(IF($EC$9="",IF($EC$11="",IF($EC$13="",INDEX(bhpc_data[sku],SMALL(MATCH(ROW(bhpc_data[sku]),ROW(bhpc_data[sku])),ROWS($A$15:A234)+$B$3)),INDEX(bhpc_data[sku],SMALL(IF(ISNUMBER(MATCH(bhpc_data[size],$EC$13,0)),MATCH(ROW(bhpc_data[sku]),ROW(bhpc_data[sku])),""),ROWS($A$15:A234)+$B$3))),IF($EC$13="",INDEX(bhpc_data[sku],SMALL(IF(ISNUMBER(MATCH(bhpc_data[sex],$EC$11,0)),MATCH(ROW(bhpc_data[sku]),ROW(bhpc_data[sku])),""),ROWS($A$15:A234)+$B$3)),INDEX(bhpc_data[sku],SMALL(IF(ISNUMBER(MATCH(bhpc_data[sex],$EC$11,0)*MATCH(bhpc_data[size],$EC$13,0)),MATCH(ROW(bhpc_data[sku]),ROW(bhpc_data[sku])),""),ROWS($A$15:A234)+$B$3)))),IF($EC$11="",IF($EC$13="",INDEX(bhpc_data[sku],SMALL(IF(ISNUMBER(MATCH(bhpc_data[category],$EC$9,0)),MATCH(ROW(bhpc_data[sku]),ROW(bhpc_data[sku])),""),ROWS($A$15:A234)+$B$3)),INDEX(bhpc_data[sku],SMALL(IF(ISNUMBER(MATCH(bhpc_data[category],$EC$9,0)*MATCH(bhpc_data[size],$EC$13,0)),MATCH(ROW(bhpc_data[sku]),ROW(bhpc_data[sku])),""),ROWS($A$15:A234)+$B$3))),IF($EC$13="",INDEX(bhpc_data[sku],SMALL(IF(ISNUMBER(MATCH(bhpc_data[category],$EC$9,0)*MATCH(bhpc_data[sex],$EC$11,0)),MATCH(ROW(bhpc_data[sku]),ROW(bhpc_data[sku])),""),ROWS($A$15:A234)+$B$3)),INDEX(bhpc_data[sku],SMALL(IF(ISNUMBER(MATCH(bhpc_data[category],$EC$9,0)*MATCH(bhpc_data[sex],$EC$11,0)*MATCH(bhpc_data[size],$EC$13,0)),MATCH(ROW(bhpc_data[sku]),ROW(bhpc_data[sku])),""),ROWS($A$15:A234)+$B$3))))),"")</f>
        <v>Y00020</v>
      </c>
      <c r="EF229" s="440" t="str" cm="1">
        <f t="array" ref="EF229">IFERROR(IF($EC$9="",IF($EC$11="",IF($EC$13="",INDEX(bhpc_data[description],SMALL(MATCH(ROW(bhpc_data[sku]),ROW(bhpc_data[sku])),ROWS($A$15:A234)+$B$3)),INDEX(bhpc_data[description],SMALL(IF(ISNUMBER(MATCH(bhpc_data[size],$EC$13,0)),MATCH(ROW(bhpc_data[sku]),ROW(bhpc_data[sku])),""),ROWS($A$15:A234)+$B$3))),IF($EC$13="",INDEX(bhpc_data[description],SMALL(IF(ISNUMBER(MATCH(bhpc_data[sex],$EC$11,0)),MATCH(ROW(bhpc_data[sku]),ROW(bhpc_data[sku])),""),ROWS($A$15:A234)+$B$3)),INDEX(bhpc_data[description],SMALL(IF(ISNUMBER(MATCH(bhpc_data[sex],$EC$11,0)*MATCH(bhpc_data[size],$EC$13,0)),MATCH(ROW(bhpc_data[sku]),ROW(bhpc_data[sku])),""),ROWS($A$15:A234)+$B$3)))),IF($EC$11="",IF($EC$13="",INDEX(bhpc_data[description],SMALL(IF(ISNUMBER(MATCH(bhpc_data[category],$EC$9,0)),MATCH(ROW(bhpc_data[sku]),ROW(bhpc_data[sku])),""),ROWS($A$15:A234)+$B$3)),INDEX(bhpc_data[description],SMALL(IF(ISNUMBER(MATCH(bhpc_data[category],$EC$9,0)*MATCH(bhpc_data[size],$EC$13,0)),MATCH(ROW(bhpc_data[sku]),ROW(bhpc_data[sku])),""),ROWS($A$15:A234)+$B$3))),IF($EC$13="",INDEX(bhpc_data[description],SMALL(IF(ISNUMBER(MATCH(bhpc_data[category],$EC$9,0)*MATCH(bhpc_data[sex],$EC$11,0)),MATCH(ROW(bhpc_data[sku]),ROW(bhpc_data[sku])),""),ROWS($A$15:A234)+$B$3)),INDEX(bhpc_data[description],SMALL(IF(ISNUMBER(MATCH(bhpc_data[category],$EC$9,0)*MATCH(bhpc_data[sex],$EC$11,0)*MATCH(bhpc_data[size],$EC$13,0)),MATCH(ROW(bhpc_data[sku]),ROW(bhpc_data[sku])),""),ROWS($A$15:A234)+$B$3))))),"")</f>
        <v>YB1305B BHPC SUNGLASSES GUN/SOLID SMOKE</v>
      </c>
      <c r="EG229" s="441">
        <f>IFERROR(IF('BHPC MANAGER'!$EE229="","",INDEX(inventory[ESISTENZA],MATCH('BHPC MANAGER'!$EE229,inventory[SKU],0))),0)</f>
        <v>0</v>
      </c>
      <c r="EH229" s="442" t="s">
        <v>861</v>
      </c>
      <c r="EI229" s="442">
        <f t="shared" si="19"/>
        <v>0</v>
      </c>
      <c r="EJ229" s="443" t="s">
        <v>861</v>
      </c>
      <c r="EK229" s="444">
        <f t="shared" si="20"/>
        <v>0</v>
      </c>
    </row>
    <row r="230" spans="63:141" x14ac:dyDescent="0.35">
      <c r="BK230" s="296"/>
      <c r="BL230" s="297"/>
      <c r="BM230" s="298"/>
      <c r="BN230" s="297"/>
      <c r="BO230" s="298"/>
      <c r="EE230" s="445" t="str" cm="1">
        <f t="array" ref="EE230">IFERROR(IF($EC$9="",IF($EC$11="",IF($EC$13="",INDEX(bhpc_data[sku],SMALL(MATCH(ROW(bhpc_data[sku]),ROW(bhpc_data[sku])),ROWS($A$15:A235)+$B$3)),INDEX(bhpc_data[sku],SMALL(IF(ISNUMBER(MATCH(bhpc_data[size],$EC$13,0)),MATCH(ROW(bhpc_data[sku]),ROW(bhpc_data[sku])),""),ROWS($A$15:A235)+$B$3))),IF($EC$13="",INDEX(bhpc_data[sku],SMALL(IF(ISNUMBER(MATCH(bhpc_data[sex],$EC$11,0)),MATCH(ROW(bhpc_data[sku]),ROW(bhpc_data[sku])),""),ROWS($A$15:A235)+$B$3)),INDEX(bhpc_data[sku],SMALL(IF(ISNUMBER(MATCH(bhpc_data[sex],$EC$11,0)*MATCH(bhpc_data[size],$EC$13,0)),MATCH(ROW(bhpc_data[sku]),ROW(bhpc_data[sku])),""),ROWS($A$15:A235)+$B$3)))),IF($EC$11="",IF($EC$13="",INDEX(bhpc_data[sku],SMALL(IF(ISNUMBER(MATCH(bhpc_data[category],$EC$9,0)),MATCH(ROW(bhpc_data[sku]),ROW(bhpc_data[sku])),""),ROWS($A$15:A235)+$B$3)),INDEX(bhpc_data[sku],SMALL(IF(ISNUMBER(MATCH(bhpc_data[category],$EC$9,0)*MATCH(bhpc_data[size],$EC$13,0)),MATCH(ROW(bhpc_data[sku]),ROW(bhpc_data[sku])),""),ROWS($A$15:A235)+$B$3))),IF($EC$13="",INDEX(bhpc_data[sku],SMALL(IF(ISNUMBER(MATCH(bhpc_data[category],$EC$9,0)*MATCH(bhpc_data[sex],$EC$11,0)),MATCH(ROW(bhpc_data[sku]),ROW(bhpc_data[sku])),""),ROWS($A$15:A235)+$B$3)),INDEX(bhpc_data[sku],SMALL(IF(ISNUMBER(MATCH(bhpc_data[category],$EC$9,0)*MATCH(bhpc_data[sex],$EC$11,0)*MATCH(bhpc_data[size],$EC$13,0)),MATCH(ROW(bhpc_data[sku]),ROW(bhpc_data[sku])),""),ROWS($A$15:A235)+$B$3))))),"")</f>
        <v>Y00021</v>
      </c>
      <c r="EF230" s="446" t="str" cm="1">
        <f t="array" ref="EF230">IFERROR(IF($EC$9="",IF($EC$11="",IF($EC$13="",INDEX(bhpc_data[description],SMALL(MATCH(ROW(bhpc_data[sku]),ROW(bhpc_data[sku])),ROWS($A$15:A235)+$B$3)),INDEX(bhpc_data[description],SMALL(IF(ISNUMBER(MATCH(bhpc_data[size],$EC$13,0)),MATCH(ROW(bhpc_data[sku]),ROW(bhpc_data[sku])),""),ROWS($A$15:A235)+$B$3))),IF($EC$13="",INDEX(bhpc_data[description],SMALL(IF(ISNUMBER(MATCH(bhpc_data[sex],$EC$11,0)),MATCH(ROW(bhpc_data[sku]),ROW(bhpc_data[sku])),""),ROWS($A$15:A235)+$B$3)),INDEX(bhpc_data[description],SMALL(IF(ISNUMBER(MATCH(bhpc_data[sex],$EC$11,0)*MATCH(bhpc_data[size],$EC$13,0)),MATCH(ROW(bhpc_data[sku]),ROW(bhpc_data[sku])),""),ROWS($A$15:A235)+$B$3)))),IF($EC$11="",IF($EC$13="",INDEX(bhpc_data[description],SMALL(IF(ISNUMBER(MATCH(bhpc_data[category],$EC$9,0)),MATCH(ROW(bhpc_data[sku]),ROW(bhpc_data[sku])),""),ROWS($A$15:A235)+$B$3)),INDEX(bhpc_data[description],SMALL(IF(ISNUMBER(MATCH(bhpc_data[category],$EC$9,0)*MATCH(bhpc_data[size],$EC$13,0)),MATCH(ROW(bhpc_data[sku]),ROW(bhpc_data[sku])),""),ROWS($A$15:A235)+$B$3))),IF($EC$13="",INDEX(bhpc_data[description],SMALL(IF(ISNUMBER(MATCH(bhpc_data[category],$EC$9,0)*MATCH(bhpc_data[sex],$EC$11,0)),MATCH(ROW(bhpc_data[sku]),ROW(bhpc_data[sku])),""),ROWS($A$15:A235)+$B$3)),INDEX(bhpc_data[description],SMALL(IF(ISNUMBER(MATCH(bhpc_data[category],$EC$9,0)*MATCH(bhpc_data[sex],$EC$11,0)*MATCH(bhpc_data[size],$EC$13,0)),MATCH(ROW(bhpc_data[sku]),ROW(bhpc_data[sku])),""),ROWS($A$15:A235)+$B$3))))),"")</f>
        <v>YB1305C BHPC SUNGLASSES MATT BLACK / SOLID GREY</v>
      </c>
      <c r="EG230" s="447">
        <f>IFERROR(IF('BHPC MANAGER'!$EE230="","",INDEX(inventory[ESISTENZA],MATCH('BHPC MANAGER'!$EE230,inventory[SKU],0))),0)</f>
        <v>0</v>
      </c>
      <c r="EH230" s="448" t="s">
        <v>861</v>
      </c>
      <c r="EI230" s="448">
        <f t="shared" si="19"/>
        <v>0</v>
      </c>
      <c r="EJ230" s="449" t="s">
        <v>861</v>
      </c>
      <c r="EK230" s="450">
        <f t="shared" si="20"/>
        <v>0</v>
      </c>
    </row>
    <row r="231" spans="63:141" x14ac:dyDescent="0.35">
      <c r="BK231" s="296"/>
      <c r="BL231" s="297"/>
      <c r="BM231" s="298"/>
      <c r="BN231" s="297"/>
      <c r="BO231" s="298"/>
      <c r="EE231" s="439" t="str" cm="1">
        <f t="array" ref="EE231">IFERROR(IF($EC$9="",IF($EC$11="",IF($EC$13="",INDEX(bhpc_data[sku],SMALL(MATCH(ROW(bhpc_data[sku]),ROW(bhpc_data[sku])),ROWS($A$15:A236)+$B$3)),INDEX(bhpc_data[sku],SMALL(IF(ISNUMBER(MATCH(bhpc_data[size],$EC$13,0)),MATCH(ROW(bhpc_data[sku]),ROW(bhpc_data[sku])),""),ROWS($A$15:A236)+$B$3))),IF($EC$13="",INDEX(bhpc_data[sku],SMALL(IF(ISNUMBER(MATCH(bhpc_data[sex],$EC$11,0)),MATCH(ROW(bhpc_data[sku]),ROW(bhpc_data[sku])),""),ROWS($A$15:A236)+$B$3)),INDEX(bhpc_data[sku],SMALL(IF(ISNUMBER(MATCH(bhpc_data[sex],$EC$11,0)*MATCH(bhpc_data[size],$EC$13,0)),MATCH(ROW(bhpc_data[sku]),ROW(bhpc_data[sku])),""),ROWS($A$15:A236)+$B$3)))),IF($EC$11="",IF($EC$13="",INDEX(bhpc_data[sku],SMALL(IF(ISNUMBER(MATCH(bhpc_data[category],$EC$9,0)),MATCH(ROW(bhpc_data[sku]),ROW(bhpc_data[sku])),""),ROWS($A$15:A236)+$B$3)),INDEX(bhpc_data[sku],SMALL(IF(ISNUMBER(MATCH(bhpc_data[category],$EC$9,0)*MATCH(bhpc_data[size],$EC$13,0)),MATCH(ROW(bhpc_data[sku]),ROW(bhpc_data[sku])),""),ROWS($A$15:A236)+$B$3))),IF($EC$13="",INDEX(bhpc_data[sku],SMALL(IF(ISNUMBER(MATCH(bhpc_data[category],$EC$9,0)*MATCH(bhpc_data[sex],$EC$11,0)),MATCH(ROW(bhpc_data[sku]),ROW(bhpc_data[sku])),""),ROWS($A$15:A236)+$B$3)),INDEX(bhpc_data[sku],SMALL(IF(ISNUMBER(MATCH(bhpc_data[category],$EC$9,0)*MATCH(bhpc_data[sex],$EC$11,0)*MATCH(bhpc_data[size],$EC$13,0)),MATCH(ROW(bhpc_data[sku]),ROW(bhpc_data[sku])),""),ROWS($A$15:A236)+$B$3))))),"")</f>
        <v>Y00022</v>
      </c>
      <c r="EF231" s="440" t="str" cm="1">
        <f t="array" ref="EF231">IFERROR(IF($EC$9="",IF($EC$11="",IF($EC$13="",INDEX(bhpc_data[description],SMALL(MATCH(ROW(bhpc_data[sku]),ROW(bhpc_data[sku])),ROWS($A$15:A236)+$B$3)),INDEX(bhpc_data[description],SMALL(IF(ISNUMBER(MATCH(bhpc_data[size],$EC$13,0)),MATCH(ROW(bhpc_data[sku]),ROW(bhpc_data[sku])),""),ROWS($A$15:A236)+$B$3))),IF($EC$13="",INDEX(bhpc_data[description],SMALL(IF(ISNUMBER(MATCH(bhpc_data[sex],$EC$11,0)),MATCH(ROW(bhpc_data[sku]),ROW(bhpc_data[sku])),""),ROWS($A$15:A236)+$B$3)),INDEX(bhpc_data[description],SMALL(IF(ISNUMBER(MATCH(bhpc_data[sex],$EC$11,0)*MATCH(bhpc_data[size],$EC$13,0)),MATCH(ROW(bhpc_data[sku]),ROW(bhpc_data[sku])),""),ROWS($A$15:A236)+$B$3)))),IF($EC$11="",IF($EC$13="",INDEX(bhpc_data[description],SMALL(IF(ISNUMBER(MATCH(bhpc_data[category],$EC$9,0)),MATCH(ROW(bhpc_data[sku]),ROW(bhpc_data[sku])),""),ROWS($A$15:A236)+$B$3)),INDEX(bhpc_data[description],SMALL(IF(ISNUMBER(MATCH(bhpc_data[category],$EC$9,0)*MATCH(bhpc_data[size],$EC$13,0)),MATCH(ROW(bhpc_data[sku]),ROW(bhpc_data[sku])),""),ROWS($A$15:A236)+$B$3))),IF($EC$13="",INDEX(bhpc_data[description],SMALL(IF(ISNUMBER(MATCH(bhpc_data[category],$EC$9,0)*MATCH(bhpc_data[sex],$EC$11,0)),MATCH(ROW(bhpc_data[sku]),ROW(bhpc_data[sku])),""),ROWS($A$15:A236)+$B$3)),INDEX(bhpc_data[description],SMALL(IF(ISNUMBER(MATCH(bhpc_data[category],$EC$9,0)*MATCH(bhpc_data[sex],$EC$11,0)*MATCH(bhpc_data[size],$EC$13,0)),MATCH(ROW(bhpc_data[sku]),ROW(bhpc_data[sku])),""),ROWS($A$15:A236)+$B$3))))),"")</f>
        <v>YB1307A BHPC SUNGLASSES GOLD / GRADIENT GREY</v>
      </c>
      <c r="EG231" s="441">
        <f>IFERROR(IF('BHPC MANAGER'!$EE231="","",INDEX(inventory[ESISTENZA],MATCH('BHPC MANAGER'!$EE231,inventory[SKU],0))),0)</f>
        <v>49</v>
      </c>
      <c r="EH231" s="442">
        <v>-5</v>
      </c>
      <c r="EI231" s="442">
        <f t="shared" si="19"/>
        <v>44</v>
      </c>
      <c r="EJ231" s="443">
        <v>0</v>
      </c>
      <c r="EK231" s="444">
        <f t="shared" si="20"/>
        <v>44</v>
      </c>
    </row>
    <row r="232" spans="63:141" x14ac:dyDescent="0.35">
      <c r="BK232" s="296"/>
      <c r="BL232" s="297"/>
      <c r="BM232" s="298"/>
      <c r="BN232" s="297"/>
      <c r="BO232" s="298"/>
      <c r="EE232" s="445" t="str" cm="1">
        <f t="array" ref="EE232">IFERROR(IF($EC$9="",IF($EC$11="",IF($EC$13="",INDEX(bhpc_data[sku],SMALL(MATCH(ROW(bhpc_data[sku]),ROW(bhpc_data[sku])),ROWS($A$15:A237)+$B$3)),INDEX(bhpc_data[sku],SMALL(IF(ISNUMBER(MATCH(bhpc_data[size],$EC$13,0)),MATCH(ROW(bhpc_data[sku]),ROW(bhpc_data[sku])),""),ROWS($A$15:A237)+$B$3))),IF($EC$13="",INDEX(bhpc_data[sku],SMALL(IF(ISNUMBER(MATCH(bhpc_data[sex],$EC$11,0)),MATCH(ROW(bhpc_data[sku]),ROW(bhpc_data[sku])),""),ROWS($A$15:A237)+$B$3)),INDEX(bhpc_data[sku],SMALL(IF(ISNUMBER(MATCH(bhpc_data[sex],$EC$11,0)*MATCH(bhpc_data[size],$EC$13,0)),MATCH(ROW(bhpc_data[sku]),ROW(bhpc_data[sku])),""),ROWS($A$15:A237)+$B$3)))),IF($EC$11="",IF($EC$13="",INDEX(bhpc_data[sku],SMALL(IF(ISNUMBER(MATCH(bhpc_data[category],$EC$9,0)),MATCH(ROW(bhpc_data[sku]),ROW(bhpc_data[sku])),""),ROWS($A$15:A237)+$B$3)),INDEX(bhpc_data[sku],SMALL(IF(ISNUMBER(MATCH(bhpc_data[category],$EC$9,0)*MATCH(bhpc_data[size],$EC$13,0)),MATCH(ROW(bhpc_data[sku]),ROW(bhpc_data[sku])),""),ROWS($A$15:A237)+$B$3))),IF($EC$13="",INDEX(bhpc_data[sku],SMALL(IF(ISNUMBER(MATCH(bhpc_data[category],$EC$9,0)*MATCH(bhpc_data[sex],$EC$11,0)),MATCH(ROW(bhpc_data[sku]),ROW(bhpc_data[sku])),""),ROWS($A$15:A237)+$B$3)),INDEX(bhpc_data[sku],SMALL(IF(ISNUMBER(MATCH(bhpc_data[category],$EC$9,0)*MATCH(bhpc_data[sex],$EC$11,0)*MATCH(bhpc_data[size],$EC$13,0)),MATCH(ROW(bhpc_data[sku]),ROW(bhpc_data[sku])),""),ROWS($A$15:A237)+$B$3))))),"")</f>
        <v>Y00023</v>
      </c>
      <c r="EF232" s="446" t="str" cm="1">
        <f t="array" ref="EF232">IFERROR(IF($EC$9="",IF($EC$11="",IF($EC$13="",INDEX(bhpc_data[description],SMALL(MATCH(ROW(bhpc_data[sku]),ROW(bhpc_data[sku])),ROWS($A$15:A237)+$B$3)),INDEX(bhpc_data[description],SMALL(IF(ISNUMBER(MATCH(bhpc_data[size],$EC$13,0)),MATCH(ROW(bhpc_data[sku]),ROW(bhpc_data[sku])),""),ROWS($A$15:A237)+$B$3))),IF($EC$13="",INDEX(bhpc_data[description],SMALL(IF(ISNUMBER(MATCH(bhpc_data[sex],$EC$11,0)),MATCH(ROW(bhpc_data[sku]),ROW(bhpc_data[sku])),""),ROWS($A$15:A237)+$B$3)),INDEX(bhpc_data[description],SMALL(IF(ISNUMBER(MATCH(bhpc_data[sex],$EC$11,0)*MATCH(bhpc_data[size],$EC$13,0)),MATCH(ROW(bhpc_data[sku]),ROW(bhpc_data[sku])),""),ROWS($A$15:A237)+$B$3)))),IF($EC$11="",IF($EC$13="",INDEX(bhpc_data[description],SMALL(IF(ISNUMBER(MATCH(bhpc_data[category],$EC$9,0)),MATCH(ROW(bhpc_data[sku]),ROW(bhpc_data[sku])),""),ROWS($A$15:A237)+$B$3)),INDEX(bhpc_data[description],SMALL(IF(ISNUMBER(MATCH(bhpc_data[category],$EC$9,0)*MATCH(bhpc_data[size],$EC$13,0)),MATCH(ROW(bhpc_data[sku]),ROW(bhpc_data[sku])),""),ROWS($A$15:A237)+$B$3))),IF($EC$13="",INDEX(bhpc_data[description],SMALL(IF(ISNUMBER(MATCH(bhpc_data[category],$EC$9,0)*MATCH(bhpc_data[sex],$EC$11,0)),MATCH(ROW(bhpc_data[sku]),ROW(bhpc_data[sku])),""),ROWS($A$15:A237)+$B$3)),INDEX(bhpc_data[description],SMALL(IF(ISNUMBER(MATCH(bhpc_data[category],$EC$9,0)*MATCH(bhpc_data[sex],$EC$11,0)*MATCH(bhpc_data[size],$EC$13,0)),MATCH(ROW(bhpc_data[sku]),ROW(bhpc_data[sku])),""),ROWS($A$15:A237)+$B$3))))),"")</f>
        <v>YB1307B BHPC SUNGLASSES BROWN / GRADIENT CLAY</v>
      </c>
      <c r="EG232" s="447">
        <f>IFERROR(IF('BHPC MANAGER'!$EE232="","",INDEX(inventory[ESISTENZA],MATCH('BHPC MANAGER'!$EE232,inventory[SKU],0))),0)</f>
        <v>169</v>
      </c>
      <c r="EH232" s="448">
        <v>-5</v>
      </c>
      <c r="EI232" s="448">
        <f t="shared" si="19"/>
        <v>164</v>
      </c>
      <c r="EJ232" s="449">
        <v>0</v>
      </c>
      <c r="EK232" s="450">
        <f t="shared" si="20"/>
        <v>164</v>
      </c>
    </row>
    <row r="233" spans="63:141" x14ac:dyDescent="0.35">
      <c r="BK233" s="296"/>
      <c r="BL233" s="297"/>
      <c r="BM233" s="298"/>
      <c r="BN233" s="297"/>
      <c r="BO233" s="298"/>
      <c r="EE233" s="439" t="str" cm="1">
        <f t="array" ref="EE233">IFERROR(IF($EC$9="",IF($EC$11="",IF($EC$13="",INDEX(bhpc_data[sku],SMALL(MATCH(ROW(bhpc_data[sku]),ROW(bhpc_data[sku])),ROWS($A$15:A238)+$B$3)),INDEX(bhpc_data[sku],SMALL(IF(ISNUMBER(MATCH(bhpc_data[size],$EC$13,0)),MATCH(ROW(bhpc_data[sku]),ROW(bhpc_data[sku])),""),ROWS($A$15:A238)+$B$3))),IF($EC$13="",INDEX(bhpc_data[sku],SMALL(IF(ISNUMBER(MATCH(bhpc_data[sex],$EC$11,0)),MATCH(ROW(bhpc_data[sku]),ROW(bhpc_data[sku])),""),ROWS($A$15:A238)+$B$3)),INDEX(bhpc_data[sku],SMALL(IF(ISNUMBER(MATCH(bhpc_data[sex],$EC$11,0)*MATCH(bhpc_data[size],$EC$13,0)),MATCH(ROW(bhpc_data[sku]),ROW(bhpc_data[sku])),""),ROWS($A$15:A238)+$B$3)))),IF($EC$11="",IF($EC$13="",INDEX(bhpc_data[sku],SMALL(IF(ISNUMBER(MATCH(bhpc_data[category],$EC$9,0)),MATCH(ROW(bhpc_data[sku]),ROW(bhpc_data[sku])),""),ROWS($A$15:A238)+$B$3)),INDEX(bhpc_data[sku],SMALL(IF(ISNUMBER(MATCH(bhpc_data[category],$EC$9,0)*MATCH(bhpc_data[size],$EC$13,0)),MATCH(ROW(bhpc_data[sku]),ROW(bhpc_data[sku])),""),ROWS($A$15:A238)+$B$3))),IF($EC$13="",INDEX(bhpc_data[sku],SMALL(IF(ISNUMBER(MATCH(bhpc_data[category],$EC$9,0)*MATCH(bhpc_data[sex],$EC$11,0)),MATCH(ROW(bhpc_data[sku]),ROW(bhpc_data[sku])),""),ROWS($A$15:A238)+$B$3)),INDEX(bhpc_data[sku],SMALL(IF(ISNUMBER(MATCH(bhpc_data[category],$EC$9,0)*MATCH(bhpc_data[sex],$EC$11,0)*MATCH(bhpc_data[size],$EC$13,0)),MATCH(ROW(bhpc_data[sku]),ROW(bhpc_data[sku])),""),ROWS($A$15:A238)+$B$3))))),"")</f>
        <v>Y00024</v>
      </c>
      <c r="EF233" s="440" t="str" cm="1">
        <f t="array" ref="EF233">IFERROR(IF($EC$9="",IF($EC$11="",IF($EC$13="",INDEX(bhpc_data[description],SMALL(MATCH(ROW(bhpc_data[sku]),ROW(bhpc_data[sku])),ROWS($A$15:A238)+$B$3)),INDEX(bhpc_data[description],SMALL(IF(ISNUMBER(MATCH(bhpc_data[size],$EC$13,0)),MATCH(ROW(bhpc_data[sku]),ROW(bhpc_data[sku])),""),ROWS($A$15:A238)+$B$3))),IF($EC$13="",INDEX(bhpc_data[description],SMALL(IF(ISNUMBER(MATCH(bhpc_data[sex],$EC$11,0)),MATCH(ROW(bhpc_data[sku]),ROW(bhpc_data[sku])),""),ROWS($A$15:A238)+$B$3)),INDEX(bhpc_data[description],SMALL(IF(ISNUMBER(MATCH(bhpc_data[sex],$EC$11,0)*MATCH(bhpc_data[size],$EC$13,0)),MATCH(ROW(bhpc_data[sku]),ROW(bhpc_data[sku])),""),ROWS($A$15:A238)+$B$3)))),IF($EC$11="",IF($EC$13="",INDEX(bhpc_data[description],SMALL(IF(ISNUMBER(MATCH(bhpc_data[category],$EC$9,0)),MATCH(ROW(bhpc_data[sku]),ROW(bhpc_data[sku])),""),ROWS($A$15:A238)+$B$3)),INDEX(bhpc_data[description],SMALL(IF(ISNUMBER(MATCH(bhpc_data[category],$EC$9,0)*MATCH(bhpc_data[size],$EC$13,0)),MATCH(ROW(bhpc_data[sku]),ROW(bhpc_data[sku])),""),ROWS($A$15:A238)+$B$3))),IF($EC$13="",INDEX(bhpc_data[description],SMALL(IF(ISNUMBER(MATCH(bhpc_data[category],$EC$9,0)*MATCH(bhpc_data[sex],$EC$11,0)),MATCH(ROW(bhpc_data[sku]),ROW(bhpc_data[sku])),""),ROWS($A$15:A238)+$B$3)),INDEX(bhpc_data[description],SMALL(IF(ISNUMBER(MATCH(bhpc_data[category],$EC$9,0)*MATCH(bhpc_data[sex],$EC$11,0)*MATCH(bhpc_data[size],$EC$13,0)),MATCH(ROW(bhpc_data[sku]),ROW(bhpc_data[sku])),""),ROWS($A$15:A238)+$B$3))))),"")</f>
        <v>YB1307C BHPC SUNGLASSES ROSE GOLD/DOUBLE GRAD. GREYRED</v>
      </c>
      <c r="EG233" s="441">
        <f>IFERROR(IF('BHPC MANAGER'!$EE233="","",INDEX(inventory[ESISTENZA],MATCH('BHPC MANAGER'!$EE233,inventory[SKU],0))),0)</f>
        <v>269</v>
      </c>
      <c r="EH233" s="442">
        <v>-5</v>
      </c>
      <c r="EI233" s="442">
        <f t="shared" si="19"/>
        <v>264</v>
      </c>
      <c r="EJ233" s="443">
        <v>0</v>
      </c>
      <c r="EK233" s="444">
        <f t="shared" si="20"/>
        <v>264</v>
      </c>
    </row>
    <row r="234" spans="63:141" x14ac:dyDescent="0.35">
      <c r="BK234" s="296"/>
      <c r="BL234" s="297"/>
      <c r="BM234" s="298"/>
      <c r="BN234" s="297"/>
      <c r="BO234" s="298"/>
      <c r="EE234" s="445" t="str" cm="1">
        <f t="array" ref="EE234">IFERROR(IF($EC$9="",IF($EC$11="",IF($EC$13="",INDEX(bhpc_data[sku],SMALL(MATCH(ROW(bhpc_data[sku]),ROW(bhpc_data[sku])),ROWS($A$15:A239)+$B$3)),INDEX(bhpc_data[sku],SMALL(IF(ISNUMBER(MATCH(bhpc_data[size],$EC$13,0)),MATCH(ROW(bhpc_data[sku]),ROW(bhpc_data[sku])),""),ROWS($A$15:A239)+$B$3))),IF($EC$13="",INDEX(bhpc_data[sku],SMALL(IF(ISNUMBER(MATCH(bhpc_data[sex],$EC$11,0)),MATCH(ROW(bhpc_data[sku]),ROW(bhpc_data[sku])),""),ROWS($A$15:A239)+$B$3)),INDEX(bhpc_data[sku],SMALL(IF(ISNUMBER(MATCH(bhpc_data[sex],$EC$11,0)*MATCH(bhpc_data[size],$EC$13,0)),MATCH(ROW(bhpc_data[sku]),ROW(bhpc_data[sku])),""),ROWS($A$15:A239)+$B$3)))),IF($EC$11="",IF($EC$13="",INDEX(bhpc_data[sku],SMALL(IF(ISNUMBER(MATCH(bhpc_data[category],$EC$9,0)),MATCH(ROW(bhpc_data[sku]),ROW(bhpc_data[sku])),""),ROWS($A$15:A239)+$B$3)),INDEX(bhpc_data[sku],SMALL(IF(ISNUMBER(MATCH(bhpc_data[category],$EC$9,0)*MATCH(bhpc_data[size],$EC$13,0)),MATCH(ROW(bhpc_data[sku]),ROW(bhpc_data[sku])),""),ROWS($A$15:A239)+$B$3))),IF($EC$13="",INDEX(bhpc_data[sku],SMALL(IF(ISNUMBER(MATCH(bhpc_data[category],$EC$9,0)*MATCH(bhpc_data[sex],$EC$11,0)),MATCH(ROW(bhpc_data[sku]),ROW(bhpc_data[sku])),""),ROWS($A$15:A239)+$B$3)),INDEX(bhpc_data[sku],SMALL(IF(ISNUMBER(MATCH(bhpc_data[category],$EC$9,0)*MATCH(bhpc_data[sex],$EC$11,0)*MATCH(bhpc_data[size],$EC$13,0)),MATCH(ROW(bhpc_data[sku]),ROW(bhpc_data[sku])),""),ROWS($A$15:A239)+$B$3))))),"")</f>
        <v>Y00025</v>
      </c>
      <c r="EF234" s="446" t="str" cm="1">
        <f t="array" ref="EF234">IFERROR(IF($EC$9="",IF($EC$11="",IF($EC$13="",INDEX(bhpc_data[description],SMALL(MATCH(ROW(bhpc_data[sku]),ROW(bhpc_data[sku])),ROWS($A$15:A239)+$B$3)),INDEX(bhpc_data[description],SMALL(IF(ISNUMBER(MATCH(bhpc_data[size],$EC$13,0)),MATCH(ROW(bhpc_data[sku]),ROW(bhpc_data[sku])),""),ROWS($A$15:A239)+$B$3))),IF($EC$13="",INDEX(bhpc_data[description],SMALL(IF(ISNUMBER(MATCH(bhpc_data[sex],$EC$11,0)),MATCH(ROW(bhpc_data[sku]),ROW(bhpc_data[sku])),""),ROWS($A$15:A239)+$B$3)),INDEX(bhpc_data[description],SMALL(IF(ISNUMBER(MATCH(bhpc_data[sex],$EC$11,0)*MATCH(bhpc_data[size],$EC$13,0)),MATCH(ROW(bhpc_data[sku]),ROW(bhpc_data[sku])),""),ROWS($A$15:A239)+$B$3)))),IF($EC$11="",IF($EC$13="",INDEX(bhpc_data[description],SMALL(IF(ISNUMBER(MATCH(bhpc_data[category],$EC$9,0)),MATCH(ROW(bhpc_data[sku]),ROW(bhpc_data[sku])),""),ROWS($A$15:A239)+$B$3)),INDEX(bhpc_data[description],SMALL(IF(ISNUMBER(MATCH(bhpc_data[category],$EC$9,0)*MATCH(bhpc_data[size],$EC$13,0)),MATCH(ROW(bhpc_data[sku]),ROW(bhpc_data[sku])),""),ROWS($A$15:A239)+$B$3))),IF($EC$13="",INDEX(bhpc_data[description],SMALL(IF(ISNUMBER(MATCH(bhpc_data[category],$EC$9,0)*MATCH(bhpc_data[sex],$EC$11,0)),MATCH(ROW(bhpc_data[sku]),ROW(bhpc_data[sku])),""),ROWS($A$15:A239)+$B$3)),INDEX(bhpc_data[description],SMALL(IF(ISNUMBER(MATCH(bhpc_data[category],$EC$9,0)*MATCH(bhpc_data[sex],$EC$11,0)*MATCH(bhpc_data[size],$EC$13,0)),MATCH(ROW(bhpc_data[sku]),ROW(bhpc_data[sku])),""),ROWS($A$15:A239)+$B$3))))),"")</f>
        <v>YB1306A BHPC SUNGLASSES GOLD/BLACK GRADIENT GREY</v>
      </c>
      <c r="EG234" s="447">
        <f>IFERROR(IF('BHPC MANAGER'!$EE234="","",INDEX(inventory[ESISTENZA],MATCH('BHPC MANAGER'!$EE234,inventory[SKU],0))),0)</f>
        <v>49</v>
      </c>
      <c r="EH234" s="448">
        <v>-5</v>
      </c>
      <c r="EI234" s="448">
        <f t="shared" si="19"/>
        <v>44</v>
      </c>
      <c r="EJ234" s="449">
        <v>0</v>
      </c>
      <c r="EK234" s="450">
        <f t="shared" si="20"/>
        <v>44</v>
      </c>
    </row>
    <row r="235" spans="63:141" x14ac:dyDescent="0.35">
      <c r="BK235" s="296"/>
      <c r="BL235" s="297"/>
      <c r="BM235" s="298"/>
      <c r="BN235" s="297"/>
      <c r="BO235" s="298"/>
      <c r="EE235" s="439" t="str" cm="1">
        <f t="array" ref="EE235">IFERROR(IF($EC$9="",IF($EC$11="",IF($EC$13="",INDEX(bhpc_data[sku],SMALL(MATCH(ROW(bhpc_data[sku]),ROW(bhpc_data[sku])),ROWS($A$15:A240)+$B$3)),INDEX(bhpc_data[sku],SMALL(IF(ISNUMBER(MATCH(bhpc_data[size],$EC$13,0)),MATCH(ROW(bhpc_data[sku]),ROW(bhpc_data[sku])),""),ROWS($A$15:A240)+$B$3))),IF($EC$13="",INDEX(bhpc_data[sku],SMALL(IF(ISNUMBER(MATCH(bhpc_data[sex],$EC$11,0)),MATCH(ROW(bhpc_data[sku]),ROW(bhpc_data[sku])),""),ROWS($A$15:A240)+$B$3)),INDEX(bhpc_data[sku],SMALL(IF(ISNUMBER(MATCH(bhpc_data[sex],$EC$11,0)*MATCH(bhpc_data[size],$EC$13,0)),MATCH(ROW(bhpc_data[sku]),ROW(bhpc_data[sku])),""),ROWS($A$15:A240)+$B$3)))),IF($EC$11="",IF($EC$13="",INDEX(bhpc_data[sku],SMALL(IF(ISNUMBER(MATCH(bhpc_data[category],$EC$9,0)),MATCH(ROW(bhpc_data[sku]),ROW(bhpc_data[sku])),""),ROWS($A$15:A240)+$B$3)),INDEX(bhpc_data[sku],SMALL(IF(ISNUMBER(MATCH(bhpc_data[category],$EC$9,0)*MATCH(bhpc_data[size],$EC$13,0)),MATCH(ROW(bhpc_data[sku]),ROW(bhpc_data[sku])),""),ROWS($A$15:A240)+$B$3))),IF($EC$13="",INDEX(bhpc_data[sku],SMALL(IF(ISNUMBER(MATCH(bhpc_data[category],$EC$9,0)*MATCH(bhpc_data[sex],$EC$11,0)),MATCH(ROW(bhpc_data[sku]),ROW(bhpc_data[sku])),""),ROWS($A$15:A240)+$B$3)),INDEX(bhpc_data[sku],SMALL(IF(ISNUMBER(MATCH(bhpc_data[category],$EC$9,0)*MATCH(bhpc_data[sex],$EC$11,0)*MATCH(bhpc_data[size],$EC$13,0)),MATCH(ROW(bhpc_data[sku]),ROW(bhpc_data[sku])),""),ROWS($A$15:A240)+$B$3))))),"")</f>
        <v>Y00026</v>
      </c>
      <c r="EF235" s="440" t="str" cm="1">
        <f t="array" ref="EF235">IFERROR(IF($EC$9="",IF($EC$11="",IF($EC$13="",INDEX(bhpc_data[description],SMALL(MATCH(ROW(bhpc_data[sku]),ROW(bhpc_data[sku])),ROWS($A$15:A240)+$B$3)),INDEX(bhpc_data[description],SMALL(IF(ISNUMBER(MATCH(bhpc_data[size],$EC$13,0)),MATCH(ROW(bhpc_data[sku]),ROW(bhpc_data[sku])),""),ROWS($A$15:A240)+$B$3))),IF($EC$13="",INDEX(bhpc_data[description],SMALL(IF(ISNUMBER(MATCH(bhpc_data[sex],$EC$11,0)),MATCH(ROW(bhpc_data[sku]),ROW(bhpc_data[sku])),""),ROWS($A$15:A240)+$B$3)),INDEX(bhpc_data[description],SMALL(IF(ISNUMBER(MATCH(bhpc_data[sex],$EC$11,0)*MATCH(bhpc_data[size],$EC$13,0)),MATCH(ROW(bhpc_data[sku]),ROW(bhpc_data[sku])),""),ROWS($A$15:A240)+$B$3)))),IF($EC$11="",IF($EC$13="",INDEX(bhpc_data[description],SMALL(IF(ISNUMBER(MATCH(bhpc_data[category],$EC$9,0)),MATCH(ROW(bhpc_data[sku]),ROW(bhpc_data[sku])),""),ROWS($A$15:A240)+$B$3)),INDEX(bhpc_data[description],SMALL(IF(ISNUMBER(MATCH(bhpc_data[category],$EC$9,0)*MATCH(bhpc_data[size],$EC$13,0)),MATCH(ROW(bhpc_data[sku]),ROW(bhpc_data[sku])),""),ROWS($A$15:A240)+$B$3))),IF($EC$13="",INDEX(bhpc_data[description],SMALL(IF(ISNUMBER(MATCH(bhpc_data[category],$EC$9,0)*MATCH(bhpc_data[sex],$EC$11,0)),MATCH(ROW(bhpc_data[sku]),ROW(bhpc_data[sku])),""),ROWS($A$15:A240)+$B$3)),INDEX(bhpc_data[description],SMALL(IF(ISNUMBER(MATCH(bhpc_data[category],$EC$9,0)*MATCH(bhpc_data[sex],$EC$11,0)*MATCH(bhpc_data[size],$EC$13,0)),MATCH(ROW(bhpc_data[sku]),ROW(bhpc_data[sku])),""),ROWS($A$15:A240)+$B$3))))),"")</f>
        <v>YB1306B BHPC SUNGLASSES GOLD/BEIGE / GRADIENT CLAY</v>
      </c>
      <c r="EG235" s="441">
        <f>IFERROR(IF('BHPC MANAGER'!$EE235="","",INDEX(inventory[ESISTENZA],MATCH('BHPC MANAGER'!$EE235,inventory[SKU],0))),0)</f>
        <v>269</v>
      </c>
      <c r="EH235" s="442">
        <v>-5</v>
      </c>
      <c r="EI235" s="442">
        <f t="shared" si="19"/>
        <v>264</v>
      </c>
      <c r="EJ235" s="443">
        <v>0</v>
      </c>
      <c r="EK235" s="444">
        <f t="shared" si="20"/>
        <v>264</v>
      </c>
    </row>
    <row r="236" spans="63:141" x14ac:dyDescent="0.35">
      <c r="BK236" s="296"/>
      <c r="BL236" s="297"/>
      <c r="BM236" s="298"/>
      <c r="BN236" s="297"/>
      <c r="BO236" s="298"/>
      <c r="EE236" s="445" t="str" cm="1">
        <f t="array" ref="EE236">IFERROR(IF($EC$9="",IF($EC$11="",IF($EC$13="",INDEX(bhpc_data[sku],SMALL(MATCH(ROW(bhpc_data[sku]),ROW(bhpc_data[sku])),ROWS($A$15:A241)+$B$3)),INDEX(bhpc_data[sku],SMALL(IF(ISNUMBER(MATCH(bhpc_data[size],$EC$13,0)),MATCH(ROW(bhpc_data[sku]),ROW(bhpc_data[sku])),""),ROWS($A$15:A241)+$B$3))),IF($EC$13="",INDEX(bhpc_data[sku],SMALL(IF(ISNUMBER(MATCH(bhpc_data[sex],$EC$11,0)),MATCH(ROW(bhpc_data[sku]),ROW(bhpc_data[sku])),""),ROWS($A$15:A241)+$B$3)),INDEX(bhpc_data[sku],SMALL(IF(ISNUMBER(MATCH(bhpc_data[sex],$EC$11,0)*MATCH(bhpc_data[size],$EC$13,0)),MATCH(ROW(bhpc_data[sku]),ROW(bhpc_data[sku])),""),ROWS($A$15:A241)+$B$3)))),IF($EC$11="",IF($EC$13="",INDEX(bhpc_data[sku],SMALL(IF(ISNUMBER(MATCH(bhpc_data[category],$EC$9,0)),MATCH(ROW(bhpc_data[sku]),ROW(bhpc_data[sku])),""),ROWS($A$15:A241)+$B$3)),INDEX(bhpc_data[sku],SMALL(IF(ISNUMBER(MATCH(bhpc_data[category],$EC$9,0)*MATCH(bhpc_data[size],$EC$13,0)),MATCH(ROW(bhpc_data[sku]),ROW(bhpc_data[sku])),""),ROWS($A$15:A241)+$B$3))),IF($EC$13="",INDEX(bhpc_data[sku],SMALL(IF(ISNUMBER(MATCH(bhpc_data[category],$EC$9,0)*MATCH(bhpc_data[sex],$EC$11,0)),MATCH(ROW(bhpc_data[sku]),ROW(bhpc_data[sku])),""),ROWS($A$15:A241)+$B$3)),INDEX(bhpc_data[sku],SMALL(IF(ISNUMBER(MATCH(bhpc_data[category],$EC$9,0)*MATCH(bhpc_data[sex],$EC$11,0)*MATCH(bhpc_data[size],$EC$13,0)),MATCH(ROW(bhpc_data[sku]),ROW(bhpc_data[sku])),""),ROWS($A$15:A241)+$B$3))))),"")</f>
        <v>Y00027</v>
      </c>
      <c r="EF236" s="446" t="str" cm="1">
        <f t="array" ref="EF236">IFERROR(IF($EC$9="",IF($EC$11="",IF($EC$13="",INDEX(bhpc_data[description],SMALL(MATCH(ROW(bhpc_data[sku]),ROW(bhpc_data[sku])),ROWS($A$15:A241)+$B$3)),INDEX(bhpc_data[description],SMALL(IF(ISNUMBER(MATCH(bhpc_data[size],$EC$13,0)),MATCH(ROW(bhpc_data[sku]),ROW(bhpc_data[sku])),""),ROWS($A$15:A241)+$B$3))),IF($EC$13="",INDEX(bhpc_data[description],SMALL(IF(ISNUMBER(MATCH(bhpc_data[sex],$EC$11,0)),MATCH(ROW(bhpc_data[sku]),ROW(bhpc_data[sku])),""),ROWS($A$15:A241)+$B$3)),INDEX(bhpc_data[description],SMALL(IF(ISNUMBER(MATCH(bhpc_data[sex],$EC$11,0)*MATCH(bhpc_data[size],$EC$13,0)),MATCH(ROW(bhpc_data[sku]),ROW(bhpc_data[sku])),""),ROWS($A$15:A241)+$B$3)))),IF($EC$11="",IF($EC$13="",INDEX(bhpc_data[description],SMALL(IF(ISNUMBER(MATCH(bhpc_data[category],$EC$9,0)),MATCH(ROW(bhpc_data[sku]),ROW(bhpc_data[sku])),""),ROWS($A$15:A241)+$B$3)),INDEX(bhpc_data[description],SMALL(IF(ISNUMBER(MATCH(bhpc_data[category],$EC$9,0)*MATCH(bhpc_data[size],$EC$13,0)),MATCH(ROW(bhpc_data[sku]),ROW(bhpc_data[sku])),""),ROWS($A$15:A241)+$B$3))),IF($EC$13="",INDEX(bhpc_data[description],SMALL(IF(ISNUMBER(MATCH(bhpc_data[category],$EC$9,0)*MATCH(bhpc_data[sex],$EC$11,0)),MATCH(ROW(bhpc_data[sku]),ROW(bhpc_data[sku])),""),ROWS($A$15:A241)+$B$3)),INDEX(bhpc_data[description],SMALL(IF(ISNUMBER(MATCH(bhpc_data[category],$EC$9,0)*MATCH(bhpc_data[sex],$EC$11,0)*MATCH(bhpc_data[size],$EC$13,0)),MATCH(ROW(bhpc_data[sku]),ROW(bhpc_data[sku])),""),ROWS($A$15:A241)+$B$3))))),"")</f>
        <v>YB1306C BHPC SUNGLASSES BRONZE GOLD / GRADIENT COFFEE</v>
      </c>
      <c r="EG236" s="447">
        <f>IFERROR(IF('BHPC MANAGER'!$EE236="","",INDEX(inventory[ESISTENZA],MATCH('BHPC MANAGER'!$EE236,inventory[SKU],0))),0)</f>
        <v>49</v>
      </c>
      <c r="EH236" s="448">
        <v>-5</v>
      </c>
      <c r="EI236" s="448">
        <f t="shared" si="19"/>
        <v>44</v>
      </c>
      <c r="EJ236" s="449">
        <v>0</v>
      </c>
      <c r="EK236" s="450">
        <f t="shared" si="20"/>
        <v>44</v>
      </c>
    </row>
    <row r="237" spans="63:141" x14ac:dyDescent="0.35">
      <c r="BK237" s="296"/>
      <c r="BL237" s="297"/>
      <c r="BM237" s="298"/>
      <c r="BN237" s="297"/>
      <c r="BO237" s="298"/>
      <c r="EE237" s="439" t="str" cm="1">
        <f t="array" ref="EE237">IFERROR(IF($EC$9="",IF($EC$11="",IF($EC$13="",INDEX(bhpc_data[sku],SMALL(MATCH(ROW(bhpc_data[sku]),ROW(bhpc_data[sku])),ROWS($A$15:A242)+$B$3)),INDEX(bhpc_data[sku],SMALL(IF(ISNUMBER(MATCH(bhpc_data[size],$EC$13,0)),MATCH(ROW(bhpc_data[sku]),ROW(bhpc_data[sku])),""),ROWS($A$15:A242)+$B$3))),IF($EC$13="",INDEX(bhpc_data[sku],SMALL(IF(ISNUMBER(MATCH(bhpc_data[sex],$EC$11,0)),MATCH(ROW(bhpc_data[sku]),ROW(bhpc_data[sku])),""),ROWS($A$15:A242)+$B$3)),INDEX(bhpc_data[sku],SMALL(IF(ISNUMBER(MATCH(bhpc_data[sex],$EC$11,0)*MATCH(bhpc_data[size],$EC$13,0)),MATCH(ROW(bhpc_data[sku]),ROW(bhpc_data[sku])),""),ROWS($A$15:A242)+$B$3)))),IF($EC$11="",IF($EC$13="",INDEX(bhpc_data[sku],SMALL(IF(ISNUMBER(MATCH(bhpc_data[category],$EC$9,0)),MATCH(ROW(bhpc_data[sku]),ROW(bhpc_data[sku])),""),ROWS($A$15:A242)+$B$3)),INDEX(bhpc_data[sku],SMALL(IF(ISNUMBER(MATCH(bhpc_data[category],$EC$9,0)*MATCH(bhpc_data[size],$EC$13,0)),MATCH(ROW(bhpc_data[sku]),ROW(bhpc_data[sku])),""),ROWS($A$15:A242)+$B$3))),IF($EC$13="",INDEX(bhpc_data[sku],SMALL(IF(ISNUMBER(MATCH(bhpc_data[category],$EC$9,0)*MATCH(bhpc_data[sex],$EC$11,0)),MATCH(ROW(bhpc_data[sku]),ROW(bhpc_data[sku])),""),ROWS($A$15:A242)+$B$3)),INDEX(bhpc_data[sku],SMALL(IF(ISNUMBER(MATCH(bhpc_data[category],$EC$9,0)*MATCH(bhpc_data[sex],$EC$11,0)*MATCH(bhpc_data[size],$EC$13,0)),MATCH(ROW(bhpc_data[sku]),ROW(bhpc_data[sku])),""),ROWS($A$15:A242)+$B$3))))),"")</f>
        <v>Y00028</v>
      </c>
      <c r="EF237" s="440" t="str" cm="1">
        <f t="array" ref="EF237">IFERROR(IF($EC$9="",IF($EC$11="",IF($EC$13="",INDEX(bhpc_data[description],SMALL(MATCH(ROW(bhpc_data[sku]),ROW(bhpc_data[sku])),ROWS($A$15:A242)+$B$3)),INDEX(bhpc_data[description],SMALL(IF(ISNUMBER(MATCH(bhpc_data[size],$EC$13,0)),MATCH(ROW(bhpc_data[sku]),ROW(bhpc_data[sku])),""),ROWS($A$15:A242)+$B$3))),IF($EC$13="",INDEX(bhpc_data[description],SMALL(IF(ISNUMBER(MATCH(bhpc_data[sex],$EC$11,0)),MATCH(ROW(bhpc_data[sku]),ROW(bhpc_data[sku])),""),ROWS($A$15:A242)+$B$3)),INDEX(bhpc_data[description],SMALL(IF(ISNUMBER(MATCH(bhpc_data[sex],$EC$11,0)*MATCH(bhpc_data[size],$EC$13,0)),MATCH(ROW(bhpc_data[sku]),ROW(bhpc_data[sku])),""),ROWS($A$15:A242)+$B$3)))),IF($EC$11="",IF($EC$13="",INDEX(bhpc_data[description],SMALL(IF(ISNUMBER(MATCH(bhpc_data[category],$EC$9,0)),MATCH(ROW(bhpc_data[sku]),ROW(bhpc_data[sku])),""),ROWS($A$15:A242)+$B$3)),INDEX(bhpc_data[description],SMALL(IF(ISNUMBER(MATCH(bhpc_data[category],$EC$9,0)*MATCH(bhpc_data[size],$EC$13,0)),MATCH(ROW(bhpc_data[sku]),ROW(bhpc_data[sku])),""),ROWS($A$15:A242)+$B$3))),IF($EC$13="",INDEX(bhpc_data[description],SMALL(IF(ISNUMBER(MATCH(bhpc_data[category],$EC$9,0)*MATCH(bhpc_data[sex],$EC$11,0)),MATCH(ROW(bhpc_data[sku]),ROW(bhpc_data[sku])),""),ROWS($A$15:A242)+$B$3)),INDEX(bhpc_data[description],SMALL(IF(ISNUMBER(MATCH(bhpc_data[category],$EC$9,0)*MATCH(bhpc_data[sex],$EC$11,0)*MATCH(bhpc_data[size],$EC$13,0)),MATCH(ROW(bhpc_data[sku]),ROW(bhpc_data[sku])),""),ROWS($A$15:A242)+$B$3))))),"")</f>
        <v>YB2311A BHPC SUNGLASSES DEMI / GRADIENT MOCCA</v>
      </c>
      <c r="EG237" s="441">
        <f>IFERROR(IF('BHPC MANAGER'!$EE237="","",INDEX(inventory[ESISTENZA],MATCH('BHPC MANAGER'!$EE237,inventory[SKU],0))),0)</f>
        <v>49</v>
      </c>
      <c r="EH237" s="442">
        <v>-5</v>
      </c>
      <c r="EI237" s="442">
        <f t="shared" si="19"/>
        <v>44</v>
      </c>
      <c r="EJ237" s="443">
        <v>0</v>
      </c>
      <c r="EK237" s="444">
        <f t="shared" si="20"/>
        <v>44</v>
      </c>
    </row>
    <row r="238" spans="63:141" x14ac:dyDescent="0.35">
      <c r="BK238" s="296"/>
      <c r="BL238" s="297"/>
      <c r="BM238" s="298"/>
      <c r="BN238" s="297"/>
      <c r="BO238" s="298"/>
      <c r="EE238" s="445" t="str" cm="1">
        <f t="array" ref="EE238">IFERROR(IF($EC$9="",IF($EC$11="",IF($EC$13="",INDEX(bhpc_data[sku],SMALL(MATCH(ROW(bhpc_data[sku]),ROW(bhpc_data[sku])),ROWS($A$15:A243)+$B$3)),INDEX(bhpc_data[sku],SMALL(IF(ISNUMBER(MATCH(bhpc_data[size],$EC$13,0)),MATCH(ROW(bhpc_data[sku]),ROW(bhpc_data[sku])),""),ROWS($A$15:A243)+$B$3))),IF($EC$13="",INDEX(bhpc_data[sku],SMALL(IF(ISNUMBER(MATCH(bhpc_data[sex],$EC$11,0)),MATCH(ROW(bhpc_data[sku]),ROW(bhpc_data[sku])),""),ROWS($A$15:A243)+$B$3)),INDEX(bhpc_data[sku],SMALL(IF(ISNUMBER(MATCH(bhpc_data[sex],$EC$11,0)*MATCH(bhpc_data[size],$EC$13,0)),MATCH(ROW(bhpc_data[sku]),ROW(bhpc_data[sku])),""),ROWS($A$15:A243)+$B$3)))),IF($EC$11="",IF($EC$13="",INDEX(bhpc_data[sku],SMALL(IF(ISNUMBER(MATCH(bhpc_data[category],$EC$9,0)),MATCH(ROW(bhpc_data[sku]),ROW(bhpc_data[sku])),""),ROWS($A$15:A243)+$B$3)),INDEX(bhpc_data[sku],SMALL(IF(ISNUMBER(MATCH(bhpc_data[category],$EC$9,0)*MATCH(bhpc_data[size],$EC$13,0)),MATCH(ROW(bhpc_data[sku]),ROW(bhpc_data[sku])),""),ROWS($A$15:A243)+$B$3))),IF($EC$13="",INDEX(bhpc_data[sku],SMALL(IF(ISNUMBER(MATCH(bhpc_data[category],$EC$9,0)*MATCH(bhpc_data[sex],$EC$11,0)),MATCH(ROW(bhpc_data[sku]),ROW(bhpc_data[sku])),""),ROWS($A$15:A243)+$B$3)),INDEX(bhpc_data[sku],SMALL(IF(ISNUMBER(MATCH(bhpc_data[category],$EC$9,0)*MATCH(bhpc_data[sex],$EC$11,0)*MATCH(bhpc_data[size],$EC$13,0)),MATCH(ROW(bhpc_data[sku]),ROW(bhpc_data[sku])),""),ROWS($A$15:A243)+$B$3))))),"")</f>
        <v>Y00029</v>
      </c>
      <c r="EF238" s="446" t="str" cm="1">
        <f t="array" ref="EF238">IFERROR(IF($EC$9="",IF($EC$11="",IF($EC$13="",INDEX(bhpc_data[description],SMALL(MATCH(ROW(bhpc_data[sku]),ROW(bhpc_data[sku])),ROWS($A$15:A243)+$B$3)),INDEX(bhpc_data[description],SMALL(IF(ISNUMBER(MATCH(bhpc_data[size],$EC$13,0)),MATCH(ROW(bhpc_data[sku]),ROW(bhpc_data[sku])),""),ROWS($A$15:A243)+$B$3))),IF($EC$13="",INDEX(bhpc_data[description],SMALL(IF(ISNUMBER(MATCH(bhpc_data[sex],$EC$11,0)),MATCH(ROW(bhpc_data[sku]),ROW(bhpc_data[sku])),""),ROWS($A$15:A243)+$B$3)),INDEX(bhpc_data[description],SMALL(IF(ISNUMBER(MATCH(bhpc_data[sex],$EC$11,0)*MATCH(bhpc_data[size],$EC$13,0)),MATCH(ROW(bhpc_data[sku]),ROW(bhpc_data[sku])),""),ROWS($A$15:A243)+$B$3)))),IF($EC$11="",IF($EC$13="",INDEX(bhpc_data[description],SMALL(IF(ISNUMBER(MATCH(bhpc_data[category],$EC$9,0)),MATCH(ROW(bhpc_data[sku]),ROW(bhpc_data[sku])),""),ROWS($A$15:A243)+$B$3)),INDEX(bhpc_data[description],SMALL(IF(ISNUMBER(MATCH(bhpc_data[category],$EC$9,0)*MATCH(bhpc_data[size],$EC$13,0)),MATCH(ROW(bhpc_data[sku]),ROW(bhpc_data[sku])),""),ROWS($A$15:A243)+$B$3))),IF($EC$13="",INDEX(bhpc_data[description],SMALL(IF(ISNUMBER(MATCH(bhpc_data[category],$EC$9,0)*MATCH(bhpc_data[sex],$EC$11,0)),MATCH(ROW(bhpc_data[sku]),ROW(bhpc_data[sku])),""),ROWS($A$15:A243)+$B$3)),INDEX(bhpc_data[description],SMALL(IF(ISNUMBER(MATCH(bhpc_data[category],$EC$9,0)*MATCH(bhpc_data[sex],$EC$11,0)*MATCH(bhpc_data[size],$EC$13,0)),MATCH(ROW(bhpc_data[sku]),ROW(bhpc_data[sku])),""),ROWS($A$15:A243)+$B$3))))),"")</f>
        <v>YB2311B BHPC SUNGLASSES BLACK / GRADIENT GREY</v>
      </c>
      <c r="EG238" s="447">
        <f>IFERROR(IF('BHPC MANAGER'!$EE238="","",INDEX(inventory[ESISTENZA],MATCH('BHPC MANAGER'!$EE238,inventory[SKU],0))),0)</f>
        <v>49</v>
      </c>
      <c r="EH238" s="448">
        <v>-5</v>
      </c>
      <c r="EI238" s="448">
        <f t="shared" si="19"/>
        <v>44</v>
      </c>
      <c r="EJ238" s="449">
        <v>0</v>
      </c>
      <c r="EK238" s="450">
        <f t="shared" si="20"/>
        <v>44</v>
      </c>
    </row>
    <row r="239" spans="63:141" x14ac:dyDescent="0.35">
      <c r="BK239" s="296"/>
      <c r="BL239" s="297"/>
      <c r="BM239" s="298"/>
      <c r="BN239" s="297"/>
      <c r="BO239" s="298"/>
      <c r="EE239" s="439" t="str" cm="1">
        <f t="array" ref="EE239">IFERROR(IF($EC$9="",IF($EC$11="",IF($EC$13="",INDEX(bhpc_data[sku],SMALL(MATCH(ROW(bhpc_data[sku]),ROW(bhpc_data[sku])),ROWS($A$15:A244)+$B$3)),INDEX(bhpc_data[sku],SMALL(IF(ISNUMBER(MATCH(bhpc_data[size],$EC$13,0)),MATCH(ROW(bhpc_data[sku]),ROW(bhpc_data[sku])),""),ROWS($A$15:A244)+$B$3))),IF($EC$13="",INDEX(bhpc_data[sku],SMALL(IF(ISNUMBER(MATCH(bhpc_data[sex],$EC$11,0)),MATCH(ROW(bhpc_data[sku]),ROW(bhpc_data[sku])),""),ROWS($A$15:A244)+$B$3)),INDEX(bhpc_data[sku],SMALL(IF(ISNUMBER(MATCH(bhpc_data[sex],$EC$11,0)*MATCH(bhpc_data[size],$EC$13,0)),MATCH(ROW(bhpc_data[sku]),ROW(bhpc_data[sku])),""),ROWS($A$15:A244)+$B$3)))),IF($EC$11="",IF($EC$13="",INDEX(bhpc_data[sku],SMALL(IF(ISNUMBER(MATCH(bhpc_data[category],$EC$9,0)),MATCH(ROW(bhpc_data[sku]),ROW(bhpc_data[sku])),""),ROWS($A$15:A244)+$B$3)),INDEX(bhpc_data[sku],SMALL(IF(ISNUMBER(MATCH(bhpc_data[category],$EC$9,0)*MATCH(bhpc_data[size],$EC$13,0)),MATCH(ROW(bhpc_data[sku]),ROW(bhpc_data[sku])),""),ROWS($A$15:A244)+$B$3))),IF($EC$13="",INDEX(bhpc_data[sku],SMALL(IF(ISNUMBER(MATCH(bhpc_data[category],$EC$9,0)*MATCH(bhpc_data[sex],$EC$11,0)),MATCH(ROW(bhpc_data[sku]),ROW(bhpc_data[sku])),""),ROWS($A$15:A244)+$B$3)),INDEX(bhpc_data[sku],SMALL(IF(ISNUMBER(MATCH(bhpc_data[category],$EC$9,0)*MATCH(bhpc_data[sex],$EC$11,0)*MATCH(bhpc_data[size],$EC$13,0)),MATCH(ROW(bhpc_data[sku]),ROW(bhpc_data[sku])),""),ROWS($A$15:A244)+$B$3))))),"")</f>
        <v>Y00030</v>
      </c>
      <c r="EF239" s="440" t="str" cm="1">
        <f t="array" ref="EF239">IFERROR(IF($EC$9="",IF($EC$11="",IF($EC$13="",INDEX(bhpc_data[description],SMALL(MATCH(ROW(bhpc_data[sku]),ROW(bhpc_data[sku])),ROWS($A$15:A244)+$B$3)),INDEX(bhpc_data[description],SMALL(IF(ISNUMBER(MATCH(bhpc_data[size],$EC$13,0)),MATCH(ROW(bhpc_data[sku]),ROW(bhpc_data[sku])),""),ROWS($A$15:A244)+$B$3))),IF($EC$13="",INDEX(bhpc_data[description],SMALL(IF(ISNUMBER(MATCH(bhpc_data[sex],$EC$11,0)),MATCH(ROW(bhpc_data[sku]),ROW(bhpc_data[sku])),""),ROWS($A$15:A244)+$B$3)),INDEX(bhpc_data[description],SMALL(IF(ISNUMBER(MATCH(bhpc_data[sex],$EC$11,0)*MATCH(bhpc_data[size],$EC$13,0)),MATCH(ROW(bhpc_data[sku]),ROW(bhpc_data[sku])),""),ROWS($A$15:A244)+$B$3)))),IF($EC$11="",IF($EC$13="",INDEX(bhpc_data[description],SMALL(IF(ISNUMBER(MATCH(bhpc_data[category],$EC$9,0)),MATCH(ROW(bhpc_data[sku]),ROW(bhpc_data[sku])),""),ROWS($A$15:A244)+$B$3)),INDEX(bhpc_data[description],SMALL(IF(ISNUMBER(MATCH(bhpc_data[category],$EC$9,0)*MATCH(bhpc_data[size],$EC$13,0)),MATCH(ROW(bhpc_data[sku]),ROW(bhpc_data[sku])),""),ROWS($A$15:A244)+$B$3))),IF($EC$13="",INDEX(bhpc_data[description],SMALL(IF(ISNUMBER(MATCH(bhpc_data[category],$EC$9,0)*MATCH(bhpc_data[sex],$EC$11,0)),MATCH(ROW(bhpc_data[sku]),ROW(bhpc_data[sku])),""),ROWS($A$15:A244)+$B$3)),INDEX(bhpc_data[description],SMALL(IF(ISNUMBER(MATCH(bhpc_data[category],$EC$9,0)*MATCH(bhpc_data[sex],$EC$11,0)*MATCH(bhpc_data[size],$EC$13,0)),MATCH(ROW(bhpc_data[sku]),ROW(bhpc_data[sku])),""),ROWS($A$15:A244)+$B$3))))),"")</f>
        <v>YB2311C BHPC SUNGLASSES TRANSP. OLIVE / GRADIENT CLAY</v>
      </c>
      <c r="EG239" s="441">
        <f>IFERROR(IF('BHPC MANAGER'!$EE239="","",INDEX(inventory[ESISTENZA],MATCH('BHPC MANAGER'!$EE239,inventory[SKU],0))),0)</f>
        <v>169</v>
      </c>
      <c r="EH239" s="442">
        <v>-5</v>
      </c>
      <c r="EI239" s="442">
        <f t="shared" si="19"/>
        <v>164</v>
      </c>
      <c r="EJ239" s="443">
        <v>0</v>
      </c>
      <c r="EK239" s="444">
        <f t="shared" si="20"/>
        <v>164</v>
      </c>
    </row>
    <row r="240" spans="63:141" x14ac:dyDescent="0.35">
      <c r="BK240" s="296"/>
      <c r="BL240" s="297"/>
      <c r="BM240" s="298"/>
      <c r="BN240" s="297"/>
      <c r="BO240" s="298"/>
      <c r="EE240" s="445" t="str" cm="1">
        <f t="array" ref="EE240">IFERROR(IF($EC$9="",IF($EC$11="",IF($EC$13="",INDEX(bhpc_data[sku],SMALL(MATCH(ROW(bhpc_data[sku]),ROW(bhpc_data[sku])),ROWS($A$15:A245)+$B$3)),INDEX(bhpc_data[sku],SMALL(IF(ISNUMBER(MATCH(bhpc_data[size],$EC$13,0)),MATCH(ROW(bhpc_data[sku]),ROW(bhpc_data[sku])),""),ROWS($A$15:A245)+$B$3))),IF($EC$13="",INDEX(bhpc_data[sku],SMALL(IF(ISNUMBER(MATCH(bhpc_data[sex],$EC$11,0)),MATCH(ROW(bhpc_data[sku]),ROW(bhpc_data[sku])),""),ROWS($A$15:A245)+$B$3)),INDEX(bhpc_data[sku],SMALL(IF(ISNUMBER(MATCH(bhpc_data[sex],$EC$11,0)*MATCH(bhpc_data[size],$EC$13,0)),MATCH(ROW(bhpc_data[sku]),ROW(bhpc_data[sku])),""),ROWS($A$15:A245)+$B$3)))),IF($EC$11="",IF($EC$13="",INDEX(bhpc_data[sku],SMALL(IF(ISNUMBER(MATCH(bhpc_data[category],$EC$9,0)),MATCH(ROW(bhpc_data[sku]),ROW(bhpc_data[sku])),""),ROWS($A$15:A245)+$B$3)),INDEX(bhpc_data[sku],SMALL(IF(ISNUMBER(MATCH(bhpc_data[category],$EC$9,0)*MATCH(bhpc_data[size],$EC$13,0)),MATCH(ROW(bhpc_data[sku]),ROW(bhpc_data[sku])),""),ROWS($A$15:A245)+$B$3))),IF($EC$13="",INDEX(bhpc_data[sku],SMALL(IF(ISNUMBER(MATCH(bhpc_data[category],$EC$9,0)*MATCH(bhpc_data[sex],$EC$11,0)),MATCH(ROW(bhpc_data[sku]),ROW(bhpc_data[sku])),""),ROWS($A$15:A245)+$B$3)),INDEX(bhpc_data[sku],SMALL(IF(ISNUMBER(MATCH(bhpc_data[category],$EC$9,0)*MATCH(bhpc_data[sex],$EC$11,0)*MATCH(bhpc_data[size],$EC$13,0)),MATCH(ROW(bhpc_data[sku]),ROW(bhpc_data[sku])),""),ROWS($A$15:A245)+$B$3))))),"")</f>
        <v>Y00031</v>
      </c>
      <c r="EF240" s="446" t="str" cm="1">
        <f t="array" ref="EF240">IFERROR(IF($EC$9="",IF($EC$11="",IF($EC$13="",INDEX(bhpc_data[description],SMALL(MATCH(ROW(bhpc_data[sku]),ROW(bhpc_data[sku])),ROWS($A$15:A245)+$B$3)),INDEX(bhpc_data[description],SMALL(IF(ISNUMBER(MATCH(bhpc_data[size],$EC$13,0)),MATCH(ROW(bhpc_data[sku]),ROW(bhpc_data[sku])),""),ROWS($A$15:A245)+$B$3))),IF($EC$13="",INDEX(bhpc_data[description],SMALL(IF(ISNUMBER(MATCH(bhpc_data[sex],$EC$11,0)),MATCH(ROW(bhpc_data[sku]),ROW(bhpc_data[sku])),""),ROWS($A$15:A245)+$B$3)),INDEX(bhpc_data[description],SMALL(IF(ISNUMBER(MATCH(bhpc_data[sex],$EC$11,0)*MATCH(bhpc_data[size],$EC$13,0)),MATCH(ROW(bhpc_data[sku]),ROW(bhpc_data[sku])),""),ROWS($A$15:A245)+$B$3)))),IF($EC$11="",IF($EC$13="",INDEX(bhpc_data[description],SMALL(IF(ISNUMBER(MATCH(bhpc_data[category],$EC$9,0)),MATCH(ROW(bhpc_data[sku]),ROW(bhpc_data[sku])),""),ROWS($A$15:A245)+$B$3)),INDEX(bhpc_data[description],SMALL(IF(ISNUMBER(MATCH(bhpc_data[category],$EC$9,0)*MATCH(bhpc_data[size],$EC$13,0)),MATCH(ROW(bhpc_data[sku]),ROW(bhpc_data[sku])),""),ROWS($A$15:A245)+$B$3))),IF($EC$13="",INDEX(bhpc_data[description],SMALL(IF(ISNUMBER(MATCH(bhpc_data[category],$EC$9,0)*MATCH(bhpc_data[sex],$EC$11,0)),MATCH(ROW(bhpc_data[sku]),ROW(bhpc_data[sku])),""),ROWS($A$15:A245)+$B$3)),INDEX(bhpc_data[description],SMALL(IF(ISNUMBER(MATCH(bhpc_data[category],$EC$9,0)*MATCH(bhpc_data[sex],$EC$11,0)*MATCH(bhpc_data[size],$EC$13,0)),MATCH(ROW(bhpc_data[sku]),ROW(bhpc_data[sku])),""),ROWS($A$15:A245)+$B$3))))),"")</f>
        <v>YB2315A BHPC SUNGLASSES BLACK CRYSTAL GRADIENT GREEN</v>
      </c>
      <c r="EG240" s="447">
        <f>IFERROR(IF('BHPC MANAGER'!$EE240="","",INDEX(inventory[ESISTENZA],MATCH('BHPC MANAGER'!$EE240,inventory[SKU],0))),0)</f>
        <v>31</v>
      </c>
      <c r="EH240" s="448">
        <v>-5</v>
      </c>
      <c r="EI240" s="448">
        <f t="shared" si="19"/>
        <v>26</v>
      </c>
      <c r="EJ240" s="449">
        <v>0</v>
      </c>
      <c r="EK240" s="450">
        <f t="shared" si="20"/>
        <v>26</v>
      </c>
    </row>
    <row r="241" spans="63:141" x14ac:dyDescent="0.35">
      <c r="BK241" s="296"/>
      <c r="BL241" s="297"/>
      <c r="BM241" s="298"/>
      <c r="BN241" s="297"/>
      <c r="BO241" s="298"/>
      <c r="EE241" s="439" t="str" cm="1">
        <f t="array" ref="EE241">IFERROR(IF($EC$9="",IF($EC$11="",IF($EC$13="",INDEX(bhpc_data[sku],SMALL(MATCH(ROW(bhpc_data[sku]),ROW(bhpc_data[sku])),ROWS($A$15:A246)+$B$3)),INDEX(bhpc_data[sku],SMALL(IF(ISNUMBER(MATCH(bhpc_data[size],$EC$13,0)),MATCH(ROW(bhpc_data[sku]),ROW(bhpc_data[sku])),""),ROWS($A$15:A246)+$B$3))),IF($EC$13="",INDEX(bhpc_data[sku],SMALL(IF(ISNUMBER(MATCH(bhpc_data[sex],$EC$11,0)),MATCH(ROW(bhpc_data[sku]),ROW(bhpc_data[sku])),""),ROWS($A$15:A246)+$B$3)),INDEX(bhpc_data[sku],SMALL(IF(ISNUMBER(MATCH(bhpc_data[sex],$EC$11,0)*MATCH(bhpc_data[size],$EC$13,0)),MATCH(ROW(bhpc_data[sku]),ROW(bhpc_data[sku])),""),ROWS($A$15:A246)+$B$3)))),IF($EC$11="",IF($EC$13="",INDEX(bhpc_data[sku],SMALL(IF(ISNUMBER(MATCH(bhpc_data[category],$EC$9,0)),MATCH(ROW(bhpc_data[sku]),ROW(bhpc_data[sku])),""),ROWS($A$15:A246)+$B$3)),INDEX(bhpc_data[sku],SMALL(IF(ISNUMBER(MATCH(bhpc_data[category],$EC$9,0)*MATCH(bhpc_data[size],$EC$13,0)),MATCH(ROW(bhpc_data[sku]),ROW(bhpc_data[sku])),""),ROWS($A$15:A246)+$B$3))),IF($EC$13="",INDEX(bhpc_data[sku],SMALL(IF(ISNUMBER(MATCH(bhpc_data[category],$EC$9,0)*MATCH(bhpc_data[sex],$EC$11,0)),MATCH(ROW(bhpc_data[sku]),ROW(bhpc_data[sku])),""),ROWS($A$15:A246)+$B$3)),INDEX(bhpc_data[sku],SMALL(IF(ISNUMBER(MATCH(bhpc_data[category],$EC$9,0)*MATCH(bhpc_data[sex],$EC$11,0)*MATCH(bhpc_data[size],$EC$13,0)),MATCH(ROW(bhpc_data[sku]),ROW(bhpc_data[sku])),""),ROWS($A$15:A246)+$B$3))))),"")</f>
        <v>Y00032</v>
      </c>
      <c r="EF241" s="440" t="str" cm="1">
        <f t="array" ref="EF241">IFERROR(IF($EC$9="",IF($EC$11="",IF($EC$13="",INDEX(bhpc_data[description],SMALL(MATCH(ROW(bhpc_data[sku]),ROW(bhpc_data[sku])),ROWS($A$15:A246)+$B$3)),INDEX(bhpc_data[description],SMALL(IF(ISNUMBER(MATCH(bhpc_data[size],$EC$13,0)),MATCH(ROW(bhpc_data[sku]),ROW(bhpc_data[sku])),""),ROWS($A$15:A246)+$B$3))),IF($EC$13="",INDEX(bhpc_data[description],SMALL(IF(ISNUMBER(MATCH(bhpc_data[sex],$EC$11,0)),MATCH(ROW(bhpc_data[sku]),ROW(bhpc_data[sku])),""),ROWS($A$15:A246)+$B$3)),INDEX(bhpc_data[description],SMALL(IF(ISNUMBER(MATCH(bhpc_data[sex],$EC$11,0)*MATCH(bhpc_data[size],$EC$13,0)),MATCH(ROW(bhpc_data[sku]),ROW(bhpc_data[sku])),""),ROWS($A$15:A246)+$B$3)))),IF($EC$11="",IF($EC$13="",INDEX(bhpc_data[description],SMALL(IF(ISNUMBER(MATCH(bhpc_data[category],$EC$9,0)),MATCH(ROW(bhpc_data[sku]),ROW(bhpc_data[sku])),""),ROWS($A$15:A246)+$B$3)),INDEX(bhpc_data[description],SMALL(IF(ISNUMBER(MATCH(bhpc_data[category],$EC$9,0)*MATCH(bhpc_data[size],$EC$13,0)),MATCH(ROW(bhpc_data[sku]),ROW(bhpc_data[sku])),""),ROWS($A$15:A246)+$B$3))),IF($EC$13="",INDEX(bhpc_data[description],SMALL(IF(ISNUMBER(MATCH(bhpc_data[category],$EC$9,0)*MATCH(bhpc_data[sex],$EC$11,0)),MATCH(ROW(bhpc_data[sku]),ROW(bhpc_data[sku])),""),ROWS($A$15:A246)+$B$3)),INDEX(bhpc_data[description],SMALL(IF(ISNUMBER(MATCH(bhpc_data[category],$EC$9,0)*MATCH(bhpc_data[sex],$EC$11,0)*MATCH(bhpc_data[size],$EC$13,0)),MATCH(ROW(bhpc_data[sku]),ROW(bhpc_data[sku])),""),ROWS($A$15:A246)+$B$3))))),"")</f>
        <v>YB2315B BHPC SUNGLASSES TRANSP. GREEN / GRADIENT GREY</v>
      </c>
      <c r="EG241" s="441">
        <f>IFERROR(IF('BHPC MANAGER'!$EE241="","",INDEX(inventory[ESISTENZA],MATCH('BHPC MANAGER'!$EE241,inventory[SKU],0))),0)</f>
        <v>149</v>
      </c>
      <c r="EH241" s="442">
        <v>-5</v>
      </c>
      <c r="EI241" s="442">
        <f t="shared" si="19"/>
        <v>144</v>
      </c>
      <c r="EJ241" s="443">
        <v>0</v>
      </c>
      <c r="EK241" s="444">
        <f t="shared" si="20"/>
        <v>144</v>
      </c>
    </row>
    <row r="242" spans="63:141" x14ac:dyDescent="0.35">
      <c r="BK242" s="296"/>
      <c r="BL242" s="297"/>
      <c r="BM242" s="298"/>
      <c r="BN242" s="297"/>
      <c r="BO242" s="298"/>
      <c r="EE242" s="445" t="str" cm="1">
        <f t="array" ref="EE242">IFERROR(IF($EC$9="",IF($EC$11="",IF($EC$13="",INDEX(bhpc_data[sku],SMALL(MATCH(ROW(bhpc_data[sku]),ROW(bhpc_data[sku])),ROWS($A$15:A247)+$B$3)),INDEX(bhpc_data[sku],SMALL(IF(ISNUMBER(MATCH(bhpc_data[size],$EC$13,0)),MATCH(ROW(bhpc_data[sku]),ROW(bhpc_data[sku])),""),ROWS($A$15:A247)+$B$3))),IF($EC$13="",INDEX(bhpc_data[sku],SMALL(IF(ISNUMBER(MATCH(bhpc_data[sex],$EC$11,0)),MATCH(ROW(bhpc_data[sku]),ROW(bhpc_data[sku])),""),ROWS($A$15:A247)+$B$3)),INDEX(bhpc_data[sku],SMALL(IF(ISNUMBER(MATCH(bhpc_data[sex],$EC$11,0)*MATCH(bhpc_data[size],$EC$13,0)),MATCH(ROW(bhpc_data[sku]),ROW(bhpc_data[sku])),""),ROWS($A$15:A247)+$B$3)))),IF($EC$11="",IF($EC$13="",INDEX(bhpc_data[sku],SMALL(IF(ISNUMBER(MATCH(bhpc_data[category],$EC$9,0)),MATCH(ROW(bhpc_data[sku]),ROW(bhpc_data[sku])),""),ROWS($A$15:A247)+$B$3)),INDEX(bhpc_data[sku],SMALL(IF(ISNUMBER(MATCH(bhpc_data[category],$EC$9,0)*MATCH(bhpc_data[size],$EC$13,0)),MATCH(ROW(bhpc_data[sku]),ROW(bhpc_data[sku])),""),ROWS($A$15:A247)+$B$3))),IF($EC$13="",INDEX(bhpc_data[sku],SMALL(IF(ISNUMBER(MATCH(bhpc_data[category],$EC$9,0)*MATCH(bhpc_data[sex],$EC$11,0)),MATCH(ROW(bhpc_data[sku]),ROW(bhpc_data[sku])),""),ROWS($A$15:A247)+$B$3)),INDEX(bhpc_data[sku],SMALL(IF(ISNUMBER(MATCH(bhpc_data[category],$EC$9,0)*MATCH(bhpc_data[sex],$EC$11,0)*MATCH(bhpc_data[size],$EC$13,0)),MATCH(ROW(bhpc_data[sku]),ROW(bhpc_data[sku])),""),ROWS($A$15:A247)+$B$3))))),"")</f>
        <v>Y00033</v>
      </c>
      <c r="EF242" s="446" t="str" cm="1">
        <f t="array" ref="EF242">IFERROR(IF($EC$9="",IF($EC$11="",IF($EC$13="",INDEX(bhpc_data[description],SMALL(MATCH(ROW(bhpc_data[sku]),ROW(bhpc_data[sku])),ROWS($A$15:A247)+$B$3)),INDEX(bhpc_data[description],SMALL(IF(ISNUMBER(MATCH(bhpc_data[size],$EC$13,0)),MATCH(ROW(bhpc_data[sku]),ROW(bhpc_data[sku])),""),ROWS($A$15:A247)+$B$3))),IF($EC$13="",INDEX(bhpc_data[description],SMALL(IF(ISNUMBER(MATCH(bhpc_data[sex],$EC$11,0)),MATCH(ROW(bhpc_data[sku]),ROW(bhpc_data[sku])),""),ROWS($A$15:A247)+$B$3)),INDEX(bhpc_data[description],SMALL(IF(ISNUMBER(MATCH(bhpc_data[sex],$EC$11,0)*MATCH(bhpc_data[size],$EC$13,0)),MATCH(ROW(bhpc_data[sku]),ROW(bhpc_data[sku])),""),ROWS($A$15:A247)+$B$3)))),IF($EC$11="",IF($EC$13="",INDEX(bhpc_data[description],SMALL(IF(ISNUMBER(MATCH(bhpc_data[category],$EC$9,0)),MATCH(ROW(bhpc_data[sku]),ROW(bhpc_data[sku])),""),ROWS($A$15:A247)+$B$3)),INDEX(bhpc_data[description],SMALL(IF(ISNUMBER(MATCH(bhpc_data[category],$EC$9,0)*MATCH(bhpc_data[size],$EC$13,0)),MATCH(ROW(bhpc_data[sku]),ROW(bhpc_data[sku])),""),ROWS($A$15:A247)+$B$3))),IF($EC$13="",INDEX(bhpc_data[description],SMALL(IF(ISNUMBER(MATCH(bhpc_data[category],$EC$9,0)*MATCH(bhpc_data[sex],$EC$11,0)),MATCH(ROW(bhpc_data[sku]),ROW(bhpc_data[sku])),""),ROWS($A$15:A247)+$B$3)),INDEX(bhpc_data[description],SMALL(IF(ISNUMBER(MATCH(bhpc_data[category],$EC$9,0)*MATCH(bhpc_data[sex],$EC$11,0)*MATCH(bhpc_data[size],$EC$13,0)),MATCH(ROW(bhpc_data[sku]),ROW(bhpc_data[sku])),""),ROWS($A$15:A247)+$B$3))))),"")</f>
        <v>YB2315C BHPC SUNGLASSES TRANSP. VIOLET / GRADIENT SMOKE</v>
      </c>
      <c r="EG242" s="447">
        <f>IFERROR(IF('BHPC MANAGER'!$EE242="","",INDEX(inventory[ESISTENZA],MATCH('BHPC MANAGER'!$EE242,inventory[SKU],0))),0)</f>
        <v>256</v>
      </c>
      <c r="EH242" s="448">
        <v>-5</v>
      </c>
      <c r="EI242" s="448">
        <f t="shared" si="19"/>
        <v>251</v>
      </c>
      <c r="EJ242" s="449">
        <v>0</v>
      </c>
      <c r="EK242" s="450">
        <f t="shared" si="20"/>
        <v>251</v>
      </c>
    </row>
    <row r="243" spans="63:141" x14ac:dyDescent="0.35">
      <c r="BK243" s="296"/>
      <c r="BL243" s="297"/>
      <c r="BM243" s="298"/>
      <c r="BN243" s="297"/>
      <c r="BO243" s="298"/>
      <c r="EE243" s="439" t="str" cm="1">
        <f t="array" ref="EE243">IFERROR(IF($EC$9="",IF($EC$11="",IF($EC$13="",INDEX(bhpc_data[sku],SMALL(MATCH(ROW(bhpc_data[sku]),ROW(bhpc_data[sku])),ROWS($A$15:A248)+$B$3)),INDEX(bhpc_data[sku],SMALL(IF(ISNUMBER(MATCH(bhpc_data[size],$EC$13,0)),MATCH(ROW(bhpc_data[sku]),ROW(bhpc_data[sku])),""),ROWS($A$15:A248)+$B$3))),IF($EC$13="",INDEX(bhpc_data[sku],SMALL(IF(ISNUMBER(MATCH(bhpc_data[sex],$EC$11,0)),MATCH(ROW(bhpc_data[sku]),ROW(bhpc_data[sku])),""),ROWS($A$15:A248)+$B$3)),INDEX(bhpc_data[sku],SMALL(IF(ISNUMBER(MATCH(bhpc_data[sex],$EC$11,0)*MATCH(bhpc_data[size],$EC$13,0)),MATCH(ROW(bhpc_data[sku]),ROW(bhpc_data[sku])),""),ROWS($A$15:A248)+$B$3)))),IF($EC$11="",IF($EC$13="",INDEX(bhpc_data[sku],SMALL(IF(ISNUMBER(MATCH(bhpc_data[category],$EC$9,0)),MATCH(ROW(bhpc_data[sku]),ROW(bhpc_data[sku])),""),ROWS($A$15:A248)+$B$3)),INDEX(bhpc_data[sku],SMALL(IF(ISNUMBER(MATCH(bhpc_data[category],$EC$9,0)*MATCH(bhpc_data[size],$EC$13,0)),MATCH(ROW(bhpc_data[sku]),ROW(bhpc_data[sku])),""),ROWS($A$15:A248)+$B$3))),IF($EC$13="",INDEX(bhpc_data[sku],SMALL(IF(ISNUMBER(MATCH(bhpc_data[category],$EC$9,0)*MATCH(bhpc_data[sex],$EC$11,0)),MATCH(ROW(bhpc_data[sku]),ROW(bhpc_data[sku])),""),ROWS($A$15:A248)+$B$3)),INDEX(bhpc_data[sku],SMALL(IF(ISNUMBER(MATCH(bhpc_data[category],$EC$9,0)*MATCH(bhpc_data[sex],$EC$11,0)*MATCH(bhpc_data[size],$EC$13,0)),MATCH(ROW(bhpc_data[sku]),ROW(bhpc_data[sku])),""),ROWS($A$15:A248)+$B$3))))),"")</f>
        <v>Y00034</v>
      </c>
      <c r="EF243" s="440" t="str" cm="1">
        <f t="array" ref="EF243">IFERROR(IF($EC$9="",IF($EC$11="",IF($EC$13="",INDEX(bhpc_data[description],SMALL(MATCH(ROW(bhpc_data[sku]),ROW(bhpc_data[sku])),ROWS($A$15:A248)+$B$3)),INDEX(bhpc_data[description],SMALL(IF(ISNUMBER(MATCH(bhpc_data[size],$EC$13,0)),MATCH(ROW(bhpc_data[sku]),ROW(bhpc_data[sku])),""),ROWS($A$15:A248)+$B$3))),IF($EC$13="",INDEX(bhpc_data[description],SMALL(IF(ISNUMBER(MATCH(bhpc_data[sex],$EC$11,0)),MATCH(ROW(bhpc_data[sku]),ROW(bhpc_data[sku])),""),ROWS($A$15:A248)+$B$3)),INDEX(bhpc_data[description],SMALL(IF(ISNUMBER(MATCH(bhpc_data[sex],$EC$11,0)*MATCH(bhpc_data[size],$EC$13,0)),MATCH(ROW(bhpc_data[sku]),ROW(bhpc_data[sku])),""),ROWS($A$15:A248)+$B$3)))),IF($EC$11="",IF($EC$13="",INDEX(bhpc_data[description],SMALL(IF(ISNUMBER(MATCH(bhpc_data[category],$EC$9,0)),MATCH(ROW(bhpc_data[sku]),ROW(bhpc_data[sku])),""),ROWS($A$15:A248)+$B$3)),INDEX(bhpc_data[description],SMALL(IF(ISNUMBER(MATCH(bhpc_data[category],$EC$9,0)*MATCH(bhpc_data[size],$EC$13,0)),MATCH(ROW(bhpc_data[sku]),ROW(bhpc_data[sku])),""),ROWS($A$15:A248)+$B$3))),IF($EC$13="",INDEX(bhpc_data[description],SMALL(IF(ISNUMBER(MATCH(bhpc_data[category],$EC$9,0)*MATCH(bhpc_data[sex],$EC$11,0)),MATCH(ROW(bhpc_data[sku]),ROW(bhpc_data[sku])),""),ROWS($A$15:A248)+$B$3)),INDEX(bhpc_data[description],SMALL(IF(ISNUMBER(MATCH(bhpc_data[category],$EC$9,0)*MATCH(bhpc_data[sex],$EC$11,0)*MATCH(bhpc_data[size],$EC$13,0)),MATCH(ROW(bhpc_data[sku]),ROW(bhpc_data[sku])),""),ROWS($A$15:A248)+$B$3))))),"")</f>
        <v>YB2312A BHPC SUNGLASSES BLACK / SOLID GREY</v>
      </c>
      <c r="EG243" s="441">
        <f>IFERROR(IF('BHPC MANAGER'!$EE243="","",INDEX(inventory[ESISTENZA],MATCH('BHPC MANAGER'!$EE243,inventory[SKU],0))),0)</f>
        <v>49</v>
      </c>
      <c r="EH243" s="442">
        <v>-5</v>
      </c>
      <c r="EI243" s="442">
        <f t="shared" si="19"/>
        <v>44</v>
      </c>
      <c r="EJ243" s="443">
        <v>0</v>
      </c>
      <c r="EK243" s="444">
        <f t="shared" si="20"/>
        <v>44</v>
      </c>
    </row>
    <row r="244" spans="63:141" x14ac:dyDescent="0.35">
      <c r="BK244" s="296"/>
      <c r="BL244" s="297"/>
      <c r="BM244" s="298"/>
      <c r="BN244" s="297"/>
      <c r="BO244" s="298"/>
      <c r="EE244" s="445" t="str" cm="1">
        <f t="array" ref="EE244">IFERROR(IF($EC$9="",IF($EC$11="",IF($EC$13="",INDEX(bhpc_data[sku],SMALL(MATCH(ROW(bhpc_data[sku]),ROW(bhpc_data[sku])),ROWS($A$15:A249)+$B$3)),INDEX(bhpc_data[sku],SMALL(IF(ISNUMBER(MATCH(bhpc_data[size],$EC$13,0)),MATCH(ROW(bhpc_data[sku]),ROW(bhpc_data[sku])),""),ROWS($A$15:A249)+$B$3))),IF($EC$13="",INDEX(bhpc_data[sku],SMALL(IF(ISNUMBER(MATCH(bhpc_data[sex],$EC$11,0)),MATCH(ROW(bhpc_data[sku]),ROW(bhpc_data[sku])),""),ROWS($A$15:A249)+$B$3)),INDEX(bhpc_data[sku],SMALL(IF(ISNUMBER(MATCH(bhpc_data[sex],$EC$11,0)*MATCH(bhpc_data[size],$EC$13,0)),MATCH(ROW(bhpc_data[sku]),ROW(bhpc_data[sku])),""),ROWS($A$15:A249)+$B$3)))),IF($EC$11="",IF($EC$13="",INDEX(bhpc_data[sku],SMALL(IF(ISNUMBER(MATCH(bhpc_data[category],$EC$9,0)),MATCH(ROW(bhpc_data[sku]),ROW(bhpc_data[sku])),""),ROWS($A$15:A249)+$B$3)),INDEX(bhpc_data[sku],SMALL(IF(ISNUMBER(MATCH(bhpc_data[category],$EC$9,0)*MATCH(bhpc_data[size],$EC$13,0)),MATCH(ROW(bhpc_data[sku]),ROW(bhpc_data[sku])),""),ROWS($A$15:A249)+$B$3))),IF($EC$13="",INDEX(bhpc_data[sku],SMALL(IF(ISNUMBER(MATCH(bhpc_data[category],$EC$9,0)*MATCH(bhpc_data[sex],$EC$11,0)),MATCH(ROW(bhpc_data[sku]),ROW(bhpc_data[sku])),""),ROWS($A$15:A249)+$B$3)),INDEX(bhpc_data[sku],SMALL(IF(ISNUMBER(MATCH(bhpc_data[category],$EC$9,0)*MATCH(bhpc_data[sex],$EC$11,0)*MATCH(bhpc_data[size],$EC$13,0)),MATCH(ROW(bhpc_data[sku]),ROW(bhpc_data[sku])),""),ROWS($A$15:A249)+$B$3))))),"")</f>
        <v>Y00035</v>
      </c>
      <c r="EF244" s="446" t="str" cm="1">
        <f t="array" ref="EF244">IFERROR(IF($EC$9="",IF($EC$11="",IF($EC$13="",INDEX(bhpc_data[description],SMALL(MATCH(ROW(bhpc_data[sku]),ROW(bhpc_data[sku])),ROWS($A$15:A249)+$B$3)),INDEX(bhpc_data[description],SMALL(IF(ISNUMBER(MATCH(bhpc_data[size],$EC$13,0)),MATCH(ROW(bhpc_data[sku]),ROW(bhpc_data[sku])),""),ROWS($A$15:A249)+$B$3))),IF($EC$13="",INDEX(bhpc_data[description],SMALL(IF(ISNUMBER(MATCH(bhpc_data[sex],$EC$11,0)),MATCH(ROW(bhpc_data[sku]),ROW(bhpc_data[sku])),""),ROWS($A$15:A249)+$B$3)),INDEX(bhpc_data[description],SMALL(IF(ISNUMBER(MATCH(bhpc_data[sex],$EC$11,0)*MATCH(bhpc_data[size],$EC$13,0)),MATCH(ROW(bhpc_data[sku]),ROW(bhpc_data[sku])),""),ROWS($A$15:A249)+$B$3)))),IF($EC$11="",IF($EC$13="",INDEX(bhpc_data[description],SMALL(IF(ISNUMBER(MATCH(bhpc_data[category],$EC$9,0)),MATCH(ROW(bhpc_data[sku]),ROW(bhpc_data[sku])),""),ROWS($A$15:A249)+$B$3)),INDEX(bhpc_data[description],SMALL(IF(ISNUMBER(MATCH(bhpc_data[category],$EC$9,0)*MATCH(bhpc_data[size],$EC$13,0)),MATCH(ROW(bhpc_data[sku]),ROW(bhpc_data[sku])),""),ROWS($A$15:A249)+$B$3))),IF($EC$13="",INDEX(bhpc_data[description],SMALL(IF(ISNUMBER(MATCH(bhpc_data[category],$EC$9,0)*MATCH(bhpc_data[sex],$EC$11,0)),MATCH(ROW(bhpc_data[sku]),ROW(bhpc_data[sku])),""),ROWS($A$15:A249)+$B$3)),INDEX(bhpc_data[description],SMALL(IF(ISNUMBER(MATCH(bhpc_data[category],$EC$9,0)*MATCH(bhpc_data[sex],$EC$11,0)*MATCH(bhpc_data[size],$EC$13,0)),MATCH(ROW(bhpc_data[sku]),ROW(bhpc_data[sku])),""),ROWS($A$15:A249)+$B$3))))),"")</f>
        <v>YB2312B BHPC SUNGLASSES RED / SOLID SMOKE</v>
      </c>
      <c r="EG244" s="447">
        <f>IFERROR(IF('BHPC MANAGER'!$EE244="","",INDEX(inventory[ESISTENZA],MATCH('BHPC MANAGER'!$EE244,inventory[SKU],0))),0)</f>
        <v>150</v>
      </c>
      <c r="EH244" s="448">
        <v>-5</v>
      </c>
      <c r="EI244" s="448">
        <f t="shared" si="19"/>
        <v>145</v>
      </c>
      <c r="EJ244" s="449">
        <v>0</v>
      </c>
      <c r="EK244" s="450">
        <f t="shared" si="20"/>
        <v>145</v>
      </c>
    </row>
    <row r="245" spans="63:141" x14ac:dyDescent="0.35">
      <c r="BK245" s="296"/>
      <c r="BL245" s="297"/>
      <c r="BM245" s="298"/>
      <c r="BN245" s="297"/>
      <c r="BO245" s="298"/>
      <c r="EE245" s="439" t="str" cm="1">
        <f t="array" ref="EE245">IFERROR(IF($EC$9="",IF($EC$11="",IF($EC$13="",INDEX(bhpc_data[sku],SMALL(MATCH(ROW(bhpc_data[sku]),ROW(bhpc_data[sku])),ROWS($A$15:A250)+$B$3)),INDEX(bhpc_data[sku],SMALL(IF(ISNUMBER(MATCH(bhpc_data[size],$EC$13,0)),MATCH(ROW(bhpc_data[sku]),ROW(bhpc_data[sku])),""),ROWS($A$15:A250)+$B$3))),IF($EC$13="",INDEX(bhpc_data[sku],SMALL(IF(ISNUMBER(MATCH(bhpc_data[sex],$EC$11,0)),MATCH(ROW(bhpc_data[sku]),ROW(bhpc_data[sku])),""),ROWS($A$15:A250)+$B$3)),INDEX(bhpc_data[sku],SMALL(IF(ISNUMBER(MATCH(bhpc_data[sex],$EC$11,0)*MATCH(bhpc_data[size],$EC$13,0)),MATCH(ROW(bhpc_data[sku]),ROW(bhpc_data[sku])),""),ROWS($A$15:A250)+$B$3)))),IF($EC$11="",IF($EC$13="",INDEX(bhpc_data[sku],SMALL(IF(ISNUMBER(MATCH(bhpc_data[category],$EC$9,0)),MATCH(ROW(bhpc_data[sku]),ROW(bhpc_data[sku])),""),ROWS($A$15:A250)+$B$3)),INDEX(bhpc_data[sku],SMALL(IF(ISNUMBER(MATCH(bhpc_data[category],$EC$9,0)*MATCH(bhpc_data[size],$EC$13,0)),MATCH(ROW(bhpc_data[sku]),ROW(bhpc_data[sku])),""),ROWS($A$15:A250)+$B$3))),IF($EC$13="",INDEX(bhpc_data[sku],SMALL(IF(ISNUMBER(MATCH(bhpc_data[category],$EC$9,0)*MATCH(bhpc_data[sex],$EC$11,0)),MATCH(ROW(bhpc_data[sku]),ROW(bhpc_data[sku])),""),ROWS($A$15:A250)+$B$3)),INDEX(bhpc_data[sku],SMALL(IF(ISNUMBER(MATCH(bhpc_data[category],$EC$9,0)*MATCH(bhpc_data[sex],$EC$11,0)*MATCH(bhpc_data[size],$EC$13,0)),MATCH(ROW(bhpc_data[sku]),ROW(bhpc_data[sku])),""),ROWS($A$15:A250)+$B$3))))),"")</f>
        <v>Y00036</v>
      </c>
      <c r="EF245" s="440" t="str" cm="1">
        <f t="array" ref="EF245">IFERROR(IF($EC$9="",IF($EC$11="",IF($EC$13="",INDEX(bhpc_data[description],SMALL(MATCH(ROW(bhpc_data[sku]),ROW(bhpc_data[sku])),ROWS($A$15:A250)+$B$3)),INDEX(bhpc_data[description],SMALL(IF(ISNUMBER(MATCH(bhpc_data[size],$EC$13,0)),MATCH(ROW(bhpc_data[sku]),ROW(bhpc_data[sku])),""),ROWS($A$15:A250)+$B$3))),IF($EC$13="",INDEX(bhpc_data[description],SMALL(IF(ISNUMBER(MATCH(bhpc_data[sex],$EC$11,0)),MATCH(ROW(bhpc_data[sku]),ROW(bhpc_data[sku])),""),ROWS($A$15:A250)+$B$3)),INDEX(bhpc_data[description],SMALL(IF(ISNUMBER(MATCH(bhpc_data[sex],$EC$11,0)*MATCH(bhpc_data[size],$EC$13,0)),MATCH(ROW(bhpc_data[sku]),ROW(bhpc_data[sku])),""),ROWS($A$15:A250)+$B$3)))),IF($EC$11="",IF($EC$13="",INDEX(bhpc_data[description],SMALL(IF(ISNUMBER(MATCH(bhpc_data[category],$EC$9,0)),MATCH(ROW(bhpc_data[sku]),ROW(bhpc_data[sku])),""),ROWS($A$15:A250)+$B$3)),INDEX(bhpc_data[description],SMALL(IF(ISNUMBER(MATCH(bhpc_data[category],$EC$9,0)*MATCH(bhpc_data[size],$EC$13,0)),MATCH(ROW(bhpc_data[sku]),ROW(bhpc_data[sku])),""),ROWS($A$15:A250)+$B$3))),IF($EC$13="",INDEX(bhpc_data[description],SMALL(IF(ISNUMBER(MATCH(bhpc_data[category],$EC$9,0)*MATCH(bhpc_data[sex],$EC$11,0)),MATCH(ROW(bhpc_data[sku]),ROW(bhpc_data[sku])),""),ROWS($A$15:A250)+$B$3)),INDEX(bhpc_data[description],SMALL(IF(ISNUMBER(MATCH(bhpc_data[category],$EC$9,0)*MATCH(bhpc_data[sex],$EC$11,0)*MATCH(bhpc_data[size],$EC$13,0)),MATCH(ROW(bhpc_data[sku]),ROW(bhpc_data[sku])),""),ROWS($A$15:A250)+$B$3))))),"")</f>
        <v>YB2312C BHPC SUNGLASSES WHITE / GRADIENT GREY</v>
      </c>
      <c r="EG245" s="441">
        <f>IFERROR(IF('BHPC MANAGER'!$EE245="","",INDEX(inventory[ESISTENZA],MATCH('BHPC MANAGER'!$EE245,inventory[SKU],0))),0)</f>
        <v>268</v>
      </c>
      <c r="EH245" s="442">
        <v>-5</v>
      </c>
      <c r="EI245" s="442">
        <f t="shared" si="19"/>
        <v>263</v>
      </c>
      <c r="EJ245" s="443">
        <v>0</v>
      </c>
      <c r="EK245" s="444">
        <f t="shared" si="20"/>
        <v>263</v>
      </c>
    </row>
    <row r="246" spans="63:141" x14ac:dyDescent="0.35">
      <c r="BK246" s="296"/>
      <c r="BL246" s="297"/>
      <c r="BM246" s="298"/>
      <c r="BN246" s="297"/>
      <c r="BO246" s="298"/>
      <c r="EE246" s="445" t="str" cm="1">
        <f t="array" ref="EE246">IFERROR(IF($EC$9="",IF($EC$11="",IF($EC$13="",INDEX(bhpc_data[sku],SMALL(MATCH(ROW(bhpc_data[sku]),ROW(bhpc_data[sku])),ROWS($A$15:A251)+$B$3)),INDEX(bhpc_data[sku],SMALL(IF(ISNUMBER(MATCH(bhpc_data[size],$EC$13,0)),MATCH(ROW(bhpc_data[sku]),ROW(bhpc_data[sku])),""),ROWS($A$15:A251)+$B$3))),IF($EC$13="",INDEX(bhpc_data[sku],SMALL(IF(ISNUMBER(MATCH(bhpc_data[sex],$EC$11,0)),MATCH(ROW(bhpc_data[sku]),ROW(bhpc_data[sku])),""),ROWS($A$15:A251)+$B$3)),INDEX(bhpc_data[sku],SMALL(IF(ISNUMBER(MATCH(bhpc_data[sex],$EC$11,0)*MATCH(bhpc_data[size],$EC$13,0)),MATCH(ROW(bhpc_data[sku]),ROW(bhpc_data[sku])),""),ROWS($A$15:A251)+$B$3)))),IF($EC$11="",IF($EC$13="",INDEX(bhpc_data[sku],SMALL(IF(ISNUMBER(MATCH(bhpc_data[category],$EC$9,0)),MATCH(ROW(bhpc_data[sku]),ROW(bhpc_data[sku])),""),ROWS($A$15:A251)+$B$3)),INDEX(bhpc_data[sku],SMALL(IF(ISNUMBER(MATCH(bhpc_data[category],$EC$9,0)*MATCH(bhpc_data[size],$EC$13,0)),MATCH(ROW(bhpc_data[sku]),ROW(bhpc_data[sku])),""),ROWS($A$15:A251)+$B$3))),IF($EC$13="",INDEX(bhpc_data[sku],SMALL(IF(ISNUMBER(MATCH(bhpc_data[category],$EC$9,0)*MATCH(bhpc_data[sex],$EC$11,0)),MATCH(ROW(bhpc_data[sku]),ROW(bhpc_data[sku])),""),ROWS($A$15:A251)+$B$3)),INDEX(bhpc_data[sku],SMALL(IF(ISNUMBER(MATCH(bhpc_data[category],$EC$9,0)*MATCH(bhpc_data[sex],$EC$11,0)*MATCH(bhpc_data[size],$EC$13,0)),MATCH(ROW(bhpc_data[sku]),ROW(bhpc_data[sku])),""),ROWS($A$15:A251)+$B$3))))),"")</f>
        <v>Y00037</v>
      </c>
      <c r="EF246" s="446" t="str" cm="1">
        <f t="array" ref="EF246">IFERROR(IF($EC$9="",IF($EC$11="",IF($EC$13="",INDEX(bhpc_data[description],SMALL(MATCH(ROW(bhpc_data[sku]),ROW(bhpc_data[sku])),ROWS($A$15:A251)+$B$3)),INDEX(bhpc_data[description],SMALL(IF(ISNUMBER(MATCH(bhpc_data[size],$EC$13,0)),MATCH(ROW(bhpc_data[sku]),ROW(bhpc_data[sku])),""),ROWS($A$15:A251)+$B$3))),IF($EC$13="",INDEX(bhpc_data[description],SMALL(IF(ISNUMBER(MATCH(bhpc_data[sex],$EC$11,0)),MATCH(ROW(bhpc_data[sku]),ROW(bhpc_data[sku])),""),ROWS($A$15:A251)+$B$3)),INDEX(bhpc_data[description],SMALL(IF(ISNUMBER(MATCH(bhpc_data[sex],$EC$11,0)*MATCH(bhpc_data[size],$EC$13,0)),MATCH(ROW(bhpc_data[sku]),ROW(bhpc_data[sku])),""),ROWS($A$15:A251)+$B$3)))),IF($EC$11="",IF($EC$13="",INDEX(bhpc_data[description],SMALL(IF(ISNUMBER(MATCH(bhpc_data[category],$EC$9,0)),MATCH(ROW(bhpc_data[sku]),ROW(bhpc_data[sku])),""),ROWS($A$15:A251)+$B$3)),INDEX(bhpc_data[description],SMALL(IF(ISNUMBER(MATCH(bhpc_data[category],$EC$9,0)*MATCH(bhpc_data[size],$EC$13,0)),MATCH(ROW(bhpc_data[sku]),ROW(bhpc_data[sku])),""),ROWS($A$15:A251)+$B$3))),IF($EC$13="",INDEX(bhpc_data[description],SMALL(IF(ISNUMBER(MATCH(bhpc_data[category],$EC$9,0)*MATCH(bhpc_data[sex],$EC$11,0)),MATCH(ROW(bhpc_data[sku]),ROW(bhpc_data[sku])),""),ROWS($A$15:A251)+$B$3)),INDEX(bhpc_data[description],SMALL(IF(ISNUMBER(MATCH(bhpc_data[category],$EC$9,0)*MATCH(bhpc_data[sex],$EC$11,0)*MATCH(bhpc_data[size],$EC$13,0)),MATCH(ROW(bhpc_data[sku]),ROW(bhpc_data[sku])),""),ROWS($A$15:A251)+$B$3))))),"")</f>
        <v>BHPC SUNGLASSES CASE AO49L BROWN FOR MEN</v>
      </c>
      <c r="EG246" s="447">
        <f>IFERROR(IF('BHPC MANAGER'!$EE246="","",INDEX(inventory[ESISTENZA],MATCH('BHPC MANAGER'!$EE246,inventory[SKU],0))),0)</f>
        <v>2148</v>
      </c>
      <c r="EH246" s="448">
        <v>0</v>
      </c>
      <c r="EI246" s="448">
        <f t="shared" si="19"/>
        <v>2148</v>
      </c>
      <c r="EJ246" s="449">
        <v>0</v>
      </c>
      <c r="EK246" s="450">
        <f t="shared" si="20"/>
        <v>2148</v>
      </c>
    </row>
    <row r="247" spans="63:141" x14ac:dyDescent="0.35">
      <c r="BK247" s="296"/>
      <c r="BL247" s="297"/>
      <c r="BM247" s="298"/>
      <c r="BN247" s="297"/>
      <c r="BO247" s="298"/>
      <c r="EE247" s="439" t="str" cm="1">
        <f t="array" ref="EE247">IFERROR(IF($EC$9="",IF($EC$11="",IF($EC$13="",INDEX(bhpc_data[sku],SMALL(MATCH(ROW(bhpc_data[sku]),ROW(bhpc_data[sku])),ROWS($A$15:A252)+$B$3)),INDEX(bhpc_data[sku],SMALL(IF(ISNUMBER(MATCH(bhpc_data[size],$EC$13,0)),MATCH(ROW(bhpc_data[sku]),ROW(bhpc_data[sku])),""),ROWS($A$15:A252)+$B$3))),IF($EC$13="",INDEX(bhpc_data[sku],SMALL(IF(ISNUMBER(MATCH(bhpc_data[sex],$EC$11,0)),MATCH(ROW(bhpc_data[sku]),ROW(bhpc_data[sku])),""),ROWS($A$15:A252)+$B$3)),INDEX(bhpc_data[sku],SMALL(IF(ISNUMBER(MATCH(bhpc_data[sex],$EC$11,0)*MATCH(bhpc_data[size],$EC$13,0)),MATCH(ROW(bhpc_data[sku]),ROW(bhpc_data[sku])),""),ROWS($A$15:A252)+$B$3)))),IF($EC$11="",IF($EC$13="",INDEX(bhpc_data[sku],SMALL(IF(ISNUMBER(MATCH(bhpc_data[category],$EC$9,0)),MATCH(ROW(bhpc_data[sku]),ROW(bhpc_data[sku])),""),ROWS($A$15:A252)+$B$3)),INDEX(bhpc_data[sku],SMALL(IF(ISNUMBER(MATCH(bhpc_data[category],$EC$9,0)*MATCH(bhpc_data[size],$EC$13,0)),MATCH(ROW(bhpc_data[sku]),ROW(bhpc_data[sku])),""),ROWS($A$15:A252)+$B$3))),IF($EC$13="",INDEX(bhpc_data[sku],SMALL(IF(ISNUMBER(MATCH(bhpc_data[category],$EC$9,0)*MATCH(bhpc_data[sex],$EC$11,0)),MATCH(ROW(bhpc_data[sku]),ROW(bhpc_data[sku])),""),ROWS($A$15:A252)+$B$3)),INDEX(bhpc_data[sku],SMALL(IF(ISNUMBER(MATCH(bhpc_data[category],$EC$9,0)*MATCH(bhpc_data[sex],$EC$11,0)*MATCH(bhpc_data[size],$EC$13,0)),MATCH(ROW(bhpc_data[sku]),ROW(bhpc_data[sku])),""),ROWS($A$15:A252)+$B$3))))),"")</f>
        <v>Y00038</v>
      </c>
      <c r="EF247" s="440" t="str" cm="1">
        <f t="array" ref="EF247">IFERROR(IF($EC$9="",IF($EC$11="",IF($EC$13="",INDEX(bhpc_data[description],SMALL(MATCH(ROW(bhpc_data[sku]),ROW(bhpc_data[sku])),ROWS($A$15:A252)+$B$3)),INDEX(bhpc_data[description],SMALL(IF(ISNUMBER(MATCH(bhpc_data[size],$EC$13,0)),MATCH(ROW(bhpc_data[sku]),ROW(bhpc_data[sku])),""),ROWS($A$15:A252)+$B$3))),IF($EC$13="",INDEX(bhpc_data[description],SMALL(IF(ISNUMBER(MATCH(bhpc_data[sex],$EC$11,0)),MATCH(ROW(bhpc_data[sku]),ROW(bhpc_data[sku])),""),ROWS($A$15:A252)+$B$3)),INDEX(bhpc_data[description],SMALL(IF(ISNUMBER(MATCH(bhpc_data[sex],$EC$11,0)*MATCH(bhpc_data[size],$EC$13,0)),MATCH(ROW(bhpc_data[sku]),ROW(bhpc_data[sku])),""),ROWS($A$15:A252)+$B$3)))),IF($EC$11="",IF($EC$13="",INDEX(bhpc_data[description],SMALL(IF(ISNUMBER(MATCH(bhpc_data[category],$EC$9,0)),MATCH(ROW(bhpc_data[sku]),ROW(bhpc_data[sku])),""),ROWS($A$15:A252)+$B$3)),INDEX(bhpc_data[description],SMALL(IF(ISNUMBER(MATCH(bhpc_data[category],$EC$9,0)*MATCH(bhpc_data[size],$EC$13,0)),MATCH(ROW(bhpc_data[sku]),ROW(bhpc_data[sku])),""),ROWS($A$15:A252)+$B$3))),IF($EC$13="",INDEX(bhpc_data[description],SMALL(IF(ISNUMBER(MATCH(bhpc_data[category],$EC$9,0)*MATCH(bhpc_data[sex],$EC$11,0)),MATCH(ROW(bhpc_data[sku]),ROW(bhpc_data[sku])),""),ROWS($A$15:A252)+$B$3)),INDEX(bhpc_data[description],SMALL(IF(ISNUMBER(MATCH(bhpc_data[category],$EC$9,0)*MATCH(bhpc_data[sex],$EC$11,0)*MATCH(bhpc_data[size],$EC$13,0)),MATCH(ROW(bhpc_data[sku]),ROW(bhpc_data[sku])),""),ROWS($A$15:A252)+$B$3))))),"")</f>
        <v>BHPC SUNGLASSES CASE AO49L WHITE FOR WOMEN</v>
      </c>
      <c r="EG247" s="441">
        <f>IFERROR(IF('BHPC MANAGER'!$EE247="","",INDEX(inventory[ESISTENZA],MATCH('BHPC MANAGER'!$EE247,inventory[SKU],0))),0)</f>
        <v>3895</v>
      </c>
      <c r="EH247" s="442">
        <v>0</v>
      </c>
      <c r="EI247" s="442">
        <f t="shared" si="19"/>
        <v>3895</v>
      </c>
      <c r="EJ247" s="443">
        <v>0</v>
      </c>
      <c r="EK247" s="444">
        <f t="shared" si="20"/>
        <v>3895</v>
      </c>
    </row>
    <row r="248" spans="63:141" x14ac:dyDescent="0.35">
      <c r="BK248" s="296"/>
      <c r="BL248" s="297"/>
      <c r="BM248" s="298"/>
      <c r="BN248" s="297"/>
      <c r="BO248" s="298"/>
      <c r="EE248" s="445" t="str" cm="1">
        <f t="array" ref="EE248">IFERROR(IF($EC$9="",IF($EC$11="",IF($EC$13="",INDEX(bhpc_data[sku],SMALL(MATCH(ROW(bhpc_data[sku]),ROW(bhpc_data[sku])),ROWS($A$15:A253)+$B$3)),INDEX(bhpc_data[sku],SMALL(IF(ISNUMBER(MATCH(bhpc_data[size],$EC$13,0)),MATCH(ROW(bhpc_data[sku]),ROW(bhpc_data[sku])),""),ROWS($A$15:A253)+$B$3))),IF($EC$13="",INDEX(bhpc_data[sku],SMALL(IF(ISNUMBER(MATCH(bhpc_data[sex],$EC$11,0)),MATCH(ROW(bhpc_data[sku]),ROW(bhpc_data[sku])),""),ROWS($A$15:A253)+$B$3)),INDEX(bhpc_data[sku],SMALL(IF(ISNUMBER(MATCH(bhpc_data[sex],$EC$11,0)*MATCH(bhpc_data[size],$EC$13,0)),MATCH(ROW(bhpc_data[sku]),ROW(bhpc_data[sku])),""),ROWS($A$15:A253)+$B$3)))),IF($EC$11="",IF($EC$13="",INDEX(bhpc_data[sku],SMALL(IF(ISNUMBER(MATCH(bhpc_data[category],$EC$9,0)),MATCH(ROW(bhpc_data[sku]),ROW(bhpc_data[sku])),""),ROWS($A$15:A253)+$B$3)),INDEX(bhpc_data[sku],SMALL(IF(ISNUMBER(MATCH(bhpc_data[category],$EC$9,0)*MATCH(bhpc_data[size],$EC$13,0)),MATCH(ROW(bhpc_data[sku]),ROW(bhpc_data[sku])),""),ROWS($A$15:A253)+$B$3))),IF($EC$13="",INDEX(bhpc_data[sku],SMALL(IF(ISNUMBER(MATCH(bhpc_data[category],$EC$9,0)*MATCH(bhpc_data[sex],$EC$11,0)),MATCH(ROW(bhpc_data[sku]),ROW(bhpc_data[sku])),""),ROWS($A$15:A253)+$B$3)),INDEX(bhpc_data[sku],SMALL(IF(ISNUMBER(MATCH(bhpc_data[category],$EC$9,0)*MATCH(bhpc_data[sex],$EC$11,0)*MATCH(bhpc_data[size],$EC$13,0)),MATCH(ROW(bhpc_data[sku]),ROW(bhpc_data[sku])),""),ROWS($A$15:A253)+$B$3))))),"")</f>
        <v>P07000</v>
      </c>
      <c r="EF248" s="446" t="str" cm="1">
        <f t="array" ref="EF248">IFERROR(IF($EC$9="",IF($EC$11="",IF($EC$13="",INDEX(bhpc_data[description],SMALL(MATCH(ROW(bhpc_data[sku]),ROW(bhpc_data[sku])),ROWS($A$15:A253)+$B$3)),INDEX(bhpc_data[description],SMALL(IF(ISNUMBER(MATCH(bhpc_data[size],$EC$13,0)),MATCH(ROW(bhpc_data[sku]),ROW(bhpc_data[sku])),""),ROWS($A$15:A253)+$B$3))),IF($EC$13="",INDEX(bhpc_data[description],SMALL(IF(ISNUMBER(MATCH(bhpc_data[sex],$EC$11,0)),MATCH(ROW(bhpc_data[sku]),ROW(bhpc_data[sku])),""),ROWS($A$15:A253)+$B$3)),INDEX(bhpc_data[description],SMALL(IF(ISNUMBER(MATCH(bhpc_data[sex],$EC$11,0)*MATCH(bhpc_data[size],$EC$13,0)),MATCH(ROW(bhpc_data[sku]),ROW(bhpc_data[sku])),""),ROWS($A$15:A253)+$B$3)))),IF($EC$11="",IF($EC$13="",INDEX(bhpc_data[description],SMALL(IF(ISNUMBER(MATCH(bhpc_data[category],$EC$9,0)),MATCH(ROW(bhpc_data[sku]),ROW(bhpc_data[sku])),""),ROWS($A$15:A253)+$B$3)),INDEX(bhpc_data[description],SMALL(IF(ISNUMBER(MATCH(bhpc_data[category],$EC$9,0)*MATCH(bhpc_data[size],$EC$13,0)),MATCH(ROW(bhpc_data[sku]),ROW(bhpc_data[sku])),""),ROWS($A$15:A253)+$B$3))),IF($EC$13="",INDEX(bhpc_data[description],SMALL(IF(ISNUMBER(MATCH(bhpc_data[category],$EC$9,0)*MATCH(bhpc_data[sex],$EC$11,0)),MATCH(ROW(bhpc_data[sku]),ROW(bhpc_data[sku])),""),ROWS($A$15:A253)+$B$3)),INDEX(bhpc_data[description],SMALL(IF(ISNUMBER(MATCH(bhpc_data[category],$EC$9,0)*MATCH(bhpc_data[sex],$EC$11,0)*MATCH(bhpc_data[size],$EC$13,0)),MATCH(ROW(bhpc_data[sku]),ROW(bhpc_data[sku])),""),ROWS($A$15:A253)+$B$3))))),"")</f>
        <v>BHPC MEN ROLL-ON 1 50ML</v>
      </c>
      <c r="EG248" s="447">
        <f>IFERROR(IF('BHPC MANAGER'!$EE248="","",INDEX(inventory[ESISTENZA],MATCH('BHPC MANAGER'!$EE248,inventory[SKU],0))),0)</f>
        <v>0</v>
      </c>
      <c r="EH248" s="448">
        <v>0</v>
      </c>
      <c r="EI248" s="448">
        <f t="shared" si="19"/>
        <v>0</v>
      </c>
      <c r="EJ248" s="449">
        <v>0</v>
      </c>
      <c r="EK248" s="450">
        <f t="shared" si="20"/>
        <v>0</v>
      </c>
    </row>
    <row r="249" spans="63:141" x14ac:dyDescent="0.35">
      <c r="BK249" s="296"/>
      <c r="BL249" s="297"/>
      <c r="BM249" s="298"/>
      <c r="BN249" s="297"/>
      <c r="BO249" s="298"/>
      <c r="EE249" s="439" t="str" cm="1">
        <f t="array" ref="EE249">IFERROR(IF($EC$9="",IF($EC$11="",IF($EC$13="",INDEX(bhpc_data[sku],SMALL(MATCH(ROW(bhpc_data[sku]),ROW(bhpc_data[sku])),ROWS($A$15:A254)+$B$3)),INDEX(bhpc_data[sku],SMALL(IF(ISNUMBER(MATCH(bhpc_data[size],$EC$13,0)),MATCH(ROW(bhpc_data[sku]),ROW(bhpc_data[sku])),""),ROWS($A$15:A254)+$B$3))),IF($EC$13="",INDEX(bhpc_data[sku],SMALL(IF(ISNUMBER(MATCH(bhpc_data[sex],$EC$11,0)),MATCH(ROW(bhpc_data[sku]),ROW(bhpc_data[sku])),""),ROWS($A$15:A254)+$B$3)),INDEX(bhpc_data[sku],SMALL(IF(ISNUMBER(MATCH(bhpc_data[sex],$EC$11,0)*MATCH(bhpc_data[size],$EC$13,0)),MATCH(ROW(bhpc_data[sku]),ROW(bhpc_data[sku])),""),ROWS($A$15:A254)+$B$3)))),IF($EC$11="",IF($EC$13="",INDEX(bhpc_data[sku],SMALL(IF(ISNUMBER(MATCH(bhpc_data[category],$EC$9,0)),MATCH(ROW(bhpc_data[sku]),ROW(bhpc_data[sku])),""),ROWS($A$15:A254)+$B$3)),INDEX(bhpc_data[sku],SMALL(IF(ISNUMBER(MATCH(bhpc_data[category],$EC$9,0)*MATCH(bhpc_data[size],$EC$13,0)),MATCH(ROW(bhpc_data[sku]),ROW(bhpc_data[sku])),""),ROWS($A$15:A254)+$B$3))),IF($EC$13="",INDEX(bhpc_data[sku],SMALL(IF(ISNUMBER(MATCH(bhpc_data[category],$EC$9,0)*MATCH(bhpc_data[sex],$EC$11,0)),MATCH(ROW(bhpc_data[sku]),ROW(bhpc_data[sku])),""),ROWS($A$15:A254)+$B$3)),INDEX(bhpc_data[sku],SMALL(IF(ISNUMBER(MATCH(bhpc_data[category],$EC$9,0)*MATCH(bhpc_data[sex],$EC$11,0)*MATCH(bhpc_data[size],$EC$13,0)),MATCH(ROW(bhpc_data[sku]),ROW(bhpc_data[sku])),""),ROWS($A$15:A254)+$B$3))))),"")</f>
        <v>P07001</v>
      </c>
      <c r="EF249" s="440" t="str" cm="1">
        <f t="array" ref="EF249">IFERROR(IF($EC$9="",IF($EC$11="",IF($EC$13="",INDEX(bhpc_data[description],SMALL(MATCH(ROW(bhpc_data[sku]),ROW(bhpc_data[sku])),ROWS($A$15:A254)+$B$3)),INDEX(bhpc_data[description],SMALL(IF(ISNUMBER(MATCH(bhpc_data[size],$EC$13,0)),MATCH(ROW(bhpc_data[sku]),ROW(bhpc_data[sku])),""),ROWS($A$15:A254)+$B$3))),IF($EC$13="",INDEX(bhpc_data[description],SMALL(IF(ISNUMBER(MATCH(bhpc_data[sex],$EC$11,0)),MATCH(ROW(bhpc_data[sku]),ROW(bhpc_data[sku])),""),ROWS($A$15:A254)+$B$3)),INDEX(bhpc_data[description],SMALL(IF(ISNUMBER(MATCH(bhpc_data[sex],$EC$11,0)*MATCH(bhpc_data[size],$EC$13,0)),MATCH(ROW(bhpc_data[sku]),ROW(bhpc_data[sku])),""),ROWS($A$15:A254)+$B$3)))),IF($EC$11="",IF($EC$13="",INDEX(bhpc_data[description],SMALL(IF(ISNUMBER(MATCH(bhpc_data[category],$EC$9,0)),MATCH(ROW(bhpc_data[sku]),ROW(bhpc_data[sku])),""),ROWS($A$15:A254)+$B$3)),INDEX(bhpc_data[description],SMALL(IF(ISNUMBER(MATCH(bhpc_data[category],$EC$9,0)*MATCH(bhpc_data[size],$EC$13,0)),MATCH(ROW(bhpc_data[sku]),ROW(bhpc_data[sku])),""),ROWS($A$15:A254)+$B$3))),IF($EC$13="",INDEX(bhpc_data[description],SMALL(IF(ISNUMBER(MATCH(bhpc_data[category],$EC$9,0)*MATCH(bhpc_data[sex],$EC$11,0)),MATCH(ROW(bhpc_data[sku]),ROW(bhpc_data[sku])),""),ROWS($A$15:A254)+$B$3)),INDEX(bhpc_data[description],SMALL(IF(ISNUMBER(MATCH(bhpc_data[category],$EC$9,0)*MATCH(bhpc_data[sex],$EC$11,0)*MATCH(bhpc_data[size],$EC$13,0)),MATCH(ROW(bhpc_data[sku]),ROW(bhpc_data[sku])),""),ROWS($A$15:A254)+$B$3))))),"")</f>
        <v>BHPC MEN ROLL-ON 9 50ML</v>
      </c>
      <c r="EG249" s="441">
        <f>IFERROR(IF('BHPC MANAGER'!$EE249="","",INDEX(inventory[ESISTENZA],MATCH('BHPC MANAGER'!$EE249,inventory[SKU],0))),0)</f>
        <v>0</v>
      </c>
      <c r="EH249" s="442">
        <v>0</v>
      </c>
      <c r="EI249" s="442">
        <f t="shared" si="19"/>
        <v>0</v>
      </c>
      <c r="EJ249" s="443">
        <v>0</v>
      </c>
      <c r="EK249" s="444">
        <f t="shared" si="20"/>
        <v>0</v>
      </c>
    </row>
    <row r="250" spans="63:141" x14ac:dyDescent="0.35">
      <c r="BK250" s="299"/>
      <c r="BL250" s="300"/>
      <c r="BM250" s="301"/>
      <c r="BN250" s="300"/>
      <c r="BO250" s="301"/>
      <c r="EE250" s="445" t="str" cm="1">
        <f t="array" ref="EE250">IFERROR(IF($EC$9="",IF($EC$11="",IF($EC$13="",INDEX(bhpc_data[sku],SMALL(MATCH(ROW(bhpc_data[sku]),ROW(bhpc_data[sku])),ROWS($A$15:A255)+$B$3)),INDEX(bhpc_data[sku],SMALL(IF(ISNUMBER(MATCH(bhpc_data[size],$EC$13,0)),MATCH(ROW(bhpc_data[sku]),ROW(bhpc_data[sku])),""),ROWS($A$15:A255)+$B$3))),IF($EC$13="",INDEX(bhpc_data[sku],SMALL(IF(ISNUMBER(MATCH(bhpc_data[sex],$EC$11,0)),MATCH(ROW(bhpc_data[sku]),ROW(bhpc_data[sku])),""),ROWS($A$15:A255)+$B$3)),INDEX(bhpc_data[sku],SMALL(IF(ISNUMBER(MATCH(bhpc_data[sex],$EC$11,0)*MATCH(bhpc_data[size],$EC$13,0)),MATCH(ROW(bhpc_data[sku]),ROW(bhpc_data[sku])),""),ROWS($A$15:A255)+$B$3)))),IF($EC$11="",IF($EC$13="",INDEX(bhpc_data[sku],SMALL(IF(ISNUMBER(MATCH(bhpc_data[category],$EC$9,0)),MATCH(ROW(bhpc_data[sku]),ROW(bhpc_data[sku])),""),ROWS($A$15:A255)+$B$3)),INDEX(bhpc_data[sku],SMALL(IF(ISNUMBER(MATCH(bhpc_data[category],$EC$9,0)*MATCH(bhpc_data[size],$EC$13,0)),MATCH(ROW(bhpc_data[sku]),ROW(bhpc_data[sku])),""),ROWS($A$15:A255)+$B$3))),IF($EC$13="",INDEX(bhpc_data[sku],SMALL(IF(ISNUMBER(MATCH(bhpc_data[category],$EC$9,0)*MATCH(bhpc_data[sex],$EC$11,0)),MATCH(ROW(bhpc_data[sku]),ROW(bhpc_data[sku])),""),ROWS($A$15:A255)+$B$3)),INDEX(bhpc_data[sku],SMALL(IF(ISNUMBER(MATCH(bhpc_data[category],$EC$9,0)*MATCH(bhpc_data[sex],$EC$11,0)*MATCH(bhpc_data[size],$EC$13,0)),MATCH(ROW(bhpc_data[sku]),ROW(bhpc_data[sku])),""),ROWS($A$15:A255)+$B$3))))),"")</f>
        <v>P07002</v>
      </c>
      <c r="EF250" s="446" t="str" cm="1">
        <f t="array" ref="EF250">IFERROR(IF($EC$9="",IF($EC$11="",IF($EC$13="",INDEX(bhpc_data[description],SMALL(MATCH(ROW(bhpc_data[sku]),ROW(bhpc_data[sku])),ROWS($A$15:A255)+$B$3)),INDEX(bhpc_data[description],SMALL(IF(ISNUMBER(MATCH(bhpc_data[size],$EC$13,0)),MATCH(ROW(bhpc_data[sku]),ROW(bhpc_data[sku])),""),ROWS($A$15:A255)+$B$3))),IF($EC$13="",INDEX(bhpc_data[description],SMALL(IF(ISNUMBER(MATCH(bhpc_data[sex],$EC$11,0)),MATCH(ROW(bhpc_data[sku]),ROW(bhpc_data[sku])),""),ROWS($A$15:A255)+$B$3)),INDEX(bhpc_data[description],SMALL(IF(ISNUMBER(MATCH(bhpc_data[sex],$EC$11,0)*MATCH(bhpc_data[size],$EC$13,0)),MATCH(ROW(bhpc_data[sku]),ROW(bhpc_data[sku])),""),ROWS($A$15:A255)+$B$3)))),IF($EC$11="",IF($EC$13="",INDEX(bhpc_data[description],SMALL(IF(ISNUMBER(MATCH(bhpc_data[category],$EC$9,0)),MATCH(ROW(bhpc_data[sku]),ROW(bhpc_data[sku])),""),ROWS($A$15:A255)+$B$3)),INDEX(bhpc_data[description],SMALL(IF(ISNUMBER(MATCH(bhpc_data[category],$EC$9,0)*MATCH(bhpc_data[size],$EC$13,0)),MATCH(ROW(bhpc_data[sku]),ROW(bhpc_data[sku])),""),ROWS($A$15:A255)+$B$3))),IF($EC$13="",INDEX(bhpc_data[description],SMALL(IF(ISNUMBER(MATCH(bhpc_data[category],$EC$9,0)*MATCH(bhpc_data[sex],$EC$11,0)),MATCH(ROW(bhpc_data[sku]),ROW(bhpc_data[sku])),""),ROWS($A$15:A255)+$B$3)),INDEX(bhpc_data[description],SMALL(IF(ISNUMBER(MATCH(bhpc_data[category],$EC$9,0)*MATCH(bhpc_data[sex],$EC$11,0)*MATCH(bhpc_data[size],$EC$13,0)),MATCH(ROW(bhpc_data[sku]),ROW(bhpc_data[sku])),""),ROWS($A$15:A255)+$B$3))))),"")</f>
        <v>BHPC MEN ROLL-ON 8 50ML</v>
      </c>
      <c r="EG250" s="447">
        <f>IFERROR(IF('BHPC MANAGER'!$EE250="","",INDEX(inventory[ESISTENZA],MATCH('BHPC MANAGER'!$EE250,inventory[SKU],0))),0)</f>
        <v>0</v>
      </c>
      <c r="EH250" s="448">
        <v>0</v>
      </c>
      <c r="EI250" s="448">
        <f t="shared" si="19"/>
        <v>0</v>
      </c>
      <c r="EJ250" s="449">
        <v>0</v>
      </c>
      <c r="EK250" s="450">
        <f t="shared" si="20"/>
        <v>0</v>
      </c>
    </row>
    <row r="251" spans="63:141" x14ac:dyDescent="0.35">
      <c r="EE251" s="439" t="str" cm="1">
        <f t="array" ref="EE251">IFERROR(IF($EC$9="",IF($EC$11="",IF($EC$13="",INDEX(bhpc_data[sku],SMALL(MATCH(ROW(bhpc_data[sku]),ROW(bhpc_data[sku])),ROWS($A$15:A256)+$B$3)),INDEX(bhpc_data[sku],SMALL(IF(ISNUMBER(MATCH(bhpc_data[size],$EC$13,0)),MATCH(ROW(bhpc_data[sku]),ROW(bhpc_data[sku])),""),ROWS($A$15:A256)+$B$3))),IF($EC$13="",INDEX(bhpc_data[sku],SMALL(IF(ISNUMBER(MATCH(bhpc_data[sex],$EC$11,0)),MATCH(ROW(bhpc_data[sku]),ROW(bhpc_data[sku])),""),ROWS($A$15:A256)+$B$3)),INDEX(bhpc_data[sku],SMALL(IF(ISNUMBER(MATCH(bhpc_data[sex],$EC$11,0)*MATCH(bhpc_data[size],$EC$13,0)),MATCH(ROW(bhpc_data[sku]),ROW(bhpc_data[sku])),""),ROWS($A$15:A256)+$B$3)))),IF($EC$11="",IF($EC$13="",INDEX(bhpc_data[sku],SMALL(IF(ISNUMBER(MATCH(bhpc_data[category],$EC$9,0)),MATCH(ROW(bhpc_data[sku]),ROW(bhpc_data[sku])),""),ROWS($A$15:A256)+$B$3)),INDEX(bhpc_data[sku],SMALL(IF(ISNUMBER(MATCH(bhpc_data[category],$EC$9,0)*MATCH(bhpc_data[size],$EC$13,0)),MATCH(ROW(bhpc_data[sku]),ROW(bhpc_data[sku])),""),ROWS($A$15:A256)+$B$3))),IF($EC$13="",INDEX(bhpc_data[sku],SMALL(IF(ISNUMBER(MATCH(bhpc_data[category],$EC$9,0)*MATCH(bhpc_data[sex],$EC$11,0)),MATCH(ROW(bhpc_data[sku]),ROW(bhpc_data[sku])),""),ROWS($A$15:A256)+$B$3)),INDEX(bhpc_data[sku],SMALL(IF(ISNUMBER(MATCH(bhpc_data[category],$EC$9,0)*MATCH(bhpc_data[sex],$EC$11,0)*MATCH(bhpc_data[size],$EC$13,0)),MATCH(ROW(bhpc_data[sku]),ROW(bhpc_data[sku])),""),ROWS($A$15:A256)+$B$3))))),"")</f>
        <v>P07003</v>
      </c>
      <c r="EF251" s="440" t="str" cm="1">
        <f t="array" ref="EF251">IFERROR(IF($EC$9="",IF($EC$11="",IF($EC$13="",INDEX(bhpc_data[description],SMALL(MATCH(ROW(bhpc_data[sku]),ROW(bhpc_data[sku])),ROWS($A$15:A256)+$B$3)),INDEX(bhpc_data[description],SMALL(IF(ISNUMBER(MATCH(bhpc_data[size],$EC$13,0)),MATCH(ROW(bhpc_data[sku]),ROW(bhpc_data[sku])),""),ROWS($A$15:A256)+$B$3))),IF($EC$13="",INDEX(bhpc_data[description],SMALL(IF(ISNUMBER(MATCH(bhpc_data[sex],$EC$11,0)),MATCH(ROW(bhpc_data[sku]),ROW(bhpc_data[sku])),""),ROWS($A$15:A256)+$B$3)),INDEX(bhpc_data[description],SMALL(IF(ISNUMBER(MATCH(bhpc_data[sex],$EC$11,0)*MATCH(bhpc_data[size],$EC$13,0)),MATCH(ROW(bhpc_data[sku]),ROW(bhpc_data[sku])),""),ROWS($A$15:A256)+$B$3)))),IF($EC$11="",IF($EC$13="",INDEX(bhpc_data[description],SMALL(IF(ISNUMBER(MATCH(bhpc_data[category],$EC$9,0)),MATCH(ROW(bhpc_data[sku]),ROW(bhpc_data[sku])),""),ROWS($A$15:A256)+$B$3)),INDEX(bhpc_data[description],SMALL(IF(ISNUMBER(MATCH(bhpc_data[category],$EC$9,0)*MATCH(bhpc_data[size],$EC$13,0)),MATCH(ROW(bhpc_data[sku]),ROW(bhpc_data[sku])),""),ROWS($A$15:A256)+$B$3))),IF($EC$13="",INDEX(bhpc_data[description],SMALL(IF(ISNUMBER(MATCH(bhpc_data[category],$EC$9,0)*MATCH(bhpc_data[sex],$EC$11,0)),MATCH(ROW(bhpc_data[sku]),ROW(bhpc_data[sku])),""),ROWS($A$15:A256)+$B$3)),INDEX(bhpc_data[description],SMALL(IF(ISNUMBER(MATCH(bhpc_data[category],$EC$9,0)*MATCH(bhpc_data[sex],$EC$11,0)*MATCH(bhpc_data[size],$EC$13,0)),MATCH(ROW(bhpc_data[sku]),ROW(bhpc_data[sku])),""),ROWS($A$15:A256)+$B$3))))),"")</f>
        <v>BHPC MEN ROLL-ON 2 50ML</v>
      </c>
      <c r="EG251" s="441">
        <f>IFERROR(IF('BHPC MANAGER'!$EE251="","",INDEX(inventory[ESISTENZA],MATCH('BHPC MANAGER'!$EE251,inventory[SKU],0))),0)</f>
        <v>6</v>
      </c>
      <c r="EH251" s="442"/>
      <c r="EI251" s="442">
        <f t="shared" ref="EI251:EI314" si="21">IF(EE251="","",IFERROR(EG251+EH251,EG251))</f>
        <v>6</v>
      </c>
      <c r="EJ251" s="443"/>
      <c r="EK251" s="444">
        <f t="shared" ref="EK251:EK314" si="22">IF(EE251="","",IFERROR(EI251+EJ251,EI251))</f>
        <v>6</v>
      </c>
    </row>
    <row r="252" spans="63:141" x14ac:dyDescent="0.35">
      <c r="EE252" s="445" t="str" cm="1">
        <f t="array" ref="EE252">IFERROR(IF($EC$9="",IF($EC$11="",IF($EC$13="",INDEX(bhpc_data[sku],SMALL(MATCH(ROW(bhpc_data[sku]),ROW(bhpc_data[sku])),ROWS($A$15:A257)+$B$3)),INDEX(bhpc_data[sku],SMALL(IF(ISNUMBER(MATCH(bhpc_data[size],$EC$13,0)),MATCH(ROW(bhpc_data[sku]),ROW(bhpc_data[sku])),""),ROWS($A$15:A257)+$B$3))),IF($EC$13="",INDEX(bhpc_data[sku],SMALL(IF(ISNUMBER(MATCH(bhpc_data[sex],$EC$11,0)),MATCH(ROW(bhpc_data[sku]),ROW(bhpc_data[sku])),""),ROWS($A$15:A257)+$B$3)),INDEX(bhpc_data[sku],SMALL(IF(ISNUMBER(MATCH(bhpc_data[sex],$EC$11,0)*MATCH(bhpc_data[size],$EC$13,0)),MATCH(ROW(bhpc_data[sku]),ROW(bhpc_data[sku])),""),ROWS($A$15:A257)+$B$3)))),IF($EC$11="",IF($EC$13="",INDEX(bhpc_data[sku],SMALL(IF(ISNUMBER(MATCH(bhpc_data[category],$EC$9,0)),MATCH(ROW(bhpc_data[sku]),ROW(bhpc_data[sku])),""),ROWS($A$15:A257)+$B$3)),INDEX(bhpc_data[sku],SMALL(IF(ISNUMBER(MATCH(bhpc_data[category],$EC$9,0)*MATCH(bhpc_data[size],$EC$13,0)),MATCH(ROW(bhpc_data[sku]),ROW(bhpc_data[sku])),""),ROWS($A$15:A257)+$B$3))),IF($EC$13="",INDEX(bhpc_data[sku],SMALL(IF(ISNUMBER(MATCH(bhpc_data[category],$EC$9,0)*MATCH(bhpc_data[sex],$EC$11,0)),MATCH(ROW(bhpc_data[sku]),ROW(bhpc_data[sku])),""),ROWS($A$15:A257)+$B$3)),INDEX(bhpc_data[sku],SMALL(IF(ISNUMBER(MATCH(bhpc_data[category],$EC$9,0)*MATCH(bhpc_data[sex],$EC$11,0)*MATCH(bhpc_data[size],$EC$13,0)),MATCH(ROW(bhpc_data[sku]),ROW(bhpc_data[sku])),""),ROWS($A$15:A257)+$B$3))))),"")</f>
        <v>P07004</v>
      </c>
      <c r="EF252" s="446" t="str" cm="1">
        <f t="array" ref="EF252">IFERROR(IF($EC$9="",IF($EC$11="",IF($EC$13="",INDEX(bhpc_data[description],SMALL(MATCH(ROW(bhpc_data[sku]),ROW(bhpc_data[sku])),ROWS($A$15:A257)+$B$3)),INDEX(bhpc_data[description],SMALL(IF(ISNUMBER(MATCH(bhpc_data[size],$EC$13,0)),MATCH(ROW(bhpc_data[sku]),ROW(bhpc_data[sku])),""),ROWS($A$15:A257)+$B$3))),IF($EC$13="",INDEX(bhpc_data[description],SMALL(IF(ISNUMBER(MATCH(bhpc_data[sex],$EC$11,0)),MATCH(ROW(bhpc_data[sku]),ROW(bhpc_data[sku])),""),ROWS($A$15:A257)+$B$3)),INDEX(bhpc_data[description],SMALL(IF(ISNUMBER(MATCH(bhpc_data[sex],$EC$11,0)*MATCH(bhpc_data[size],$EC$13,0)),MATCH(ROW(bhpc_data[sku]),ROW(bhpc_data[sku])),""),ROWS($A$15:A257)+$B$3)))),IF($EC$11="",IF($EC$13="",INDEX(bhpc_data[description],SMALL(IF(ISNUMBER(MATCH(bhpc_data[category],$EC$9,0)),MATCH(ROW(bhpc_data[sku]),ROW(bhpc_data[sku])),""),ROWS($A$15:A257)+$B$3)),INDEX(bhpc_data[description],SMALL(IF(ISNUMBER(MATCH(bhpc_data[category],$EC$9,0)*MATCH(bhpc_data[size],$EC$13,0)),MATCH(ROW(bhpc_data[sku]),ROW(bhpc_data[sku])),""),ROWS($A$15:A257)+$B$3))),IF($EC$13="",INDEX(bhpc_data[description],SMALL(IF(ISNUMBER(MATCH(bhpc_data[category],$EC$9,0)*MATCH(bhpc_data[sex],$EC$11,0)),MATCH(ROW(bhpc_data[sku]),ROW(bhpc_data[sku])),""),ROWS($A$15:A257)+$B$3)),INDEX(bhpc_data[description],SMALL(IF(ISNUMBER(MATCH(bhpc_data[category],$EC$9,0)*MATCH(bhpc_data[sex],$EC$11,0)*MATCH(bhpc_data[size],$EC$13,0)),MATCH(ROW(bhpc_data[sku]),ROW(bhpc_data[sku])),""),ROWS($A$15:A257)+$B$3))))),"")</f>
        <v>BHPC WOMEN ROLL-ON 1 50ML</v>
      </c>
      <c r="EG252" s="447">
        <f>IFERROR(IF('BHPC MANAGER'!$EE252="","",INDEX(inventory[ESISTENZA],MATCH('BHPC MANAGER'!$EE252,inventory[SKU],0))),0)</f>
        <v>0</v>
      </c>
      <c r="EH252" s="448"/>
      <c r="EI252" s="448">
        <f t="shared" si="21"/>
        <v>0</v>
      </c>
      <c r="EJ252" s="449"/>
      <c r="EK252" s="450">
        <f t="shared" si="22"/>
        <v>0</v>
      </c>
    </row>
    <row r="253" spans="63:141" x14ac:dyDescent="0.35">
      <c r="EE253" s="439" t="str" cm="1">
        <f t="array" ref="EE253">IFERROR(IF($EC$9="",IF($EC$11="",IF($EC$13="",INDEX(bhpc_data[sku],SMALL(MATCH(ROW(bhpc_data[sku]),ROW(bhpc_data[sku])),ROWS($A$15:A258)+$B$3)),INDEX(bhpc_data[sku],SMALL(IF(ISNUMBER(MATCH(bhpc_data[size],$EC$13,0)),MATCH(ROW(bhpc_data[sku]),ROW(bhpc_data[sku])),""),ROWS($A$15:A258)+$B$3))),IF($EC$13="",INDEX(bhpc_data[sku],SMALL(IF(ISNUMBER(MATCH(bhpc_data[sex],$EC$11,0)),MATCH(ROW(bhpc_data[sku]),ROW(bhpc_data[sku])),""),ROWS($A$15:A258)+$B$3)),INDEX(bhpc_data[sku],SMALL(IF(ISNUMBER(MATCH(bhpc_data[sex],$EC$11,0)*MATCH(bhpc_data[size],$EC$13,0)),MATCH(ROW(bhpc_data[sku]),ROW(bhpc_data[sku])),""),ROWS($A$15:A258)+$B$3)))),IF($EC$11="",IF($EC$13="",INDEX(bhpc_data[sku],SMALL(IF(ISNUMBER(MATCH(bhpc_data[category],$EC$9,0)),MATCH(ROW(bhpc_data[sku]),ROW(bhpc_data[sku])),""),ROWS($A$15:A258)+$B$3)),INDEX(bhpc_data[sku],SMALL(IF(ISNUMBER(MATCH(bhpc_data[category],$EC$9,0)*MATCH(bhpc_data[size],$EC$13,0)),MATCH(ROW(bhpc_data[sku]),ROW(bhpc_data[sku])),""),ROWS($A$15:A258)+$B$3))),IF($EC$13="",INDEX(bhpc_data[sku],SMALL(IF(ISNUMBER(MATCH(bhpc_data[category],$EC$9,0)*MATCH(bhpc_data[sex],$EC$11,0)),MATCH(ROW(bhpc_data[sku]),ROW(bhpc_data[sku])),""),ROWS($A$15:A258)+$B$3)),INDEX(bhpc_data[sku],SMALL(IF(ISNUMBER(MATCH(bhpc_data[category],$EC$9,0)*MATCH(bhpc_data[sex],$EC$11,0)*MATCH(bhpc_data[size],$EC$13,0)),MATCH(ROW(bhpc_data[sku]),ROW(bhpc_data[sku])),""),ROWS($A$15:A258)+$B$3))))),"")</f>
        <v>P07005</v>
      </c>
      <c r="EF253" s="440" t="str" cm="1">
        <f t="array" ref="EF253">IFERROR(IF($EC$9="",IF($EC$11="",IF($EC$13="",INDEX(bhpc_data[description],SMALL(MATCH(ROW(bhpc_data[sku]),ROW(bhpc_data[sku])),ROWS($A$15:A258)+$B$3)),INDEX(bhpc_data[description],SMALL(IF(ISNUMBER(MATCH(bhpc_data[size],$EC$13,0)),MATCH(ROW(bhpc_data[sku]),ROW(bhpc_data[sku])),""),ROWS($A$15:A258)+$B$3))),IF($EC$13="",INDEX(bhpc_data[description],SMALL(IF(ISNUMBER(MATCH(bhpc_data[sex],$EC$11,0)),MATCH(ROW(bhpc_data[sku]),ROW(bhpc_data[sku])),""),ROWS($A$15:A258)+$B$3)),INDEX(bhpc_data[description],SMALL(IF(ISNUMBER(MATCH(bhpc_data[sex],$EC$11,0)*MATCH(bhpc_data[size],$EC$13,0)),MATCH(ROW(bhpc_data[sku]),ROW(bhpc_data[sku])),""),ROWS($A$15:A258)+$B$3)))),IF($EC$11="",IF($EC$13="",INDEX(bhpc_data[description],SMALL(IF(ISNUMBER(MATCH(bhpc_data[category],$EC$9,0)),MATCH(ROW(bhpc_data[sku]),ROW(bhpc_data[sku])),""),ROWS($A$15:A258)+$B$3)),INDEX(bhpc_data[description],SMALL(IF(ISNUMBER(MATCH(bhpc_data[category],$EC$9,0)*MATCH(bhpc_data[size],$EC$13,0)),MATCH(ROW(bhpc_data[sku]),ROW(bhpc_data[sku])),""),ROWS($A$15:A258)+$B$3))),IF($EC$13="",INDEX(bhpc_data[description],SMALL(IF(ISNUMBER(MATCH(bhpc_data[category],$EC$9,0)*MATCH(bhpc_data[sex],$EC$11,0)),MATCH(ROW(bhpc_data[sku]),ROW(bhpc_data[sku])),""),ROWS($A$15:A258)+$B$3)),INDEX(bhpc_data[description],SMALL(IF(ISNUMBER(MATCH(bhpc_data[category],$EC$9,0)*MATCH(bhpc_data[sex],$EC$11,0)*MATCH(bhpc_data[size],$EC$13,0)),MATCH(ROW(bhpc_data[sku]),ROW(bhpc_data[sku])),""),ROWS($A$15:A258)+$B$3))))),"")</f>
        <v>BHPC WOMEN ROLL-ON 9 50ML</v>
      </c>
      <c r="EG253" s="441">
        <f>IFERROR(IF('BHPC MANAGER'!$EE253="","",INDEX(inventory[ESISTENZA],MATCH('BHPC MANAGER'!$EE253,inventory[SKU],0))),0)</f>
        <v>8</v>
      </c>
      <c r="EH253" s="442"/>
      <c r="EI253" s="442">
        <f t="shared" si="21"/>
        <v>8</v>
      </c>
      <c r="EJ253" s="443"/>
      <c r="EK253" s="444">
        <f t="shared" si="22"/>
        <v>8</v>
      </c>
    </row>
    <row r="254" spans="63:141" x14ac:dyDescent="0.35">
      <c r="EE254" s="445" t="str" cm="1">
        <f t="array" ref="EE254">IFERROR(IF($EC$9="",IF($EC$11="",IF($EC$13="",INDEX(bhpc_data[sku],SMALL(MATCH(ROW(bhpc_data[sku]),ROW(bhpc_data[sku])),ROWS($A$15:A259)+$B$3)),INDEX(bhpc_data[sku],SMALL(IF(ISNUMBER(MATCH(bhpc_data[size],$EC$13,0)),MATCH(ROW(bhpc_data[sku]),ROW(bhpc_data[sku])),""),ROWS($A$15:A259)+$B$3))),IF($EC$13="",INDEX(bhpc_data[sku],SMALL(IF(ISNUMBER(MATCH(bhpc_data[sex],$EC$11,0)),MATCH(ROW(bhpc_data[sku]),ROW(bhpc_data[sku])),""),ROWS($A$15:A259)+$B$3)),INDEX(bhpc_data[sku],SMALL(IF(ISNUMBER(MATCH(bhpc_data[sex],$EC$11,0)*MATCH(bhpc_data[size],$EC$13,0)),MATCH(ROW(bhpc_data[sku]),ROW(bhpc_data[sku])),""),ROWS($A$15:A259)+$B$3)))),IF($EC$11="",IF($EC$13="",INDEX(bhpc_data[sku],SMALL(IF(ISNUMBER(MATCH(bhpc_data[category],$EC$9,0)),MATCH(ROW(bhpc_data[sku]),ROW(bhpc_data[sku])),""),ROWS($A$15:A259)+$B$3)),INDEX(bhpc_data[sku],SMALL(IF(ISNUMBER(MATCH(bhpc_data[category],$EC$9,0)*MATCH(bhpc_data[size],$EC$13,0)),MATCH(ROW(bhpc_data[sku]),ROW(bhpc_data[sku])),""),ROWS($A$15:A259)+$B$3))),IF($EC$13="",INDEX(bhpc_data[sku],SMALL(IF(ISNUMBER(MATCH(bhpc_data[category],$EC$9,0)*MATCH(bhpc_data[sex],$EC$11,0)),MATCH(ROW(bhpc_data[sku]),ROW(bhpc_data[sku])),""),ROWS($A$15:A259)+$B$3)),INDEX(bhpc_data[sku],SMALL(IF(ISNUMBER(MATCH(bhpc_data[category],$EC$9,0)*MATCH(bhpc_data[sex],$EC$11,0)*MATCH(bhpc_data[size],$EC$13,0)),MATCH(ROW(bhpc_data[sku]),ROW(bhpc_data[sku])),""),ROWS($A$15:A259)+$B$3))))),"")</f>
        <v>P07006</v>
      </c>
      <c r="EF254" s="446" t="str" cm="1">
        <f t="array" ref="EF254">IFERROR(IF($EC$9="",IF($EC$11="",IF($EC$13="",INDEX(bhpc_data[description],SMALL(MATCH(ROW(bhpc_data[sku]),ROW(bhpc_data[sku])),ROWS($A$15:A259)+$B$3)),INDEX(bhpc_data[description],SMALL(IF(ISNUMBER(MATCH(bhpc_data[size],$EC$13,0)),MATCH(ROW(bhpc_data[sku]),ROW(bhpc_data[sku])),""),ROWS($A$15:A259)+$B$3))),IF($EC$13="",INDEX(bhpc_data[description],SMALL(IF(ISNUMBER(MATCH(bhpc_data[sex],$EC$11,0)),MATCH(ROW(bhpc_data[sku]),ROW(bhpc_data[sku])),""),ROWS($A$15:A259)+$B$3)),INDEX(bhpc_data[description],SMALL(IF(ISNUMBER(MATCH(bhpc_data[sex],$EC$11,0)*MATCH(bhpc_data[size],$EC$13,0)),MATCH(ROW(bhpc_data[sku]),ROW(bhpc_data[sku])),""),ROWS($A$15:A259)+$B$3)))),IF($EC$11="",IF($EC$13="",INDEX(bhpc_data[description],SMALL(IF(ISNUMBER(MATCH(bhpc_data[category],$EC$9,0)),MATCH(ROW(bhpc_data[sku]),ROW(bhpc_data[sku])),""),ROWS($A$15:A259)+$B$3)),INDEX(bhpc_data[description],SMALL(IF(ISNUMBER(MATCH(bhpc_data[category],$EC$9,0)*MATCH(bhpc_data[size],$EC$13,0)),MATCH(ROW(bhpc_data[sku]),ROW(bhpc_data[sku])),""),ROWS($A$15:A259)+$B$3))),IF($EC$13="",INDEX(bhpc_data[description],SMALL(IF(ISNUMBER(MATCH(bhpc_data[category],$EC$9,0)*MATCH(bhpc_data[sex],$EC$11,0)),MATCH(ROW(bhpc_data[sku]),ROW(bhpc_data[sku])),""),ROWS($A$15:A259)+$B$3)),INDEX(bhpc_data[description],SMALL(IF(ISNUMBER(MATCH(bhpc_data[category],$EC$9,0)*MATCH(bhpc_data[sex],$EC$11,0)*MATCH(bhpc_data[size],$EC$13,0)),MATCH(ROW(bhpc_data[sku]),ROW(bhpc_data[sku])),""),ROWS($A$15:A259)+$B$3))))),"")</f>
        <v>BHPC WOMEN ROLL-ON 8 50ML</v>
      </c>
      <c r="EG254" s="447">
        <f>IFERROR(IF('BHPC MANAGER'!$EE254="","",INDEX(inventory[ESISTENZA],MATCH('BHPC MANAGER'!$EE254,inventory[SKU],0))),0)</f>
        <v>0</v>
      </c>
      <c r="EH254" s="448"/>
      <c r="EI254" s="448">
        <f t="shared" si="21"/>
        <v>0</v>
      </c>
      <c r="EJ254" s="449"/>
      <c r="EK254" s="450">
        <f t="shared" si="22"/>
        <v>0</v>
      </c>
    </row>
    <row r="255" spans="63:141" x14ac:dyDescent="0.35">
      <c r="EE255" s="439" t="str" cm="1">
        <f t="array" ref="EE255">IFERROR(IF($EC$9="",IF($EC$11="",IF($EC$13="",INDEX(bhpc_data[sku],SMALL(MATCH(ROW(bhpc_data[sku]),ROW(bhpc_data[sku])),ROWS($A$15:A260)+$B$3)),INDEX(bhpc_data[sku],SMALL(IF(ISNUMBER(MATCH(bhpc_data[size],$EC$13,0)),MATCH(ROW(bhpc_data[sku]),ROW(bhpc_data[sku])),""),ROWS($A$15:A260)+$B$3))),IF($EC$13="",INDEX(bhpc_data[sku],SMALL(IF(ISNUMBER(MATCH(bhpc_data[sex],$EC$11,0)),MATCH(ROW(bhpc_data[sku]),ROW(bhpc_data[sku])),""),ROWS($A$15:A260)+$B$3)),INDEX(bhpc_data[sku],SMALL(IF(ISNUMBER(MATCH(bhpc_data[sex],$EC$11,0)*MATCH(bhpc_data[size],$EC$13,0)),MATCH(ROW(bhpc_data[sku]),ROW(bhpc_data[sku])),""),ROWS($A$15:A260)+$B$3)))),IF($EC$11="",IF($EC$13="",INDEX(bhpc_data[sku],SMALL(IF(ISNUMBER(MATCH(bhpc_data[category],$EC$9,0)),MATCH(ROW(bhpc_data[sku]),ROW(bhpc_data[sku])),""),ROWS($A$15:A260)+$B$3)),INDEX(bhpc_data[sku],SMALL(IF(ISNUMBER(MATCH(bhpc_data[category],$EC$9,0)*MATCH(bhpc_data[size],$EC$13,0)),MATCH(ROW(bhpc_data[sku]),ROW(bhpc_data[sku])),""),ROWS($A$15:A260)+$B$3))),IF($EC$13="",INDEX(bhpc_data[sku],SMALL(IF(ISNUMBER(MATCH(bhpc_data[category],$EC$9,0)*MATCH(bhpc_data[sex],$EC$11,0)),MATCH(ROW(bhpc_data[sku]),ROW(bhpc_data[sku])),""),ROWS($A$15:A260)+$B$3)),INDEX(bhpc_data[sku],SMALL(IF(ISNUMBER(MATCH(bhpc_data[category],$EC$9,0)*MATCH(bhpc_data[sex],$EC$11,0)*MATCH(bhpc_data[size],$EC$13,0)),MATCH(ROW(bhpc_data[sku]),ROW(bhpc_data[sku])),""),ROWS($A$15:A260)+$B$3))))),"")</f>
        <v>P07007</v>
      </c>
      <c r="EF255" s="440" t="str" cm="1">
        <f t="array" ref="EF255">IFERROR(IF($EC$9="",IF($EC$11="",IF($EC$13="",INDEX(bhpc_data[description],SMALL(MATCH(ROW(bhpc_data[sku]),ROW(bhpc_data[sku])),ROWS($A$15:A260)+$B$3)),INDEX(bhpc_data[description],SMALL(IF(ISNUMBER(MATCH(bhpc_data[size],$EC$13,0)),MATCH(ROW(bhpc_data[sku]),ROW(bhpc_data[sku])),""),ROWS($A$15:A260)+$B$3))),IF($EC$13="",INDEX(bhpc_data[description],SMALL(IF(ISNUMBER(MATCH(bhpc_data[sex],$EC$11,0)),MATCH(ROW(bhpc_data[sku]),ROW(bhpc_data[sku])),""),ROWS($A$15:A260)+$B$3)),INDEX(bhpc_data[description],SMALL(IF(ISNUMBER(MATCH(bhpc_data[sex],$EC$11,0)*MATCH(bhpc_data[size],$EC$13,0)),MATCH(ROW(bhpc_data[sku]),ROW(bhpc_data[sku])),""),ROWS($A$15:A260)+$B$3)))),IF($EC$11="",IF($EC$13="",INDEX(bhpc_data[description],SMALL(IF(ISNUMBER(MATCH(bhpc_data[category],$EC$9,0)),MATCH(ROW(bhpc_data[sku]),ROW(bhpc_data[sku])),""),ROWS($A$15:A260)+$B$3)),INDEX(bhpc_data[description],SMALL(IF(ISNUMBER(MATCH(bhpc_data[category],$EC$9,0)*MATCH(bhpc_data[size],$EC$13,0)),MATCH(ROW(bhpc_data[sku]),ROW(bhpc_data[sku])),""),ROWS($A$15:A260)+$B$3))),IF($EC$13="",INDEX(bhpc_data[description],SMALL(IF(ISNUMBER(MATCH(bhpc_data[category],$EC$9,0)*MATCH(bhpc_data[sex],$EC$11,0)),MATCH(ROW(bhpc_data[sku]),ROW(bhpc_data[sku])),""),ROWS($A$15:A260)+$B$3)),INDEX(bhpc_data[description],SMALL(IF(ISNUMBER(MATCH(bhpc_data[category],$EC$9,0)*MATCH(bhpc_data[sex],$EC$11,0)*MATCH(bhpc_data[size],$EC$13,0)),MATCH(ROW(bhpc_data[sku]),ROW(bhpc_data[sku])),""),ROWS($A$15:A260)+$B$3))))),"")</f>
        <v>BHPC WOMEN ROLL-ON 2 50ML</v>
      </c>
      <c r="EG255" s="441">
        <f>IFERROR(IF('BHPC MANAGER'!$EE255="","",INDEX(inventory[ESISTENZA],MATCH('BHPC MANAGER'!$EE255,inventory[SKU],0))),0)</f>
        <v>0</v>
      </c>
      <c r="EH255" s="442"/>
      <c r="EI255" s="442">
        <f t="shared" si="21"/>
        <v>0</v>
      </c>
      <c r="EJ255" s="443"/>
      <c r="EK255" s="444">
        <f t="shared" si="22"/>
        <v>0</v>
      </c>
    </row>
    <row r="256" spans="63:141" x14ac:dyDescent="0.35">
      <c r="EE256" s="445" t="str" cm="1">
        <f t="array" ref="EE256">IFERROR(IF($EC$9="",IF($EC$11="",IF($EC$13="",INDEX(bhpc_data[sku],SMALL(MATCH(ROW(bhpc_data[sku]),ROW(bhpc_data[sku])),ROWS($A$15:A261)+$B$3)),INDEX(bhpc_data[sku],SMALL(IF(ISNUMBER(MATCH(bhpc_data[size],$EC$13,0)),MATCH(ROW(bhpc_data[sku]),ROW(bhpc_data[sku])),""),ROWS($A$15:A261)+$B$3))),IF($EC$13="",INDEX(bhpc_data[sku],SMALL(IF(ISNUMBER(MATCH(bhpc_data[sex],$EC$11,0)),MATCH(ROW(bhpc_data[sku]),ROW(bhpc_data[sku])),""),ROWS($A$15:A261)+$B$3)),INDEX(bhpc_data[sku],SMALL(IF(ISNUMBER(MATCH(bhpc_data[sex],$EC$11,0)*MATCH(bhpc_data[size],$EC$13,0)),MATCH(ROW(bhpc_data[sku]),ROW(bhpc_data[sku])),""),ROWS($A$15:A261)+$B$3)))),IF($EC$11="",IF($EC$13="",INDEX(bhpc_data[sku],SMALL(IF(ISNUMBER(MATCH(bhpc_data[category],$EC$9,0)),MATCH(ROW(bhpc_data[sku]),ROW(bhpc_data[sku])),""),ROWS($A$15:A261)+$B$3)),INDEX(bhpc_data[sku],SMALL(IF(ISNUMBER(MATCH(bhpc_data[category],$EC$9,0)*MATCH(bhpc_data[size],$EC$13,0)),MATCH(ROW(bhpc_data[sku]),ROW(bhpc_data[sku])),""),ROWS($A$15:A261)+$B$3))),IF($EC$13="",INDEX(bhpc_data[sku],SMALL(IF(ISNUMBER(MATCH(bhpc_data[category],$EC$9,0)*MATCH(bhpc_data[sex],$EC$11,0)),MATCH(ROW(bhpc_data[sku]),ROW(bhpc_data[sku])),""),ROWS($A$15:A261)+$B$3)),INDEX(bhpc_data[sku],SMALL(IF(ISNUMBER(MATCH(bhpc_data[category],$EC$9,0)*MATCH(bhpc_data[sex],$EC$11,0)*MATCH(bhpc_data[size],$EC$13,0)),MATCH(ROW(bhpc_data[sku]),ROW(bhpc_data[sku])),""),ROWS($A$15:A261)+$B$3))))),"")</f>
        <v>X0TRFM</v>
      </c>
      <c r="EF256" s="446" t="str" cm="1">
        <f t="array" ref="EF256">IFERROR(IF($EC$9="",IF($EC$11="",IF($EC$13="",INDEX(bhpc_data[description],SMALL(MATCH(ROW(bhpc_data[sku]),ROW(bhpc_data[sku])),ROWS($A$15:A261)+$B$3)),INDEX(bhpc_data[description],SMALL(IF(ISNUMBER(MATCH(bhpc_data[size],$EC$13,0)),MATCH(ROW(bhpc_data[sku]),ROW(bhpc_data[sku])),""),ROWS($A$15:A261)+$B$3))),IF($EC$13="",INDEX(bhpc_data[description],SMALL(IF(ISNUMBER(MATCH(bhpc_data[sex],$EC$11,0)),MATCH(ROW(bhpc_data[sku]),ROW(bhpc_data[sku])),""),ROWS($A$15:A261)+$B$3)),INDEX(bhpc_data[description],SMALL(IF(ISNUMBER(MATCH(bhpc_data[sex],$EC$11,0)*MATCH(bhpc_data[size],$EC$13,0)),MATCH(ROW(bhpc_data[sku]),ROW(bhpc_data[sku])),""),ROWS($A$15:A261)+$B$3)))),IF($EC$11="",IF($EC$13="",INDEX(bhpc_data[description],SMALL(IF(ISNUMBER(MATCH(bhpc_data[category],$EC$9,0)),MATCH(ROW(bhpc_data[sku]),ROW(bhpc_data[sku])),""),ROWS($A$15:A261)+$B$3)),INDEX(bhpc_data[description],SMALL(IF(ISNUMBER(MATCH(bhpc_data[category],$EC$9,0)*MATCH(bhpc_data[size],$EC$13,0)),MATCH(ROW(bhpc_data[sku]),ROW(bhpc_data[sku])),""),ROWS($A$15:A261)+$B$3))),IF($EC$13="",INDEX(bhpc_data[description],SMALL(IF(ISNUMBER(MATCH(bhpc_data[category],$EC$9,0)*MATCH(bhpc_data[sex],$EC$11,0)),MATCH(ROW(bhpc_data[sku]),ROW(bhpc_data[sku])),""),ROWS($A$15:A261)+$B$3)),INDEX(bhpc_data[description],SMALL(IF(ISNUMBER(MATCH(bhpc_data[category],$EC$9,0)*MATCH(bhpc_data[sex],$EC$11,0)*MATCH(bhpc_data[size],$EC$13,0)),MATCH(ROW(bhpc_data[sku]),ROW(bhpc_data[sku])),""),ROWS($A$15:A261)+$B$3))))),"")</f>
        <v>BHPC TRAY GIFT BOX MEN 50ML</v>
      </c>
      <c r="EG256" s="447">
        <f>IFERROR(IF('BHPC MANAGER'!$EE256="","",INDEX(inventory[ESISTENZA],MATCH('BHPC MANAGER'!$EE256,inventory[SKU],0))),0)</f>
        <v>7120</v>
      </c>
      <c r="EH256" s="448"/>
      <c r="EI256" s="448">
        <f t="shared" si="21"/>
        <v>7120</v>
      </c>
      <c r="EJ256" s="449"/>
      <c r="EK256" s="450">
        <f t="shared" si="22"/>
        <v>7120</v>
      </c>
    </row>
    <row r="257" spans="135:141" x14ac:dyDescent="0.35">
      <c r="EE257" s="439" t="str" cm="1">
        <f t="array" ref="EE257">IFERROR(IF($EC$9="",IF($EC$11="",IF($EC$13="",INDEX(bhpc_data[sku],SMALL(MATCH(ROW(bhpc_data[sku]),ROW(bhpc_data[sku])),ROWS($A$15:A262)+$B$3)),INDEX(bhpc_data[sku],SMALL(IF(ISNUMBER(MATCH(bhpc_data[size],$EC$13,0)),MATCH(ROW(bhpc_data[sku]),ROW(bhpc_data[sku])),""),ROWS($A$15:A262)+$B$3))),IF($EC$13="",INDEX(bhpc_data[sku],SMALL(IF(ISNUMBER(MATCH(bhpc_data[sex],$EC$11,0)),MATCH(ROW(bhpc_data[sku]),ROW(bhpc_data[sku])),""),ROWS($A$15:A262)+$B$3)),INDEX(bhpc_data[sku],SMALL(IF(ISNUMBER(MATCH(bhpc_data[sex],$EC$11,0)*MATCH(bhpc_data[size],$EC$13,0)),MATCH(ROW(bhpc_data[sku]),ROW(bhpc_data[sku])),""),ROWS($A$15:A262)+$B$3)))),IF($EC$11="",IF($EC$13="",INDEX(bhpc_data[sku],SMALL(IF(ISNUMBER(MATCH(bhpc_data[category],$EC$9,0)),MATCH(ROW(bhpc_data[sku]),ROW(bhpc_data[sku])),""),ROWS($A$15:A262)+$B$3)),INDEX(bhpc_data[sku],SMALL(IF(ISNUMBER(MATCH(bhpc_data[category],$EC$9,0)*MATCH(bhpc_data[size],$EC$13,0)),MATCH(ROW(bhpc_data[sku]),ROW(bhpc_data[sku])),""),ROWS($A$15:A262)+$B$3))),IF($EC$13="",INDEX(bhpc_data[sku],SMALL(IF(ISNUMBER(MATCH(bhpc_data[category],$EC$9,0)*MATCH(bhpc_data[sex],$EC$11,0)),MATCH(ROW(bhpc_data[sku]),ROW(bhpc_data[sku])),""),ROWS($A$15:A262)+$B$3)),INDEX(bhpc_data[sku],SMALL(IF(ISNUMBER(MATCH(bhpc_data[category],$EC$9,0)*MATCH(bhpc_data[sex],$EC$11,0)*MATCH(bhpc_data[size],$EC$13,0)),MATCH(ROW(bhpc_data[sku]),ROW(bhpc_data[sku])),""),ROWS($A$15:A262)+$B$3))))),"")</f>
        <v>X0TRFW</v>
      </c>
      <c r="EF257" s="440" t="str" cm="1">
        <f t="array" ref="EF257">IFERROR(IF($EC$9="",IF($EC$11="",IF($EC$13="",INDEX(bhpc_data[description],SMALL(MATCH(ROW(bhpc_data[sku]),ROW(bhpc_data[sku])),ROWS($A$15:A262)+$B$3)),INDEX(bhpc_data[description],SMALL(IF(ISNUMBER(MATCH(bhpc_data[size],$EC$13,0)),MATCH(ROW(bhpc_data[sku]),ROW(bhpc_data[sku])),""),ROWS($A$15:A262)+$B$3))),IF($EC$13="",INDEX(bhpc_data[description],SMALL(IF(ISNUMBER(MATCH(bhpc_data[sex],$EC$11,0)),MATCH(ROW(bhpc_data[sku]),ROW(bhpc_data[sku])),""),ROWS($A$15:A262)+$B$3)),INDEX(bhpc_data[description],SMALL(IF(ISNUMBER(MATCH(bhpc_data[sex],$EC$11,0)*MATCH(bhpc_data[size],$EC$13,0)),MATCH(ROW(bhpc_data[sku]),ROW(bhpc_data[sku])),""),ROWS($A$15:A262)+$B$3)))),IF($EC$11="",IF($EC$13="",INDEX(bhpc_data[description],SMALL(IF(ISNUMBER(MATCH(bhpc_data[category],$EC$9,0)),MATCH(ROW(bhpc_data[sku]),ROW(bhpc_data[sku])),""),ROWS($A$15:A262)+$B$3)),INDEX(bhpc_data[description],SMALL(IF(ISNUMBER(MATCH(bhpc_data[category],$EC$9,0)*MATCH(bhpc_data[size],$EC$13,0)),MATCH(ROW(bhpc_data[sku]),ROW(bhpc_data[sku])),""),ROWS($A$15:A262)+$B$3))),IF($EC$13="",INDEX(bhpc_data[description],SMALL(IF(ISNUMBER(MATCH(bhpc_data[category],$EC$9,0)*MATCH(bhpc_data[sex],$EC$11,0)),MATCH(ROW(bhpc_data[sku]),ROW(bhpc_data[sku])),""),ROWS($A$15:A262)+$B$3)),INDEX(bhpc_data[description],SMALL(IF(ISNUMBER(MATCH(bhpc_data[category],$EC$9,0)*MATCH(bhpc_data[sex],$EC$11,0)*MATCH(bhpc_data[size],$EC$13,0)),MATCH(ROW(bhpc_data[sku]),ROW(bhpc_data[sku])),""),ROWS($A$15:A262)+$B$3))))),"")</f>
        <v>BHPC TRAY GIFT BOX WOMEN 50ML</v>
      </c>
      <c r="EG257" s="441">
        <f>IFERROR(IF('BHPC MANAGER'!$EE257="","",INDEX(inventory[ESISTENZA],MATCH('BHPC MANAGER'!$EE257,inventory[SKU],0))),0)</f>
        <v>10490</v>
      </c>
      <c r="EH257" s="442"/>
      <c r="EI257" s="442">
        <f t="shared" si="21"/>
        <v>10490</v>
      </c>
      <c r="EJ257" s="443"/>
      <c r="EK257" s="444">
        <f t="shared" si="22"/>
        <v>10490</v>
      </c>
    </row>
    <row r="258" spans="135:141" x14ac:dyDescent="0.35">
      <c r="EE258" s="445" t="str" cm="1">
        <f t="array" ref="EE258">IFERROR(IF($EC$9="",IF($EC$11="",IF($EC$13="",INDEX(bhpc_data[sku],SMALL(MATCH(ROW(bhpc_data[sku]),ROW(bhpc_data[sku])),ROWS($A$15:A263)+$B$3)),INDEX(bhpc_data[sku],SMALL(IF(ISNUMBER(MATCH(bhpc_data[size],$EC$13,0)),MATCH(ROW(bhpc_data[sku]),ROW(bhpc_data[sku])),""),ROWS($A$15:A263)+$B$3))),IF($EC$13="",INDEX(bhpc_data[sku],SMALL(IF(ISNUMBER(MATCH(bhpc_data[sex],$EC$11,0)),MATCH(ROW(bhpc_data[sku]),ROW(bhpc_data[sku])),""),ROWS($A$15:A263)+$B$3)),INDEX(bhpc_data[sku],SMALL(IF(ISNUMBER(MATCH(bhpc_data[sex],$EC$11,0)*MATCH(bhpc_data[size],$EC$13,0)),MATCH(ROW(bhpc_data[sku]),ROW(bhpc_data[sku])),""),ROWS($A$15:A263)+$B$3)))),IF($EC$11="",IF($EC$13="",INDEX(bhpc_data[sku],SMALL(IF(ISNUMBER(MATCH(bhpc_data[category],$EC$9,0)),MATCH(ROW(bhpc_data[sku]),ROW(bhpc_data[sku])),""),ROWS($A$15:A263)+$B$3)),INDEX(bhpc_data[sku],SMALL(IF(ISNUMBER(MATCH(bhpc_data[category],$EC$9,0)*MATCH(bhpc_data[size],$EC$13,0)),MATCH(ROW(bhpc_data[sku]),ROW(bhpc_data[sku])),""),ROWS($A$15:A263)+$B$3))),IF($EC$13="",INDEX(bhpc_data[sku],SMALL(IF(ISNUMBER(MATCH(bhpc_data[category],$EC$9,0)*MATCH(bhpc_data[sex],$EC$11,0)),MATCH(ROW(bhpc_data[sku]),ROW(bhpc_data[sku])),""),ROWS($A$15:A263)+$B$3)),INDEX(bhpc_data[sku],SMALL(IF(ISNUMBER(MATCH(bhpc_data[category],$EC$9,0)*MATCH(bhpc_data[sex],$EC$11,0)*MATCH(bhpc_data[size],$EC$13,0)),MATCH(ROW(bhpc_data[sku]),ROW(bhpc_data[sku])),""),ROWS($A$15:A263)+$B$3))))),"")</f>
        <v>X2TRFM</v>
      </c>
      <c r="EF258" s="446" t="str" cm="1">
        <f t="array" ref="EF258">IFERROR(IF($EC$9="",IF($EC$11="",IF($EC$13="",INDEX(bhpc_data[description],SMALL(MATCH(ROW(bhpc_data[sku]),ROW(bhpc_data[sku])),ROWS($A$15:A263)+$B$3)),INDEX(bhpc_data[description],SMALL(IF(ISNUMBER(MATCH(bhpc_data[size],$EC$13,0)),MATCH(ROW(bhpc_data[sku]),ROW(bhpc_data[sku])),""),ROWS($A$15:A263)+$B$3))),IF($EC$13="",INDEX(bhpc_data[description],SMALL(IF(ISNUMBER(MATCH(bhpc_data[sex],$EC$11,0)),MATCH(ROW(bhpc_data[sku]),ROW(bhpc_data[sku])),""),ROWS($A$15:A263)+$B$3)),INDEX(bhpc_data[description],SMALL(IF(ISNUMBER(MATCH(bhpc_data[sex],$EC$11,0)*MATCH(bhpc_data[size],$EC$13,0)),MATCH(ROW(bhpc_data[sku]),ROW(bhpc_data[sku])),""),ROWS($A$15:A263)+$B$3)))),IF($EC$11="",IF($EC$13="",INDEX(bhpc_data[description],SMALL(IF(ISNUMBER(MATCH(bhpc_data[category],$EC$9,0)),MATCH(ROW(bhpc_data[sku]),ROW(bhpc_data[sku])),""),ROWS($A$15:A263)+$B$3)),INDEX(bhpc_data[description],SMALL(IF(ISNUMBER(MATCH(bhpc_data[category],$EC$9,0)*MATCH(bhpc_data[size],$EC$13,0)),MATCH(ROW(bhpc_data[sku]),ROW(bhpc_data[sku])),""),ROWS($A$15:A263)+$B$3))),IF($EC$13="",INDEX(bhpc_data[description],SMALL(IF(ISNUMBER(MATCH(bhpc_data[category],$EC$9,0)*MATCH(bhpc_data[sex],$EC$11,0)),MATCH(ROW(bhpc_data[sku]),ROW(bhpc_data[sku])),""),ROWS($A$15:A263)+$B$3)),INDEX(bhpc_data[description],SMALL(IF(ISNUMBER(MATCH(bhpc_data[category],$EC$9,0)*MATCH(bhpc_data[sex],$EC$11,0)*MATCH(bhpc_data[size],$EC$13,0)),MATCH(ROW(bhpc_data[sku]),ROW(bhpc_data[sku])),""),ROWS($A$15:A263)+$B$3))))),"")</f>
        <v>BHPC TRAY 3PCS GIFT BOX MEN 50ML</v>
      </c>
      <c r="EG258" s="447">
        <f>IFERROR(IF('BHPC MANAGER'!$EE258="","",INDEX(inventory[ESISTENZA],MATCH('BHPC MANAGER'!$EE258,inventory[SKU],0))),0)</f>
        <v>0</v>
      </c>
      <c r="EH258" s="448"/>
      <c r="EI258" s="448">
        <f t="shared" si="21"/>
        <v>0</v>
      </c>
      <c r="EJ258" s="449"/>
      <c r="EK258" s="450">
        <f t="shared" si="22"/>
        <v>0</v>
      </c>
    </row>
    <row r="259" spans="135:141" x14ac:dyDescent="0.35">
      <c r="EE259" s="439" t="str" cm="1">
        <f t="array" ref="EE259">IFERROR(IF($EC$9="",IF($EC$11="",IF($EC$13="",INDEX(bhpc_data[sku],SMALL(MATCH(ROW(bhpc_data[sku]),ROW(bhpc_data[sku])),ROWS($A$15:A264)+$B$3)),INDEX(bhpc_data[sku],SMALL(IF(ISNUMBER(MATCH(bhpc_data[size],$EC$13,0)),MATCH(ROW(bhpc_data[sku]),ROW(bhpc_data[sku])),""),ROWS($A$15:A264)+$B$3))),IF($EC$13="",INDEX(bhpc_data[sku],SMALL(IF(ISNUMBER(MATCH(bhpc_data[sex],$EC$11,0)),MATCH(ROW(bhpc_data[sku]),ROW(bhpc_data[sku])),""),ROWS($A$15:A264)+$B$3)),INDEX(bhpc_data[sku],SMALL(IF(ISNUMBER(MATCH(bhpc_data[sex],$EC$11,0)*MATCH(bhpc_data[size],$EC$13,0)),MATCH(ROW(bhpc_data[sku]),ROW(bhpc_data[sku])),""),ROWS($A$15:A264)+$B$3)))),IF($EC$11="",IF($EC$13="",INDEX(bhpc_data[sku],SMALL(IF(ISNUMBER(MATCH(bhpc_data[category],$EC$9,0)),MATCH(ROW(bhpc_data[sku]),ROW(bhpc_data[sku])),""),ROWS($A$15:A264)+$B$3)),INDEX(bhpc_data[sku],SMALL(IF(ISNUMBER(MATCH(bhpc_data[category],$EC$9,0)*MATCH(bhpc_data[size],$EC$13,0)),MATCH(ROW(bhpc_data[sku]),ROW(bhpc_data[sku])),""),ROWS($A$15:A264)+$B$3))),IF($EC$13="",INDEX(bhpc_data[sku],SMALL(IF(ISNUMBER(MATCH(bhpc_data[category],$EC$9,0)*MATCH(bhpc_data[sex],$EC$11,0)),MATCH(ROW(bhpc_data[sku]),ROW(bhpc_data[sku])),""),ROWS($A$15:A264)+$B$3)),INDEX(bhpc_data[sku],SMALL(IF(ISNUMBER(MATCH(bhpc_data[category],$EC$9,0)*MATCH(bhpc_data[sex],$EC$11,0)*MATCH(bhpc_data[size],$EC$13,0)),MATCH(ROW(bhpc_data[sku]),ROW(bhpc_data[sku])),""),ROWS($A$15:A264)+$B$3))))),"")</f>
        <v>X2TRFW</v>
      </c>
      <c r="EF259" s="440" t="str" cm="1">
        <f t="array" ref="EF259">IFERROR(IF($EC$9="",IF($EC$11="",IF($EC$13="",INDEX(bhpc_data[description],SMALL(MATCH(ROW(bhpc_data[sku]),ROW(bhpc_data[sku])),ROWS($A$15:A264)+$B$3)),INDEX(bhpc_data[description],SMALL(IF(ISNUMBER(MATCH(bhpc_data[size],$EC$13,0)),MATCH(ROW(bhpc_data[sku]),ROW(bhpc_data[sku])),""),ROWS($A$15:A264)+$B$3))),IF($EC$13="",INDEX(bhpc_data[description],SMALL(IF(ISNUMBER(MATCH(bhpc_data[sex],$EC$11,0)),MATCH(ROW(bhpc_data[sku]),ROW(bhpc_data[sku])),""),ROWS($A$15:A264)+$B$3)),INDEX(bhpc_data[description],SMALL(IF(ISNUMBER(MATCH(bhpc_data[sex],$EC$11,0)*MATCH(bhpc_data[size],$EC$13,0)),MATCH(ROW(bhpc_data[sku]),ROW(bhpc_data[sku])),""),ROWS($A$15:A264)+$B$3)))),IF($EC$11="",IF($EC$13="",INDEX(bhpc_data[description],SMALL(IF(ISNUMBER(MATCH(bhpc_data[category],$EC$9,0)),MATCH(ROW(bhpc_data[sku]),ROW(bhpc_data[sku])),""),ROWS($A$15:A264)+$B$3)),INDEX(bhpc_data[description],SMALL(IF(ISNUMBER(MATCH(bhpc_data[category],$EC$9,0)*MATCH(bhpc_data[size],$EC$13,0)),MATCH(ROW(bhpc_data[sku]),ROW(bhpc_data[sku])),""),ROWS($A$15:A264)+$B$3))),IF($EC$13="",INDEX(bhpc_data[description],SMALL(IF(ISNUMBER(MATCH(bhpc_data[category],$EC$9,0)*MATCH(bhpc_data[sex],$EC$11,0)),MATCH(ROW(bhpc_data[sku]),ROW(bhpc_data[sku])),""),ROWS($A$15:A264)+$B$3)),INDEX(bhpc_data[description],SMALL(IF(ISNUMBER(MATCH(bhpc_data[category],$EC$9,0)*MATCH(bhpc_data[sex],$EC$11,0)*MATCH(bhpc_data[size],$EC$13,0)),MATCH(ROW(bhpc_data[sku]),ROW(bhpc_data[sku])),""),ROWS($A$15:A264)+$B$3))))),"")</f>
        <v>BHPC TRAY 3PCS GIFT BOX WOMEN 50ML</v>
      </c>
      <c r="EG259" s="441">
        <f>IFERROR(IF('BHPC MANAGER'!$EE259="","",INDEX(inventory[ESISTENZA],MATCH('BHPC MANAGER'!$EE259,inventory[SKU],0))),0)</f>
        <v>0</v>
      </c>
      <c r="EH259" s="442"/>
      <c r="EI259" s="442">
        <f t="shared" si="21"/>
        <v>0</v>
      </c>
      <c r="EJ259" s="443"/>
      <c r="EK259" s="444">
        <f t="shared" si="22"/>
        <v>0</v>
      </c>
    </row>
    <row r="260" spans="135:141" x14ac:dyDescent="0.35">
      <c r="EE260" s="445" t="str" cm="1">
        <f t="array" ref="EE260">IFERROR(IF($EC$9="",IF($EC$11="",IF($EC$13="",INDEX(bhpc_data[sku],SMALL(MATCH(ROW(bhpc_data[sku]),ROW(bhpc_data[sku])),ROWS($A$15:A265)+$B$3)),INDEX(bhpc_data[sku],SMALL(IF(ISNUMBER(MATCH(bhpc_data[size],$EC$13,0)),MATCH(ROW(bhpc_data[sku]),ROW(bhpc_data[sku])),""),ROWS($A$15:A265)+$B$3))),IF($EC$13="",INDEX(bhpc_data[sku],SMALL(IF(ISNUMBER(MATCH(bhpc_data[sex],$EC$11,0)),MATCH(ROW(bhpc_data[sku]),ROW(bhpc_data[sku])),""),ROWS($A$15:A265)+$B$3)),INDEX(bhpc_data[sku],SMALL(IF(ISNUMBER(MATCH(bhpc_data[sex],$EC$11,0)*MATCH(bhpc_data[size],$EC$13,0)),MATCH(ROW(bhpc_data[sku]),ROW(bhpc_data[sku])),""),ROWS($A$15:A265)+$B$3)))),IF($EC$11="",IF($EC$13="",INDEX(bhpc_data[sku],SMALL(IF(ISNUMBER(MATCH(bhpc_data[category],$EC$9,0)),MATCH(ROW(bhpc_data[sku]),ROW(bhpc_data[sku])),""),ROWS($A$15:A265)+$B$3)),INDEX(bhpc_data[sku],SMALL(IF(ISNUMBER(MATCH(bhpc_data[category],$EC$9,0)*MATCH(bhpc_data[size],$EC$13,0)),MATCH(ROW(bhpc_data[sku]),ROW(bhpc_data[sku])),""),ROWS($A$15:A265)+$B$3))),IF($EC$13="",INDEX(bhpc_data[sku],SMALL(IF(ISNUMBER(MATCH(bhpc_data[category],$EC$9,0)*MATCH(bhpc_data[sex],$EC$11,0)),MATCH(ROW(bhpc_data[sku]),ROW(bhpc_data[sku])),""),ROWS($A$15:A265)+$B$3)),INDEX(bhpc_data[sku],SMALL(IF(ISNUMBER(MATCH(bhpc_data[category],$EC$9,0)*MATCH(bhpc_data[sex],$EC$11,0)*MATCH(bhpc_data[size],$EC$13,0)),MATCH(ROW(bhpc_data[sku]),ROW(bhpc_data[sku])),""),ROWS($A$15:A265)+$B$3))))),"")</f>
        <v>X1TRFM</v>
      </c>
      <c r="EF260" s="446" t="str" cm="1">
        <f t="array" ref="EF260">IFERROR(IF($EC$9="",IF($EC$11="",IF($EC$13="",INDEX(bhpc_data[description],SMALL(MATCH(ROW(bhpc_data[sku]),ROW(bhpc_data[sku])),ROWS($A$15:A265)+$B$3)),INDEX(bhpc_data[description],SMALL(IF(ISNUMBER(MATCH(bhpc_data[size],$EC$13,0)),MATCH(ROW(bhpc_data[sku]),ROW(bhpc_data[sku])),""),ROWS($A$15:A265)+$B$3))),IF($EC$13="",INDEX(bhpc_data[description],SMALL(IF(ISNUMBER(MATCH(bhpc_data[sex],$EC$11,0)),MATCH(ROW(bhpc_data[sku]),ROW(bhpc_data[sku])),""),ROWS($A$15:A265)+$B$3)),INDEX(bhpc_data[description],SMALL(IF(ISNUMBER(MATCH(bhpc_data[sex],$EC$11,0)*MATCH(bhpc_data[size],$EC$13,0)),MATCH(ROW(bhpc_data[sku]),ROW(bhpc_data[sku])),""),ROWS($A$15:A265)+$B$3)))),IF($EC$11="",IF($EC$13="",INDEX(bhpc_data[description],SMALL(IF(ISNUMBER(MATCH(bhpc_data[category],$EC$9,0)),MATCH(ROW(bhpc_data[sku]),ROW(bhpc_data[sku])),""),ROWS($A$15:A265)+$B$3)),INDEX(bhpc_data[description],SMALL(IF(ISNUMBER(MATCH(bhpc_data[category],$EC$9,0)*MATCH(bhpc_data[size],$EC$13,0)),MATCH(ROW(bhpc_data[sku]),ROW(bhpc_data[sku])),""),ROWS($A$15:A265)+$B$3))),IF($EC$13="",INDEX(bhpc_data[description],SMALL(IF(ISNUMBER(MATCH(bhpc_data[category],$EC$9,0)*MATCH(bhpc_data[sex],$EC$11,0)),MATCH(ROW(bhpc_data[sku]),ROW(bhpc_data[sku])),""),ROWS($A$15:A265)+$B$3)),INDEX(bhpc_data[description],SMALL(IF(ISNUMBER(MATCH(bhpc_data[category],$EC$9,0)*MATCH(bhpc_data[sex],$EC$11,0)*MATCH(bhpc_data[size],$EC$13,0)),MATCH(ROW(bhpc_data[sku]),ROW(bhpc_data[sku])),""),ROWS($A$15:A265)+$B$3))))),"")</f>
        <v>BHPC TRAY GIFT BOX MEN 100ML</v>
      </c>
      <c r="EG260" s="447">
        <f>IFERROR(IF('BHPC MANAGER'!$EE260="","",INDEX(inventory[ESISTENZA],MATCH('BHPC MANAGER'!$EE260,inventory[SKU],0))),0)</f>
        <v>200</v>
      </c>
      <c r="EH260" s="448"/>
      <c r="EI260" s="448">
        <f t="shared" si="21"/>
        <v>200</v>
      </c>
      <c r="EJ260" s="449"/>
      <c r="EK260" s="450">
        <f t="shared" si="22"/>
        <v>200</v>
      </c>
    </row>
    <row r="261" spans="135:141" x14ac:dyDescent="0.35">
      <c r="EE261" s="439" t="str" cm="1">
        <f t="array" ref="EE261">IFERROR(IF($EC$9="",IF($EC$11="",IF($EC$13="",INDEX(bhpc_data[sku],SMALL(MATCH(ROW(bhpc_data[sku]),ROW(bhpc_data[sku])),ROWS($A$15:A266)+$B$3)),INDEX(bhpc_data[sku],SMALL(IF(ISNUMBER(MATCH(bhpc_data[size],$EC$13,0)),MATCH(ROW(bhpc_data[sku]),ROW(bhpc_data[sku])),""),ROWS($A$15:A266)+$B$3))),IF($EC$13="",INDEX(bhpc_data[sku],SMALL(IF(ISNUMBER(MATCH(bhpc_data[sex],$EC$11,0)),MATCH(ROW(bhpc_data[sku]),ROW(bhpc_data[sku])),""),ROWS($A$15:A266)+$B$3)),INDEX(bhpc_data[sku],SMALL(IF(ISNUMBER(MATCH(bhpc_data[sex],$EC$11,0)*MATCH(bhpc_data[size],$EC$13,0)),MATCH(ROW(bhpc_data[sku]),ROW(bhpc_data[sku])),""),ROWS($A$15:A266)+$B$3)))),IF($EC$11="",IF($EC$13="",INDEX(bhpc_data[sku],SMALL(IF(ISNUMBER(MATCH(bhpc_data[category],$EC$9,0)),MATCH(ROW(bhpc_data[sku]),ROW(bhpc_data[sku])),""),ROWS($A$15:A266)+$B$3)),INDEX(bhpc_data[sku],SMALL(IF(ISNUMBER(MATCH(bhpc_data[category],$EC$9,0)*MATCH(bhpc_data[size],$EC$13,0)),MATCH(ROW(bhpc_data[sku]),ROW(bhpc_data[sku])),""),ROWS($A$15:A266)+$B$3))),IF($EC$13="",INDEX(bhpc_data[sku],SMALL(IF(ISNUMBER(MATCH(bhpc_data[category],$EC$9,0)*MATCH(bhpc_data[sex],$EC$11,0)),MATCH(ROW(bhpc_data[sku]),ROW(bhpc_data[sku])),""),ROWS($A$15:A266)+$B$3)),INDEX(bhpc_data[sku],SMALL(IF(ISNUMBER(MATCH(bhpc_data[category],$EC$9,0)*MATCH(bhpc_data[sex],$EC$11,0)*MATCH(bhpc_data[size],$EC$13,0)),MATCH(ROW(bhpc_data[sku]),ROW(bhpc_data[sku])),""),ROWS($A$15:A266)+$B$3))))),"")</f>
        <v>X1TRFW</v>
      </c>
      <c r="EF261" s="440" t="str" cm="1">
        <f t="array" ref="EF261">IFERROR(IF($EC$9="",IF($EC$11="",IF($EC$13="",INDEX(bhpc_data[description],SMALL(MATCH(ROW(bhpc_data[sku]),ROW(bhpc_data[sku])),ROWS($A$15:A266)+$B$3)),INDEX(bhpc_data[description],SMALL(IF(ISNUMBER(MATCH(bhpc_data[size],$EC$13,0)),MATCH(ROW(bhpc_data[sku]),ROW(bhpc_data[sku])),""),ROWS($A$15:A266)+$B$3))),IF($EC$13="",INDEX(bhpc_data[description],SMALL(IF(ISNUMBER(MATCH(bhpc_data[sex],$EC$11,0)),MATCH(ROW(bhpc_data[sku]),ROW(bhpc_data[sku])),""),ROWS($A$15:A266)+$B$3)),INDEX(bhpc_data[description],SMALL(IF(ISNUMBER(MATCH(bhpc_data[sex],$EC$11,0)*MATCH(bhpc_data[size],$EC$13,0)),MATCH(ROW(bhpc_data[sku]),ROW(bhpc_data[sku])),""),ROWS($A$15:A266)+$B$3)))),IF($EC$11="",IF($EC$13="",INDEX(bhpc_data[description],SMALL(IF(ISNUMBER(MATCH(bhpc_data[category],$EC$9,0)),MATCH(ROW(bhpc_data[sku]),ROW(bhpc_data[sku])),""),ROWS($A$15:A266)+$B$3)),INDEX(bhpc_data[description],SMALL(IF(ISNUMBER(MATCH(bhpc_data[category],$EC$9,0)*MATCH(bhpc_data[size],$EC$13,0)),MATCH(ROW(bhpc_data[sku]),ROW(bhpc_data[sku])),""),ROWS($A$15:A266)+$B$3))),IF($EC$13="",INDEX(bhpc_data[description],SMALL(IF(ISNUMBER(MATCH(bhpc_data[category],$EC$9,0)*MATCH(bhpc_data[sex],$EC$11,0)),MATCH(ROW(bhpc_data[sku]),ROW(bhpc_data[sku])),""),ROWS($A$15:A266)+$B$3)),INDEX(bhpc_data[description],SMALL(IF(ISNUMBER(MATCH(bhpc_data[category],$EC$9,0)*MATCH(bhpc_data[sex],$EC$11,0)*MATCH(bhpc_data[size],$EC$13,0)),MATCH(ROW(bhpc_data[sku]),ROW(bhpc_data[sku])),""),ROWS($A$15:A266)+$B$3))))),"")</f>
        <v>BHPC TRAY GIFT BOX WOMEN 100ML</v>
      </c>
      <c r="EG261" s="441">
        <f>IFERROR(IF('BHPC MANAGER'!$EE261="","",INDEX(inventory[ESISTENZA],MATCH('BHPC MANAGER'!$EE261,inventory[SKU],0))),0)</f>
        <v>0</v>
      </c>
      <c r="EH261" s="442"/>
      <c r="EI261" s="442">
        <f t="shared" si="21"/>
        <v>0</v>
      </c>
      <c r="EJ261" s="443"/>
      <c r="EK261" s="444">
        <f t="shared" si="22"/>
        <v>0</v>
      </c>
    </row>
    <row r="262" spans="135:141" x14ac:dyDescent="0.35">
      <c r="EE262" s="445" t="str" cm="1">
        <f t="array" ref="EE262">IFERROR(IF($EC$9="",IF($EC$11="",IF($EC$13="",INDEX(bhpc_data[sku],SMALL(MATCH(ROW(bhpc_data[sku]),ROW(bhpc_data[sku])),ROWS($A$15:A267)+$B$3)),INDEX(bhpc_data[sku],SMALL(IF(ISNUMBER(MATCH(bhpc_data[size],$EC$13,0)),MATCH(ROW(bhpc_data[sku]),ROW(bhpc_data[sku])),""),ROWS($A$15:A267)+$B$3))),IF($EC$13="",INDEX(bhpc_data[sku],SMALL(IF(ISNUMBER(MATCH(bhpc_data[sex],$EC$11,0)),MATCH(ROW(bhpc_data[sku]),ROW(bhpc_data[sku])),""),ROWS($A$15:A267)+$B$3)),INDEX(bhpc_data[sku],SMALL(IF(ISNUMBER(MATCH(bhpc_data[sex],$EC$11,0)*MATCH(bhpc_data[size],$EC$13,0)),MATCH(ROW(bhpc_data[sku]),ROW(bhpc_data[sku])),""),ROWS($A$15:A267)+$B$3)))),IF($EC$11="",IF($EC$13="",INDEX(bhpc_data[sku],SMALL(IF(ISNUMBER(MATCH(bhpc_data[category],$EC$9,0)),MATCH(ROW(bhpc_data[sku]),ROW(bhpc_data[sku])),""),ROWS($A$15:A267)+$B$3)),INDEX(bhpc_data[sku],SMALL(IF(ISNUMBER(MATCH(bhpc_data[category],$EC$9,0)*MATCH(bhpc_data[size],$EC$13,0)),MATCH(ROW(bhpc_data[sku]),ROW(bhpc_data[sku])),""),ROWS($A$15:A267)+$B$3))),IF($EC$13="",INDEX(bhpc_data[sku],SMALL(IF(ISNUMBER(MATCH(bhpc_data[category],$EC$9,0)*MATCH(bhpc_data[sex],$EC$11,0)),MATCH(ROW(bhpc_data[sku]),ROW(bhpc_data[sku])),""),ROWS($A$15:A267)+$B$3)),INDEX(bhpc_data[sku],SMALL(IF(ISNUMBER(MATCH(bhpc_data[category],$EC$9,0)*MATCH(bhpc_data[sex],$EC$11,0)*MATCH(bhpc_data[size],$EC$13,0)),MATCH(ROW(bhpc_data[sku]),ROW(bhpc_data[sku])),""),ROWS($A$15:A267)+$B$3))))),"")</f>
        <v>X3TRFM</v>
      </c>
      <c r="EF262" s="446" t="str" cm="1">
        <f t="array" ref="EF262">IFERROR(IF($EC$9="",IF($EC$11="",IF($EC$13="",INDEX(bhpc_data[description],SMALL(MATCH(ROW(bhpc_data[sku]),ROW(bhpc_data[sku])),ROWS($A$15:A267)+$B$3)),INDEX(bhpc_data[description],SMALL(IF(ISNUMBER(MATCH(bhpc_data[size],$EC$13,0)),MATCH(ROW(bhpc_data[sku]),ROW(bhpc_data[sku])),""),ROWS($A$15:A267)+$B$3))),IF($EC$13="",INDEX(bhpc_data[description],SMALL(IF(ISNUMBER(MATCH(bhpc_data[sex],$EC$11,0)),MATCH(ROW(bhpc_data[sku]),ROW(bhpc_data[sku])),""),ROWS($A$15:A267)+$B$3)),INDEX(bhpc_data[description],SMALL(IF(ISNUMBER(MATCH(bhpc_data[sex],$EC$11,0)*MATCH(bhpc_data[size],$EC$13,0)),MATCH(ROW(bhpc_data[sku]),ROW(bhpc_data[sku])),""),ROWS($A$15:A267)+$B$3)))),IF($EC$11="",IF($EC$13="",INDEX(bhpc_data[description],SMALL(IF(ISNUMBER(MATCH(bhpc_data[category],$EC$9,0)),MATCH(ROW(bhpc_data[sku]),ROW(bhpc_data[sku])),""),ROWS($A$15:A267)+$B$3)),INDEX(bhpc_data[description],SMALL(IF(ISNUMBER(MATCH(bhpc_data[category],$EC$9,0)*MATCH(bhpc_data[size],$EC$13,0)),MATCH(ROW(bhpc_data[sku]),ROW(bhpc_data[sku])),""),ROWS($A$15:A267)+$B$3))),IF($EC$13="",INDEX(bhpc_data[description],SMALL(IF(ISNUMBER(MATCH(bhpc_data[category],$EC$9,0)*MATCH(bhpc_data[sex],$EC$11,0)),MATCH(ROW(bhpc_data[sku]),ROW(bhpc_data[sku])),""),ROWS($A$15:A267)+$B$3)),INDEX(bhpc_data[description],SMALL(IF(ISNUMBER(MATCH(bhpc_data[category],$EC$9,0)*MATCH(bhpc_data[sex],$EC$11,0)*MATCH(bhpc_data[size],$EC$13,0)),MATCH(ROW(bhpc_data[sku]),ROW(bhpc_data[sku])),""),ROWS($A$15:A267)+$B$3))))),"")</f>
        <v>BHPC TRAY GIFT BOX PRESTIGE TROPHY</v>
      </c>
      <c r="EG262" s="447">
        <f>IFERROR(IF('BHPC MANAGER'!$EE262="","",INDEX(inventory[ESISTENZA],MATCH('BHPC MANAGER'!$EE262,inventory[SKU],0))),0)</f>
        <v>2000</v>
      </c>
      <c r="EH262" s="448"/>
      <c r="EI262" s="448">
        <f t="shared" si="21"/>
        <v>2000</v>
      </c>
      <c r="EJ262" s="449"/>
      <c r="EK262" s="450">
        <f t="shared" si="22"/>
        <v>2000</v>
      </c>
    </row>
    <row r="263" spans="135:141" x14ac:dyDescent="0.35">
      <c r="EE263" s="439" t="str" cm="1">
        <f t="array" ref="EE263">IFERROR(IF($EC$9="",IF($EC$11="",IF($EC$13="",INDEX(bhpc_data[sku],SMALL(MATCH(ROW(bhpc_data[sku]),ROW(bhpc_data[sku])),ROWS($A$15:A268)+$B$3)),INDEX(bhpc_data[sku],SMALL(IF(ISNUMBER(MATCH(bhpc_data[size],$EC$13,0)),MATCH(ROW(bhpc_data[sku]),ROW(bhpc_data[sku])),""),ROWS($A$15:A268)+$B$3))),IF($EC$13="",INDEX(bhpc_data[sku],SMALL(IF(ISNUMBER(MATCH(bhpc_data[sex],$EC$11,0)),MATCH(ROW(bhpc_data[sku]),ROW(bhpc_data[sku])),""),ROWS($A$15:A268)+$B$3)),INDEX(bhpc_data[sku],SMALL(IF(ISNUMBER(MATCH(bhpc_data[sex],$EC$11,0)*MATCH(bhpc_data[size],$EC$13,0)),MATCH(ROW(bhpc_data[sku]),ROW(bhpc_data[sku])),""),ROWS($A$15:A268)+$B$3)))),IF($EC$11="",IF($EC$13="",INDEX(bhpc_data[sku],SMALL(IF(ISNUMBER(MATCH(bhpc_data[category],$EC$9,0)),MATCH(ROW(bhpc_data[sku]),ROW(bhpc_data[sku])),""),ROWS($A$15:A268)+$B$3)),INDEX(bhpc_data[sku],SMALL(IF(ISNUMBER(MATCH(bhpc_data[category],$EC$9,0)*MATCH(bhpc_data[size],$EC$13,0)),MATCH(ROW(bhpc_data[sku]),ROW(bhpc_data[sku])),""),ROWS($A$15:A268)+$B$3))),IF($EC$13="",INDEX(bhpc_data[sku],SMALL(IF(ISNUMBER(MATCH(bhpc_data[category],$EC$9,0)*MATCH(bhpc_data[sex],$EC$11,0)),MATCH(ROW(bhpc_data[sku]),ROW(bhpc_data[sku])),""),ROWS($A$15:A268)+$B$3)),INDEX(bhpc_data[sku],SMALL(IF(ISNUMBER(MATCH(bhpc_data[category],$EC$9,0)*MATCH(bhpc_data[sex],$EC$11,0)*MATCH(bhpc_data[size],$EC$13,0)),MATCH(ROW(bhpc_data[sku]),ROW(bhpc_data[sku])),""),ROWS($A$15:A268)+$B$3))))),"")</f>
        <v>X99999</v>
      </c>
      <c r="EF263" s="440" t="str" cm="1">
        <f t="array" ref="EF263">IFERROR(IF($EC$9="",IF($EC$11="",IF($EC$13="",INDEX(bhpc_data[description],SMALL(MATCH(ROW(bhpc_data[sku]),ROW(bhpc_data[sku])),ROWS($A$15:A268)+$B$3)),INDEX(bhpc_data[description],SMALL(IF(ISNUMBER(MATCH(bhpc_data[size],$EC$13,0)),MATCH(ROW(bhpc_data[sku]),ROW(bhpc_data[sku])),""),ROWS($A$15:A268)+$B$3))),IF($EC$13="",INDEX(bhpc_data[description],SMALL(IF(ISNUMBER(MATCH(bhpc_data[sex],$EC$11,0)),MATCH(ROW(bhpc_data[sku]),ROW(bhpc_data[sku])),""),ROWS($A$15:A268)+$B$3)),INDEX(bhpc_data[description],SMALL(IF(ISNUMBER(MATCH(bhpc_data[sex],$EC$11,0)*MATCH(bhpc_data[size],$EC$13,0)),MATCH(ROW(bhpc_data[sku]),ROW(bhpc_data[sku])),""),ROWS($A$15:A268)+$B$3)))),IF($EC$11="",IF($EC$13="",INDEX(bhpc_data[description],SMALL(IF(ISNUMBER(MATCH(bhpc_data[category],$EC$9,0)),MATCH(ROW(bhpc_data[sku]),ROW(bhpc_data[sku])),""),ROWS($A$15:A268)+$B$3)),INDEX(bhpc_data[description],SMALL(IF(ISNUMBER(MATCH(bhpc_data[category],$EC$9,0)*MATCH(bhpc_data[size],$EC$13,0)),MATCH(ROW(bhpc_data[sku]),ROW(bhpc_data[sku])),""),ROWS($A$15:A268)+$B$3))),IF($EC$13="",INDEX(bhpc_data[description],SMALL(IF(ISNUMBER(MATCH(bhpc_data[category],$EC$9,0)*MATCH(bhpc_data[sex],$EC$11,0)),MATCH(ROW(bhpc_data[sku]),ROW(bhpc_data[sku])),""),ROWS($A$15:A268)+$B$3)),INDEX(bhpc_data[description],SMALL(IF(ISNUMBER(MATCH(bhpc_data[category],$EC$9,0)*MATCH(bhpc_data[sex],$EC$11,0)*MATCH(bhpc_data[size],$EC$13,0)),MATCH(ROW(bhpc_data[sku]),ROW(bhpc_data[sku])),""),ROWS($A$15:A268)+$B$3))))),"")</f>
        <v>INSTRUCTION STICKERS</v>
      </c>
      <c r="EG263" s="441">
        <f>IFERROR(IF('BHPC MANAGER'!$EE263="","",INDEX(inventory[ESISTENZA],MATCH('BHPC MANAGER'!$EE263,inventory[SKU],0))),0)</f>
        <v>0</v>
      </c>
      <c r="EH263" s="442"/>
      <c r="EI263" s="442">
        <f t="shared" si="21"/>
        <v>0</v>
      </c>
      <c r="EJ263" s="443"/>
      <c r="EK263" s="444">
        <f t="shared" si="22"/>
        <v>0</v>
      </c>
    </row>
    <row r="264" spans="135:141" x14ac:dyDescent="0.35">
      <c r="EE264" s="445" t="str" cm="1">
        <f t="array" ref="EE264">IFERROR(IF($EC$9="",IF($EC$11="",IF($EC$13="",INDEX(bhpc_data[sku],SMALL(MATCH(ROW(bhpc_data[sku]),ROW(bhpc_data[sku])),ROWS($A$15:A269)+$B$3)),INDEX(bhpc_data[sku],SMALL(IF(ISNUMBER(MATCH(bhpc_data[size],$EC$13,0)),MATCH(ROW(bhpc_data[sku]),ROW(bhpc_data[sku])),""),ROWS($A$15:A269)+$B$3))),IF($EC$13="",INDEX(bhpc_data[sku],SMALL(IF(ISNUMBER(MATCH(bhpc_data[sex],$EC$11,0)),MATCH(ROW(bhpc_data[sku]),ROW(bhpc_data[sku])),""),ROWS($A$15:A269)+$B$3)),INDEX(bhpc_data[sku],SMALL(IF(ISNUMBER(MATCH(bhpc_data[sex],$EC$11,0)*MATCH(bhpc_data[size],$EC$13,0)),MATCH(ROW(bhpc_data[sku]),ROW(bhpc_data[sku])),""),ROWS($A$15:A269)+$B$3)))),IF($EC$11="",IF($EC$13="",INDEX(bhpc_data[sku],SMALL(IF(ISNUMBER(MATCH(bhpc_data[category],$EC$9,0)),MATCH(ROW(bhpc_data[sku]),ROW(bhpc_data[sku])),""),ROWS($A$15:A269)+$B$3)),INDEX(bhpc_data[sku],SMALL(IF(ISNUMBER(MATCH(bhpc_data[category],$EC$9,0)*MATCH(bhpc_data[size],$EC$13,0)),MATCH(ROW(bhpc_data[sku]),ROW(bhpc_data[sku])),""),ROWS($A$15:A269)+$B$3))),IF($EC$13="",INDEX(bhpc_data[sku],SMALL(IF(ISNUMBER(MATCH(bhpc_data[category],$EC$9,0)*MATCH(bhpc_data[sex],$EC$11,0)),MATCH(ROW(bhpc_data[sku]),ROW(bhpc_data[sku])),""),ROWS($A$15:A269)+$B$3)),INDEX(bhpc_data[sku],SMALL(IF(ISNUMBER(MATCH(bhpc_data[category],$EC$9,0)*MATCH(bhpc_data[sex],$EC$11,0)*MATCH(bhpc_data[size],$EC$13,0)),MATCH(ROW(bhpc_data[sku]),ROW(bhpc_data[sku])),""),ROWS($A$15:A269)+$B$3))))),"")</f>
        <v/>
      </c>
      <c r="EF264" s="446" t="str" cm="1">
        <f t="array" ref="EF264">IFERROR(IF($EC$9="",IF($EC$11="",IF($EC$13="",INDEX(bhpc_data[description],SMALL(MATCH(ROW(bhpc_data[sku]),ROW(bhpc_data[sku])),ROWS($A$15:A269)+$B$3)),INDEX(bhpc_data[description],SMALL(IF(ISNUMBER(MATCH(bhpc_data[size],$EC$13,0)),MATCH(ROW(bhpc_data[sku]),ROW(bhpc_data[sku])),""),ROWS($A$15:A269)+$B$3))),IF($EC$13="",INDEX(bhpc_data[description],SMALL(IF(ISNUMBER(MATCH(bhpc_data[sex],$EC$11,0)),MATCH(ROW(bhpc_data[sku]),ROW(bhpc_data[sku])),""),ROWS($A$15:A269)+$B$3)),INDEX(bhpc_data[description],SMALL(IF(ISNUMBER(MATCH(bhpc_data[sex],$EC$11,0)*MATCH(bhpc_data[size],$EC$13,0)),MATCH(ROW(bhpc_data[sku]),ROW(bhpc_data[sku])),""),ROWS($A$15:A269)+$B$3)))),IF($EC$11="",IF($EC$13="",INDEX(bhpc_data[description],SMALL(IF(ISNUMBER(MATCH(bhpc_data[category],$EC$9,0)),MATCH(ROW(bhpc_data[sku]),ROW(bhpc_data[sku])),""),ROWS($A$15:A269)+$B$3)),INDEX(bhpc_data[description],SMALL(IF(ISNUMBER(MATCH(bhpc_data[category],$EC$9,0)*MATCH(bhpc_data[size],$EC$13,0)),MATCH(ROW(bhpc_data[sku]),ROW(bhpc_data[sku])),""),ROWS($A$15:A269)+$B$3))),IF($EC$13="",INDEX(bhpc_data[description],SMALL(IF(ISNUMBER(MATCH(bhpc_data[category],$EC$9,0)*MATCH(bhpc_data[sex],$EC$11,0)),MATCH(ROW(bhpc_data[sku]),ROW(bhpc_data[sku])),""),ROWS($A$15:A269)+$B$3)),INDEX(bhpc_data[description],SMALL(IF(ISNUMBER(MATCH(bhpc_data[category],$EC$9,0)*MATCH(bhpc_data[sex],$EC$11,0)*MATCH(bhpc_data[size],$EC$13,0)),MATCH(ROW(bhpc_data[sku]),ROW(bhpc_data[sku])),""),ROWS($A$15:A269)+$B$3))))),"")</f>
        <v/>
      </c>
      <c r="EG264" s="447" t="str">
        <f>IFERROR(IF('BHPC MANAGER'!$EE264="","",INDEX(inventory[ESISTENZA],MATCH('BHPC MANAGER'!$EE264,inventory[SKU],0))),0)</f>
        <v/>
      </c>
      <c r="EH264" s="448"/>
      <c r="EI264" s="448" t="str">
        <f t="shared" si="21"/>
        <v/>
      </c>
      <c r="EJ264" s="449"/>
      <c r="EK264" s="450" t="str">
        <f t="shared" si="22"/>
        <v/>
      </c>
    </row>
    <row r="265" spans="135:141" x14ac:dyDescent="0.35">
      <c r="EE265" s="439" t="str" cm="1">
        <f t="array" ref="EE265">IFERROR(IF($EC$9="",IF($EC$11="",IF($EC$13="",INDEX(bhpc_data[sku],SMALL(MATCH(ROW(bhpc_data[sku]),ROW(bhpc_data[sku])),ROWS($A$15:A270)+$B$3)),INDEX(bhpc_data[sku],SMALL(IF(ISNUMBER(MATCH(bhpc_data[size],$EC$13,0)),MATCH(ROW(bhpc_data[sku]),ROW(bhpc_data[sku])),""),ROWS($A$15:A270)+$B$3))),IF($EC$13="",INDEX(bhpc_data[sku],SMALL(IF(ISNUMBER(MATCH(bhpc_data[sex],$EC$11,0)),MATCH(ROW(bhpc_data[sku]),ROW(bhpc_data[sku])),""),ROWS($A$15:A270)+$B$3)),INDEX(bhpc_data[sku],SMALL(IF(ISNUMBER(MATCH(bhpc_data[sex],$EC$11,0)*MATCH(bhpc_data[size],$EC$13,0)),MATCH(ROW(bhpc_data[sku]),ROW(bhpc_data[sku])),""),ROWS($A$15:A270)+$B$3)))),IF($EC$11="",IF($EC$13="",INDEX(bhpc_data[sku],SMALL(IF(ISNUMBER(MATCH(bhpc_data[category],$EC$9,0)),MATCH(ROW(bhpc_data[sku]),ROW(bhpc_data[sku])),""),ROWS($A$15:A270)+$B$3)),INDEX(bhpc_data[sku],SMALL(IF(ISNUMBER(MATCH(bhpc_data[category],$EC$9,0)*MATCH(bhpc_data[size],$EC$13,0)),MATCH(ROW(bhpc_data[sku]),ROW(bhpc_data[sku])),""),ROWS($A$15:A270)+$B$3))),IF($EC$13="",INDEX(bhpc_data[sku],SMALL(IF(ISNUMBER(MATCH(bhpc_data[category],$EC$9,0)*MATCH(bhpc_data[sex],$EC$11,0)),MATCH(ROW(bhpc_data[sku]),ROW(bhpc_data[sku])),""),ROWS($A$15:A270)+$B$3)),INDEX(bhpc_data[sku],SMALL(IF(ISNUMBER(MATCH(bhpc_data[category],$EC$9,0)*MATCH(bhpc_data[sex],$EC$11,0)*MATCH(bhpc_data[size],$EC$13,0)),MATCH(ROW(bhpc_data[sku]),ROW(bhpc_data[sku])),""),ROWS($A$15:A270)+$B$3))))),"")</f>
        <v/>
      </c>
      <c r="EF265" s="440" t="str" cm="1">
        <f t="array" ref="EF265">IFERROR(IF($EC$9="",IF($EC$11="",IF($EC$13="",INDEX(bhpc_data[description],SMALL(MATCH(ROW(bhpc_data[sku]),ROW(bhpc_data[sku])),ROWS($A$15:A270)+$B$3)),INDEX(bhpc_data[description],SMALL(IF(ISNUMBER(MATCH(bhpc_data[size],$EC$13,0)),MATCH(ROW(bhpc_data[sku]),ROW(bhpc_data[sku])),""),ROWS($A$15:A270)+$B$3))),IF($EC$13="",INDEX(bhpc_data[description],SMALL(IF(ISNUMBER(MATCH(bhpc_data[sex],$EC$11,0)),MATCH(ROW(bhpc_data[sku]),ROW(bhpc_data[sku])),""),ROWS($A$15:A270)+$B$3)),INDEX(bhpc_data[description],SMALL(IF(ISNUMBER(MATCH(bhpc_data[sex],$EC$11,0)*MATCH(bhpc_data[size],$EC$13,0)),MATCH(ROW(bhpc_data[sku]),ROW(bhpc_data[sku])),""),ROWS($A$15:A270)+$B$3)))),IF($EC$11="",IF($EC$13="",INDEX(bhpc_data[description],SMALL(IF(ISNUMBER(MATCH(bhpc_data[category],$EC$9,0)),MATCH(ROW(bhpc_data[sku]),ROW(bhpc_data[sku])),""),ROWS($A$15:A270)+$B$3)),INDEX(bhpc_data[description],SMALL(IF(ISNUMBER(MATCH(bhpc_data[category],$EC$9,0)*MATCH(bhpc_data[size],$EC$13,0)),MATCH(ROW(bhpc_data[sku]),ROW(bhpc_data[sku])),""),ROWS($A$15:A270)+$B$3))),IF($EC$13="",INDEX(bhpc_data[description],SMALL(IF(ISNUMBER(MATCH(bhpc_data[category],$EC$9,0)*MATCH(bhpc_data[sex],$EC$11,0)),MATCH(ROW(bhpc_data[sku]),ROW(bhpc_data[sku])),""),ROWS($A$15:A270)+$B$3)),INDEX(bhpc_data[description],SMALL(IF(ISNUMBER(MATCH(bhpc_data[category],$EC$9,0)*MATCH(bhpc_data[sex],$EC$11,0)*MATCH(bhpc_data[size],$EC$13,0)),MATCH(ROW(bhpc_data[sku]),ROW(bhpc_data[sku])),""),ROWS($A$15:A270)+$B$3))))),"")</f>
        <v/>
      </c>
      <c r="EG265" s="441" t="str">
        <f>IFERROR(IF('BHPC MANAGER'!$EE265="","",INDEX(inventory[ESISTENZA],MATCH('BHPC MANAGER'!$EE265,inventory[SKU],0))),0)</f>
        <v/>
      </c>
      <c r="EH265" s="442"/>
      <c r="EI265" s="442" t="str">
        <f t="shared" si="21"/>
        <v/>
      </c>
      <c r="EJ265" s="443"/>
      <c r="EK265" s="444" t="str">
        <f t="shared" si="22"/>
        <v/>
      </c>
    </row>
    <row r="266" spans="135:141" x14ac:dyDescent="0.35">
      <c r="EE266" s="445" t="str" cm="1">
        <f t="array" ref="EE266">IFERROR(IF($EC$9="",IF($EC$11="",IF($EC$13="",INDEX(bhpc_data[sku],SMALL(MATCH(ROW(bhpc_data[sku]),ROW(bhpc_data[sku])),ROWS($A$15:A271)+$B$3)),INDEX(bhpc_data[sku],SMALL(IF(ISNUMBER(MATCH(bhpc_data[size],$EC$13,0)),MATCH(ROW(bhpc_data[sku]),ROW(bhpc_data[sku])),""),ROWS($A$15:A271)+$B$3))),IF($EC$13="",INDEX(bhpc_data[sku],SMALL(IF(ISNUMBER(MATCH(bhpc_data[sex],$EC$11,0)),MATCH(ROW(bhpc_data[sku]),ROW(bhpc_data[sku])),""),ROWS($A$15:A271)+$B$3)),INDEX(bhpc_data[sku],SMALL(IF(ISNUMBER(MATCH(bhpc_data[sex],$EC$11,0)*MATCH(bhpc_data[size],$EC$13,0)),MATCH(ROW(bhpc_data[sku]),ROW(bhpc_data[sku])),""),ROWS($A$15:A271)+$B$3)))),IF($EC$11="",IF($EC$13="",INDEX(bhpc_data[sku],SMALL(IF(ISNUMBER(MATCH(bhpc_data[category],$EC$9,0)),MATCH(ROW(bhpc_data[sku]),ROW(bhpc_data[sku])),""),ROWS($A$15:A271)+$B$3)),INDEX(bhpc_data[sku],SMALL(IF(ISNUMBER(MATCH(bhpc_data[category],$EC$9,0)*MATCH(bhpc_data[size],$EC$13,0)),MATCH(ROW(bhpc_data[sku]),ROW(bhpc_data[sku])),""),ROWS($A$15:A271)+$B$3))),IF($EC$13="",INDEX(bhpc_data[sku],SMALL(IF(ISNUMBER(MATCH(bhpc_data[category],$EC$9,0)*MATCH(bhpc_data[sex],$EC$11,0)),MATCH(ROW(bhpc_data[sku]),ROW(bhpc_data[sku])),""),ROWS($A$15:A271)+$B$3)),INDEX(bhpc_data[sku],SMALL(IF(ISNUMBER(MATCH(bhpc_data[category],$EC$9,0)*MATCH(bhpc_data[sex],$EC$11,0)*MATCH(bhpc_data[size],$EC$13,0)),MATCH(ROW(bhpc_data[sku]),ROW(bhpc_data[sku])),""),ROWS($A$15:A271)+$B$3))))),"")</f>
        <v/>
      </c>
      <c r="EF266" s="446" t="str" cm="1">
        <f t="array" ref="EF266">IFERROR(IF($EC$9="",IF($EC$11="",IF($EC$13="",INDEX(bhpc_data[description],SMALL(MATCH(ROW(bhpc_data[sku]),ROW(bhpc_data[sku])),ROWS($A$15:A271)+$B$3)),INDEX(bhpc_data[description],SMALL(IF(ISNUMBER(MATCH(bhpc_data[size],$EC$13,0)),MATCH(ROW(bhpc_data[sku]),ROW(bhpc_data[sku])),""),ROWS($A$15:A271)+$B$3))),IF($EC$13="",INDEX(bhpc_data[description],SMALL(IF(ISNUMBER(MATCH(bhpc_data[sex],$EC$11,0)),MATCH(ROW(bhpc_data[sku]),ROW(bhpc_data[sku])),""),ROWS($A$15:A271)+$B$3)),INDEX(bhpc_data[description],SMALL(IF(ISNUMBER(MATCH(bhpc_data[sex],$EC$11,0)*MATCH(bhpc_data[size],$EC$13,0)),MATCH(ROW(bhpc_data[sku]),ROW(bhpc_data[sku])),""),ROWS($A$15:A271)+$B$3)))),IF($EC$11="",IF($EC$13="",INDEX(bhpc_data[description],SMALL(IF(ISNUMBER(MATCH(bhpc_data[category],$EC$9,0)),MATCH(ROW(bhpc_data[sku]),ROW(bhpc_data[sku])),""),ROWS($A$15:A271)+$B$3)),INDEX(bhpc_data[description],SMALL(IF(ISNUMBER(MATCH(bhpc_data[category],$EC$9,0)*MATCH(bhpc_data[size],$EC$13,0)),MATCH(ROW(bhpc_data[sku]),ROW(bhpc_data[sku])),""),ROWS($A$15:A271)+$B$3))),IF($EC$13="",INDEX(bhpc_data[description],SMALL(IF(ISNUMBER(MATCH(bhpc_data[category],$EC$9,0)*MATCH(bhpc_data[sex],$EC$11,0)),MATCH(ROW(bhpc_data[sku]),ROW(bhpc_data[sku])),""),ROWS($A$15:A271)+$B$3)),INDEX(bhpc_data[description],SMALL(IF(ISNUMBER(MATCH(bhpc_data[category],$EC$9,0)*MATCH(bhpc_data[sex],$EC$11,0)*MATCH(bhpc_data[size],$EC$13,0)),MATCH(ROW(bhpc_data[sku]),ROW(bhpc_data[sku])),""),ROWS($A$15:A271)+$B$3))))),"")</f>
        <v/>
      </c>
      <c r="EG266" s="447" t="str">
        <f>IFERROR(IF('BHPC MANAGER'!$EE266="","",INDEX(inventory[ESISTENZA],MATCH('BHPC MANAGER'!$EE266,inventory[SKU],0))),0)</f>
        <v/>
      </c>
      <c r="EH266" s="448"/>
      <c r="EI266" s="448" t="str">
        <f t="shared" si="21"/>
        <v/>
      </c>
      <c r="EJ266" s="449"/>
      <c r="EK266" s="450" t="str">
        <f t="shared" si="22"/>
        <v/>
      </c>
    </row>
    <row r="267" spans="135:141" x14ac:dyDescent="0.35">
      <c r="EE267" s="439" t="str" cm="1">
        <f t="array" ref="EE267">IFERROR(IF($EC$9="",IF($EC$11="",IF($EC$13="",INDEX(bhpc_data[sku],SMALL(MATCH(ROW(bhpc_data[sku]),ROW(bhpc_data[sku])),ROWS($A$15:A272)+$B$3)),INDEX(bhpc_data[sku],SMALL(IF(ISNUMBER(MATCH(bhpc_data[size],$EC$13,0)),MATCH(ROW(bhpc_data[sku]),ROW(bhpc_data[sku])),""),ROWS($A$15:A272)+$B$3))),IF($EC$13="",INDEX(bhpc_data[sku],SMALL(IF(ISNUMBER(MATCH(bhpc_data[sex],$EC$11,0)),MATCH(ROW(bhpc_data[sku]),ROW(bhpc_data[sku])),""),ROWS($A$15:A272)+$B$3)),INDEX(bhpc_data[sku],SMALL(IF(ISNUMBER(MATCH(bhpc_data[sex],$EC$11,0)*MATCH(bhpc_data[size],$EC$13,0)),MATCH(ROW(bhpc_data[sku]),ROW(bhpc_data[sku])),""),ROWS($A$15:A272)+$B$3)))),IF($EC$11="",IF($EC$13="",INDEX(bhpc_data[sku],SMALL(IF(ISNUMBER(MATCH(bhpc_data[category],$EC$9,0)),MATCH(ROW(bhpc_data[sku]),ROW(bhpc_data[sku])),""),ROWS($A$15:A272)+$B$3)),INDEX(bhpc_data[sku],SMALL(IF(ISNUMBER(MATCH(bhpc_data[category],$EC$9,0)*MATCH(bhpc_data[size],$EC$13,0)),MATCH(ROW(bhpc_data[sku]),ROW(bhpc_data[sku])),""),ROWS($A$15:A272)+$B$3))),IF($EC$13="",INDEX(bhpc_data[sku],SMALL(IF(ISNUMBER(MATCH(bhpc_data[category],$EC$9,0)*MATCH(bhpc_data[sex],$EC$11,0)),MATCH(ROW(bhpc_data[sku]),ROW(bhpc_data[sku])),""),ROWS($A$15:A272)+$B$3)),INDEX(bhpc_data[sku],SMALL(IF(ISNUMBER(MATCH(bhpc_data[category],$EC$9,0)*MATCH(bhpc_data[sex],$EC$11,0)*MATCH(bhpc_data[size],$EC$13,0)),MATCH(ROW(bhpc_data[sku]),ROW(bhpc_data[sku])),""),ROWS($A$15:A272)+$B$3))))),"")</f>
        <v/>
      </c>
      <c r="EF267" s="440" t="str" cm="1">
        <f t="array" ref="EF267">IFERROR(IF($EC$9="",IF($EC$11="",IF($EC$13="",INDEX(bhpc_data[description],SMALL(MATCH(ROW(bhpc_data[sku]),ROW(bhpc_data[sku])),ROWS($A$15:A272)+$B$3)),INDEX(bhpc_data[description],SMALL(IF(ISNUMBER(MATCH(bhpc_data[size],$EC$13,0)),MATCH(ROW(bhpc_data[sku]),ROW(bhpc_data[sku])),""),ROWS($A$15:A272)+$B$3))),IF($EC$13="",INDEX(bhpc_data[description],SMALL(IF(ISNUMBER(MATCH(bhpc_data[sex],$EC$11,0)),MATCH(ROW(bhpc_data[sku]),ROW(bhpc_data[sku])),""),ROWS($A$15:A272)+$B$3)),INDEX(bhpc_data[description],SMALL(IF(ISNUMBER(MATCH(bhpc_data[sex],$EC$11,0)*MATCH(bhpc_data[size],$EC$13,0)),MATCH(ROW(bhpc_data[sku]),ROW(bhpc_data[sku])),""),ROWS($A$15:A272)+$B$3)))),IF($EC$11="",IF($EC$13="",INDEX(bhpc_data[description],SMALL(IF(ISNUMBER(MATCH(bhpc_data[category],$EC$9,0)),MATCH(ROW(bhpc_data[sku]),ROW(bhpc_data[sku])),""),ROWS($A$15:A272)+$B$3)),INDEX(bhpc_data[description],SMALL(IF(ISNUMBER(MATCH(bhpc_data[category],$EC$9,0)*MATCH(bhpc_data[size],$EC$13,0)),MATCH(ROW(bhpc_data[sku]),ROW(bhpc_data[sku])),""),ROWS($A$15:A272)+$B$3))),IF($EC$13="",INDEX(bhpc_data[description],SMALL(IF(ISNUMBER(MATCH(bhpc_data[category],$EC$9,0)*MATCH(bhpc_data[sex],$EC$11,0)),MATCH(ROW(bhpc_data[sku]),ROW(bhpc_data[sku])),""),ROWS($A$15:A272)+$B$3)),INDEX(bhpc_data[description],SMALL(IF(ISNUMBER(MATCH(bhpc_data[category],$EC$9,0)*MATCH(bhpc_data[sex],$EC$11,0)*MATCH(bhpc_data[size],$EC$13,0)),MATCH(ROW(bhpc_data[sku]),ROW(bhpc_data[sku])),""),ROWS($A$15:A272)+$B$3))))),"")</f>
        <v/>
      </c>
      <c r="EG267" s="441" t="str">
        <f>IFERROR(IF('BHPC MANAGER'!$EE267="","",INDEX(inventory[ESISTENZA],MATCH('BHPC MANAGER'!$EE267,inventory[SKU],0))),0)</f>
        <v/>
      </c>
      <c r="EH267" s="442"/>
      <c r="EI267" s="442" t="str">
        <f t="shared" si="21"/>
        <v/>
      </c>
      <c r="EJ267" s="443"/>
      <c r="EK267" s="444" t="str">
        <f t="shared" si="22"/>
        <v/>
      </c>
    </row>
    <row r="268" spans="135:141" x14ac:dyDescent="0.35">
      <c r="EE268" s="445" t="str" cm="1">
        <f t="array" ref="EE268">IFERROR(IF($EC$9="",IF($EC$11="",IF($EC$13="",INDEX(bhpc_data[sku],SMALL(MATCH(ROW(bhpc_data[sku]),ROW(bhpc_data[sku])),ROWS($A$15:A273)+$B$3)),INDEX(bhpc_data[sku],SMALL(IF(ISNUMBER(MATCH(bhpc_data[size],$EC$13,0)),MATCH(ROW(bhpc_data[sku]),ROW(bhpc_data[sku])),""),ROWS($A$15:A273)+$B$3))),IF($EC$13="",INDEX(bhpc_data[sku],SMALL(IF(ISNUMBER(MATCH(bhpc_data[sex],$EC$11,0)),MATCH(ROW(bhpc_data[sku]),ROW(bhpc_data[sku])),""),ROWS($A$15:A273)+$B$3)),INDEX(bhpc_data[sku],SMALL(IF(ISNUMBER(MATCH(bhpc_data[sex],$EC$11,0)*MATCH(bhpc_data[size],$EC$13,0)),MATCH(ROW(bhpc_data[sku]),ROW(bhpc_data[sku])),""),ROWS($A$15:A273)+$B$3)))),IF($EC$11="",IF($EC$13="",INDEX(bhpc_data[sku],SMALL(IF(ISNUMBER(MATCH(bhpc_data[category],$EC$9,0)),MATCH(ROW(bhpc_data[sku]),ROW(bhpc_data[sku])),""),ROWS($A$15:A273)+$B$3)),INDEX(bhpc_data[sku],SMALL(IF(ISNUMBER(MATCH(bhpc_data[category],$EC$9,0)*MATCH(bhpc_data[size],$EC$13,0)),MATCH(ROW(bhpc_data[sku]),ROW(bhpc_data[sku])),""),ROWS($A$15:A273)+$B$3))),IF($EC$13="",INDEX(bhpc_data[sku],SMALL(IF(ISNUMBER(MATCH(bhpc_data[category],$EC$9,0)*MATCH(bhpc_data[sex],$EC$11,0)),MATCH(ROW(bhpc_data[sku]),ROW(bhpc_data[sku])),""),ROWS($A$15:A273)+$B$3)),INDEX(bhpc_data[sku],SMALL(IF(ISNUMBER(MATCH(bhpc_data[category],$EC$9,0)*MATCH(bhpc_data[sex],$EC$11,0)*MATCH(bhpc_data[size],$EC$13,0)),MATCH(ROW(bhpc_data[sku]),ROW(bhpc_data[sku])),""),ROWS($A$15:A273)+$B$3))))),"")</f>
        <v/>
      </c>
      <c r="EF268" s="446" t="str" cm="1">
        <f t="array" ref="EF268">IFERROR(IF($EC$9="",IF($EC$11="",IF($EC$13="",INDEX(bhpc_data[description],SMALL(MATCH(ROW(bhpc_data[sku]),ROW(bhpc_data[sku])),ROWS($A$15:A273)+$B$3)),INDEX(bhpc_data[description],SMALL(IF(ISNUMBER(MATCH(bhpc_data[size],$EC$13,0)),MATCH(ROW(bhpc_data[sku]),ROW(bhpc_data[sku])),""),ROWS($A$15:A273)+$B$3))),IF($EC$13="",INDEX(bhpc_data[description],SMALL(IF(ISNUMBER(MATCH(bhpc_data[sex],$EC$11,0)),MATCH(ROW(bhpc_data[sku]),ROW(bhpc_data[sku])),""),ROWS($A$15:A273)+$B$3)),INDEX(bhpc_data[description],SMALL(IF(ISNUMBER(MATCH(bhpc_data[sex],$EC$11,0)*MATCH(bhpc_data[size],$EC$13,0)),MATCH(ROW(bhpc_data[sku]),ROW(bhpc_data[sku])),""),ROWS($A$15:A273)+$B$3)))),IF($EC$11="",IF($EC$13="",INDEX(bhpc_data[description],SMALL(IF(ISNUMBER(MATCH(bhpc_data[category],$EC$9,0)),MATCH(ROW(bhpc_data[sku]),ROW(bhpc_data[sku])),""),ROWS($A$15:A273)+$B$3)),INDEX(bhpc_data[description],SMALL(IF(ISNUMBER(MATCH(bhpc_data[category],$EC$9,0)*MATCH(bhpc_data[size],$EC$13,0)),MATCH(ROW(bhpc_data[sku]),ROW(bhpc_data[sku])),""),ROWS($A$15:A273)+$B$3))),IF($EC$13="",INDEX(bhpc_data[description],SMALL(IF(ISNUMBER(MATCH(bhpc_data[category],$EC$9,0)*MATCH(bhpc_data[sex],$EC$11,0)),MATCH(ROW(bhpc_data[sku]),ROW(bhpc_data[sku])),""),ROWS($A$15:A273)+$B$3)),INDEX(bhpc_data[description],SMALL(IF(ISNUMBER(MATCH(bhpc_data[category],$EC$9,0)*MATCH(bhpc_data[sex],$EC$11,0)*MATCH(bhpc_data[size],$EC$13,0)),MATCH(ROW(bhpc_data[sku]),ROW(bhpc_data[sku])),""),ROWS($A$15:A273)+$B$3))))),"")</f>
        <v/>
      </c>
      <c r="EG268" s="447" t="str">
        <f>IFERROR(IF('BHPC MANAGER'!$EE268="","",INDEX(inventory[ESISTENZA],MATCH('BHPC MANAGER'!$EE268,inventory[SKU],0))),0)</f>
        <v/>
      </c>
      <c r="EH268" s="448"/>
      <c r="EI268" s="448" t="str">
        <f t="shared" si="21"/>
        <v/>
      </c>
      <c r="EJ268" s="449"/>
      <c r="EK268" s="450" t="str">
        <f t="shared" si="22"/>
        <v/>
      </c>
    </row>
    <row r="269" spans="135:141" x14ac:dyDescent="0.35">
      <c r="EE269" s="439" t="str" cm="1">
        <f t="array" ref="EE269">IFERROR(IF($EC$9="",IF($EC$11="",IF($EC$13="",INDEX(bhpc_data[sku],SMALL(MATCH(ROW(bhpc_data[sku]),ROW(bhpc_data[sku])),ROWS($A$15:A274)+$B$3)),INDEX(bhpc_data[sku],SMALL(IF(ISNUMBER(MATCH(bhpc_data[size],$EC$13,0)),MATCH(ROW(bhpc_data[sku]),ROW(bhpc_data[sku])),""),ROWS($A$15:A274)+$B$3))),IF($EC$13="",INDEX(bhpc_data[sku],SMALL(IF(ISNUMBER(MATCH(bhpc_data[sex],$EC$11,0)),MATCH(ROW(bhpc_data[sku]),ROW(bhpc_data[sku])),""),ROWS($A$15:A274)+$B$3)),INDEX(bhpc_data[sku],SMALL(IF(ISNUMBER(MATCH(bhpc_data[sex],$EC$11,0)*MATCH(bhpc_data[size],$EC$13,0)),MATCH(ROW(bhpc_data[sku]),ROW(bhpc_data[sku])),""),ROWS($A$15:A274)+$B$3)))),IF($EC$11="",IF($EC$13="",INDEX(bhpc_data[sku],SMALL(IF(ISNUMBER(MATCH(bhpc_data[category],$EC$9,0)),MATCH(ROW(bhpc_data[sku]),ROW(bhpc_data[sku])),""),ROWS($A$15:A274)+$B$3)),INDEX(bhpc_data[sku],SMALL(IF(ISNUMBER(MATCH(bhpc_data[category],$EC$9,0)*MATCH(bhpc_data[size],$EC$13,0)),MATCH(ROW(bhpc_data[sku]),ROW(bhpc_data[sku])),""),ROWS($A$15:A274)+$B$3))),IF($EC$13="",INDEX(bhpc_data[sku],SMALL(IF(ISNUMBER(MATCH(bhpc_data[category],$EC$9,0)*MATCH(bhpc_data[sex],$EC$11,0)),MATCH(ROW(bhpc_data[sku]),ROW(bhpc_data[sku])),""),ROWS($A$15:A274)+$B$3)),INDEX(bhpc_data[sku],SMALL(IF(ISNUMBER(MATCH(bhpc_data[category],$EC$9,0)*MATCH(bhpc_data[sex],$EC$11,0)*MATCH(bhpc_data[size],$EC$13,0)),MATCH(ROW(bhpc_data[sku]),ROW(bhpc_data[sku])),""),ROWS($A$15:A274)+$B$3))))),"")</f>
        <v/>
      </c>
      <c r="EF269" s="440" t="str" cm="1">
        <f t="array" ref="EF269">IFERROR(IF($EC$9="",IF($EC$11="",IF($EC$13="",INDEX(bhpc_data[description],SMALL(MATCH(ROW(bhpc_data[sku]),ROW(bhpc_data[sku])),ROWS($A$15:A274)+$B$3)),INDEX(bhpc_data[description],SMALL(IF(ISNUMBER(MATCH(bhpc_data[size],$EC$13,0)),MATCH(ROW(bhpc_data[sku]),ROW(bhpc_data[sku])),""),ROWS($A$15:A274)+$B$3))),IF($EC$13="",INDEX(bhpc_data[description],SMALL(IF(ISNUMBER(MATCH(bhpc_data[sex],$EC$11,0)),MATCH(ROW(bhpc_data[sku]),ROW(bhpc_data[sku])),""),ROWS($A$15:A274)+$B$3)),INDEX(bhpc_data[description],SMALL(IF(ISNUMBER(MATCH(bhpc_data[sex],$EC$11,0)*MATCH(bhpc_data[size],$EC$13,0)),MATCH(ROW(bhpc_data[sku]),ROW(bhpc_data[sku])),""),ROWS($A$15:A274)+$B$3)))),IF($EC$11="",IF($EC$13="",INDEX(bhpc_data[description],SMALL(IF(ISNUMBER(MATCH(bhpc_data[category],$EC$9,0)),MATCH(ROW(bhpc_data[sku]),ROW(bhpc_data[sku])),""),ROWS($A$15:A274)+$B$3)),INDEX(bhpc_data[description],SMALL(IF(ISNUMBER(MATCH(bhpc_data[category],$EC$9,0)*MATCH(bhpc_data[size],$EC$13,0)),MATCH(ROW(bhpc_data[sku]),ROW(bhpc_data[sku])),""),ROWS($A$15:A274)+$B$3))),IF($EC$13="",INDEX(bhpc_data[description],SMALL(IF(ISNUMBER(MATCH(bhpc_data[category],$EC$9,0)*MATCH(bhpc_data[sex],$EC$11,0)),MATCH(ROW(bhpc_data[sku]),ROW(bhpc_data[sku])),""),ROWS($A$15:A274)+$B$3)),INDEX(bhpc_data[description],SMALL(IF(ISNUMBER(MATCH(bhpc_data[category],$EC$9,0)*MATCH(bhpc_data[sex],$EC$11,0)*MATCH(bhpc_data[size],$EC$13,0)),MATCH(ROW(bhpc_data[sku]),ROW(bhpc_data[sku])),""),ROWS($A$15:A274)+$B$3))))),"")</f>
        <v/>
      </c>
      <c r="EG269" s="441" t="str">
        <f>IFERROR(IF('BHPC MANAGER'!$EE269="","",INDEX(inventory[ESISTENZA],MATCH('BHPC MANAGER'!$EE269,inventory[SKU],0))),0)</f>
        <v/>
      </c>
      <c r="EH269" s="442"/>
      <c r="EI269" s="442" t="str">
        <f t="shared" si="21"/>
        <v/>
      </c>
      <c r="EJ269" s="443"/>
      <c r="EK269" s="444" t="str">
        <f t="shared" si="22"/>
        <v/>
      </c>
    </row>
    <row r="270" spans="135:141" x14ac:dyDescent="0.35">
      <c r="EE270" s="445" t="str" cm="1">
        <f t="array" ref="EE270">IFERROR(IF($EC$9="",IF($EC$11="",IF($EC$13="",INDEX(bhpc_data[sku],SMALL(MATCH(ROW(bhpc_data[sku]),ROW(bhpc_data[sku])),ROWS($A$15:A275)+$B$3)),INDEX(bhpc_data[sku],SMALL(IF(ISNUMBER(MATCH(bhpc_data[size],$EC$13,0)),MATCH(ROW(bhpc_data[sku]),ROW(bhpc_data[sku])),""),ROWS($A$15:A275)+$B$3))),IF($EC$13="",INDEX(bhpc_data[sku],SMALL(IF(ISNUMBER(MATCH(bhpc_data[sex],$EC$11,0)),MATCH(ROW(bhpc_data[sku]),ROW(bhpc_data[sku])),""),ROWS($A$15:A275)+$B$3)),INDEX(bhpc_data[sku],SMALL(IF(ISNUMBER(MATCH(bhpc_data[sex],$EC$11,0)*MATCH(bhpc_data[size],$EC$13,0)),MATCH(ROW(bhpc_data[sku]),ROW(bhpc_data[sku])),""),ROWS($A$15:A275)+$B$3)))),IF($EC$11="",IF($EC$13="",INDEX(bhpc_data[sku],SMALL(IF(ISNUMBER(MATCH(bhpc_data[category],$EC$9,0)),MATCH(ROW(bhpc_data[sku]),ROW(bhpc_data[sku])),""),ROWS($A$15:A275)+$B$3)),INDEX(bhpc_data[sku],SMALL(IF(ISNUMBER(MATCH(bhpc_data[category],$EC$9,0)*MATCH(bhpc_data[size],$EC$13,0)),MATCH(ROW(bhpc_data[sku]),ROW(bhpc_data[sku])),""),ROWS($A$15:A275)+$B$3))),IF($EC$13="",INDEX(bhpc_data[sku],SMALL(IF(ISNUMBER(MATCH(bhpc_data[category],$EC$9,0)*MATCH(bhpc_data[sex],$EC$11,0)),MATCH(ROW(bhpc_data[sku]),ROW(bhpc_data[sku])),""),ROWS($A$15:A275)+$B$3)),INDEX(bhpc_data[sku],SMALL(IF(ISNUMBER(MATCH(bhpc_data[category],$EC$9,0)*MATCH(bhpc_data[sex],$EC$11,0)*MATCH(bhpc_data[size],$EC$13,0)),MATCH(ROW(bhpc_data[sku]),ROW(bhpc_data[sku])),""),ROWS($A$15:A275)+$B$3))))),"")</f>
        <v/>
      </c>
      <c r="EF270" s="446" t="str" cm="1">
        <f t="array" ref="EF270">IFERROR(IF($EC$9="",IF($EC$11="",IF($EC$13="",INDEX(bhpc_data[description],SMALL(MATCH(ROW(bhpc_data[sku]),ROW(bhpc_data[sku])),ROWS($A$15:A275)+$B$3)),INDEX(bhpc_data[description],SMALL(IF(ISNUMBER(MATCH(bhpc_data[size],$EC$13,0)),MATCH(ROW(bhpc_data[sku]),ROW(bhpc_data[sku])),""),ROWS($A$15:A275)+$B$3))),IF($EC$13="",INDEX(bhpc_data[description],SMALL(IF(ISNUMBER(MATCH(bhpc_data[sex],$EC$11,0)),MATCH(ROW(bhpc_data[sku]),ROW(bhpc_data[sku])),""),ROWS($A$15:A275)+$B$3)),INDEX(bhpc_data[description],SMALL(IF(ISNUMBER(MATCH(bhpc_data[sex],$EC$11,0)*MATCH(bhpc_data[size],$EC$13,0)),MATCH(ROW(bhpc_data[sku]),ROW(bhpc_data[sku])),""),ROWS($A$15:A275)+$B$3)))),IF($EC$11="",IF($EC$13="",INDEX(bhpc_data[description],SMALL(IF(ISNUMBER(MATCH(bhpc_data[category],$EC$9,0)),MATCH(ROW(bhpc_data[sku]),ROW(bhpc_data[sku])),""),ROWS($A$15:A275)+$B$3)),INDEX(bhpc_data[description],SMALL(IF(ISNUMBER(MATCH(bhpc_data[category],$EC$9,0)*MATCH(bhpc_data[size],$EC$13,0)),MATCH(ROW(bhpc_data[sku]),ROW(bhpc_data[sku])),""),ROWS($A$15:A275)+$B$3))),IF($EC$13="",INDEX(bhpc_data[description],SMALL(IF(ISNUMBER(MATCH(bhpc_data[category],$EC$9,0)*MATCH(bhpc_data[sex],$EC$11,0)),MATCH(ROW(bhpc_data[sku]),ROW(bhpc_data[sku])),""),ROWS($A$15:A275)+$B$3)),INDEX(bhpc_data[description],SMALL(IF(ISNUMBER(MATCH(bhpc_data[category],$EC$9,0)*MATCH(bhpc_data[sex],$EC$11,0)*MATCH(bhpc_data[size],$EC$13,0)),MATCH(ROW(bhpc_data[sku]),ROW(bhpc_data[sku])),""),ROWS($A$15:A275)+$B$3))))),"")</f>
        <v/>
      </c>
      <c r="EG270" s="447" t="str">
        <f>IFERROR(IF('BHPC MANAGER'!$EE270="","",INDEX(inventory[ESISTENZA],MATCH('BHPC MANAGER'!$EE270,inventory[SKU],0))),0)</f>
        <v/>
      </c>
      <c r="EH270" s="448"/>
      <c r="EI270" s="448" t="str">
        <f t="shared" si="21"/>
        <v/>
      </c>
      <c r="EJ270" s="449"/>
      <c r="EK270" s="450" t="str">
        <f t="shared" si="22"/>
        <v/>
      </c>
    </row>
    <row r="271" spans="135:141" x14ac:dyDescent="0.35">
      <c r="EE271" s="439" t="str" cm="1">
        <f t="array" ref="EE271">IFERROR(IF($EC$9="",IF($EC$11="",IF($EC$13="",INDEX(bhpc_data[sku],SMALL(MATCH(ROW(bhpc_data[sku]),ROW(bhpc_data[sku])),ROWS($A$15:A276)+$B$3)),INDEX(bhpc_data[sku],SMALL(IF(ISNUMBER(MATCH(bhpc_data[size],$EC$13,0)),MATCH(ROW(bhpc_data[sku]),ROW(bhpc_data[sku])),""),ROWS($A$15:A276)+$B$3))),IF($EC$13="",INDEX(bhpc_data[sku],SMALL(IF(ISNUMBER(MATCH(bhpc_data[sex],$EC$11,0)),MATCH(ROW(bhpc_data[sku]),ROW(bhpc_data[sku])),""),ROWS($A$15:A276)+$B$3)),INDEX(bhpc_data[sku],SMALL(IF(ISNUMBER(MATCH(bhpc_data[sex],$EC$11,0)*MATCH(bhpc_data[size],$EC$13,0)),MATCH(ROW(bhpc_data[sku]),ROW(bhpc_data[sku])),""),ROWS($A$15:A276)+$B$3)))),IF($EC$11="",IF($EC$13="",INDEX(bhpc_data[sku],SMALL(IF(ISNUMBER(MATCH(bhpc_data[category],$EC$9,0)),MATCH(ROW(bhpc_data[sku]),ROW(bhpc_data[sku])),""),ROWS($A$15:A276)+$B$3)),INDEX(bhpc_data[sku],SMALL(IF(ISNUMBER(MATCH(bhpc_data[category],$EC$9,0)*MATCH(bhpc_data[size],$EC$13,0)),MATCH(ROW(bhpc_data[sku]),ROW(bhpc_data[sku])),""),ROWS($A$15:A276)+$B$3))),IF($EC$13="",INDEX(bhpc_data[sku],SMALL(IF(ISNUMBER(MATCH(bhpc_data[category],$EC$9,0)*MATCH(bhpc_data[sex],$EC$11,0)),MATCH(ROW(bhpc_data[sku]),ROW(bhpc_data[sku])),""),ROWS($A$15:A276)+$B$3)),INDEX(bhpc_data[sku],SMALL(IF(ISNUMBER(MATCH(bhpc_data[category],$EC$9,0)*MATCH(bhpc_data[sex],$EC$11,0)*MATCH(bhpc_data[size],$EC$13,0)),MATCH(ROW(bhpc_data[sku]),ROW(bhpc_data[sku])),""),ROWS($A$15:A276)+$B$3))))),"")</f>
        <v/>
      </c>
      <c r="EF271" s="440" t="str" cm="1">
        <f t="array" ref="EF271">IFERROR(IF($EC$9="",IF($EC$11="",IF($EC$13="",INDEX(bhpc_data[description],SMALL(MATCH(ROW(bhpc_data[sku]),ROW(bhpc_data[sku])),ROWS($A$15:A276)+$B$3)),INDEX(bhpc_data[description],SMALL(IF(ISNUMBER(MATCH(bhpc_data[size],$EC$13,0)),MATCH(ROW(bhpc_data[sku]),ROW(bhpc_data[sku])),""),ROWS($A$15:A276)+$B$3))),IF($EC$13="",INDEX(bhpc_data[description],SMALL(IF(ISNUMBER(MATCH(bhpc_data[sex],$EC$11,0)),MATCH(ROW(bhpc_data[sku]),ROW(bhpc_data[sku])),""),ROWS($A$15:A276)+$B$3)),INDEX(bhpc_data[description],SMALL(IF(ISNUMBER(MATCH(bhpc_data[sex],$EC$11,0)*MATCH(bhpc_data[size],$EC$13,0)),MATCH(ROW(bhpc_data[sku]),ROW(bhpc_data[sku])),""),ROWS($A$15:A276)+$B$3)))),IF($EC$11="",IF($EC$13="",INDEX(bhpc_data[description],SMALL(IF(ISNUMBER(MATCH(bhpc_data[category],$EC$9,0)),MATCH(ROW(bhpc_data[sku]),ROW(bhpc_data[sku])),""),ROWS($A$15:A276)+$B$3)),INDEX(bhpc_data[description],SMALL(IF(ISNUMBER(MATCH(bhpc_data[category],$EC$9,0)*MATCH(bhpc_data[size],$EC$13,0)),MATCH(ROW(bhpc_data[sku]),ROW(bhpc_data[sku])),""),ROWS($A$15:A276)+$B$3))),IF($EC$13="",INDEX(bhpc_data[description],SMALL(IF(ISNUMBER(MATCH(bhpc_data[category],$EC$9,0)*MATCH(bhpc_data[sex],$EC$11,0)),MATCH(ROW(bhpc_data[sku]),ROW(bhpc_data[sku])),""),ROWS($A$15:A276)+$B$3)),INDEX(bhpc_data[description],SMALL(IF(ISNUMBER(MATCH(bhpc_data[category],$EC$9,0)*MATCH(bhpc_data[sex],$EC$11,0)*MATCH(bhpc_data[size],$EC$13,0)),MATCH(ROW(bhpc_data[sku]),ROW(bhpc_data[sku])),""),ROWS($A$15:A276)+$B$3))))),"")</f>
        <v/>
      </c>
      <c r="EG271" s="441" t="str">
        <f>IFERROR(IF('BHPC MANAGER'!$EE271="","",INDEX(inventory[ESISTENZA],MATCH('BHPC MANAGER'!$EE271,inventory[SKU],0))),0)</f>
        <v/>
      </c>
      <c r="EH271" s="442"/>
      <c r="EI271" s="442" t="str">
        <f t="shared" si="21"/>
        <v/>
      </c>
      <c r="EJ271" s="443"/>
      <c r="EK271" s="444" t="str">
        <f t="shared" si="22"/>
        <v/>
      </c>
    </row>
    <row r="272" spans="135:141" x14ac:dyDescent="0.35">
      <c r="EE272" s="445" t="str" cm="1">
        <f t="array" ref="EE272">IFERROR(IF($EC$9="",IF($EC$11="",IF($EC$13="",INDEX(bhpc_data[sku],SMALL(MATCH(ROW(bhpc_data[sku]),ROW(bhpc_data[sku])),ROWS($A$15:A277)+$B$3)),INDEX(bhpc_data[sku],SMALL(IF(ISNUMBER(MATCH(bhpc_data[size],$EC$13,0)),MATCH(ROW(bhpc_data[sku]),ROW(bhpc_data[sku])),""),ROWS($A$15:A277)+$B$3))),IF($EC$13="",INDEX(bhpc_data[sku],SMALL(IF(ISNUMBER(MATCH(bhpc_data[sex],$EC$11,0)),MATCH(ROW(bhpc_data[sku]),ROW(bhpc_data[sku])),""),ROWS($A$15:A277)+$B$3)),INDEX(bhpc_data[sku],SMALL(IF(ISNUMBER(MATCH(bhpc_data[sex],$EC$11,0)*MATCH(bhpc_data[size],$EC$13,0)),MATCH(ROW(bhpc_data[sku]),ROW(bhpc_data[sku])),""),ROWS($A$15:A277)+$B$3)))),IF($EC$11="",IF($EC$13="",INDEX(bhpc_data[sku],SMALL(IF(ISNUMBER(MATCH(bhpc_data[category],$EC$9,0)),MATCH(ROW(bhpc_data[sku]),ROW(bhpc_data[sku])),""),ROWS($A$15:A277)+$B$3)),INDEX(bhpc_data[sku],SMALL(IF(ISNUMBER(MATCH(bhpc_data[category],$EC$9,0)*MATCH(bhpc_data[size],$EC$13,0)),MATCH(ROW(bhpc_data[sku]),ROW(bhpc_data[sku])),""),ROWS($A$15:A277)+$B$3))),IF($EC$13="",INDEX(bhpc_data[sku],SMALL(IF(ISNUMBER(MATCH(bhpc_data[category],$EC$9,0)*MATCH(bhpc_data[sex],$EC$11,0)),MATCH(ROW(bhpc_data[sku]),ROW(bhpc_data[sku])),""),ROWS($A$15:A277)+$B$3)),INDEX(bhpc_data[sku],SMALL(IF(ISNUMBER(MATCH(bhpc_data[category],$EC$9,0)*MATCH(bhpc_data[sex],$EC$11,0)*MATCH(bhpc_data[size],$EC$13,0)),MATCH(ROW(bhpc_data[sku]),ROW(bhpc_data[sku])),""),ROWS($A$15:A277)+$B$3))))),"")</f>
        <v/>
      </c>
      <c r="EF272" s="446" t="str" cm="1">
        <f t="array" ref="EF272">IFERROR(IF($EC$9="",IF($EC$11="",IF($EC$13="",INDEX(bhpc_data[description],SMALL(MATCH(ROW(bhpc_data[sku]),ROW(bhpc_data[sku])),ROWS($A$15:A277)+$B$3)),INDEX(bhpc_data[description],SMALL(IF(ISNUMBER(MATCH(bhpc_data[size],$EC$13,0)),MATCH(ROW(bhpc_data[sku]),ROW(bhpc_data[sku])),""),ROWS($A$15:A277)+$B$3))),IF($EC$13="",INDEX(bhpc_data[description],SMALL(IF(ISNUMBER(MATCH(bhpc_data[sex],$EC$11,0)),MATCH(ROW(bhpc_data[sku]),ROW(bhpc_data[sku])),""),ROWS($A$15:A277)+$B$3)),INDEX(bhpc_data[description],SMALL(IF(ISNUMBER(MATCH(bhpc_data[sex],$EC$11,0)*MATCH(bhpc_data[size],$EC$13,0)),MATCH(ROW(bhpc_data[sku]),ROW(bhpc_data[sku])),""),ROWS($A$15:A277)+$B$3)))),IF($EC$11="",IF($EC$13="",INDEX(bhpc_data[description],SMALL(IF(ISNUMBER(MATCH(bhpc_data[category],$EC$9,0)),MATCH(ROW(bhpc_data[sku]),ROW(bhpc_data[sku])),""),ROWS($A$15:A277)+$B$3)),INDEX(bhpc_data[description],SMALL(IF(ISNUMBER(MATCH(bhpc_data[category],$EC$9,0)*MATCH(bhpc_data[size],$EC$13,0)),MATCH(ROW(bhpc_data[sku]),ROW(bhpc_data[sku])),""),ROWS($A$15:A277)+$B$3))),IF($EC$13="",INDEX(bhpc_data[description],SMALL(IF(ISNUMBER(MATCH(bhpc_data[category],$EC$9,0)*MATCH(bhpc_data[sex],$EC$11,0)),MATCH(ROW(bhpc_data[sku]),ROW(bhpc_data[sku])),""),ROWS($A$15:A277)+$B$3)),INDEX(bhpc_data[description],SMALL(IF(ISNUMBER(MATCH(bhpc_data[category],$EC$9,0)*MATCH(bhpc_data[sex],$EC$11,0)*MATCH(bhpc_data[size],$EC$13,0)),MATCH(ROW(bhpc_data[sku]),ROW(bhpc_data[sku])),""),ROWS($A$15:A277)+$B$3))))),"")</f>
        <v/>
      </c>
      <c r="EG272" s="447" t="str">
        <f>IFERROR(IF('BHPC MANAGER'!$EE272="","",INDEX(inventory[ESISTENZA],MATCH('BHPC MANAGER'!$EE272,inventory[SKU],0))),0)</f>
        <v/>
      </c>
      <c r="EH272" s="448"/>
      <c r="EI272" s="448" t="str">
        <f t="shared" si="21"/>
        <v/>
      </c>
      <c r="EJ272" s="449"/>
      <c r="EK272" s="450" t="str">
        <f t="shared" si="22"/>
        <v/>
      </c>
    </row>
    <row r="273" spans="135:141" x14ac:dyDescent="0.35">
      <c r="EE273" s="439" t="str" cm="1">
        <f t="array" ref="EE273">IFERROR(IF($EC$9="",IF($EC$11="",IF($EC$13="",INDEX(bhpc_data[sku],SMALL(MATCH(ROW(bhpc_data[sku]),ROW(bhpc_data[sku])),ROWS($A$15:A278)+$B$3)),INDEX(bhpc_data[sku],SMALL(IF(ISNUMBER(MATCH(bhpc_data[size],$EC$13,0)),MATCH(ROW(bhpc_data[sku]),ROW(bhpc_data[sku])),""),ROWS($A$15:A278)+$B$3))),IF($EC$13="",INDEX(bhpc_data[sku],SMALL(IF(ISNUMBER(MATCH(bhpc_data[sex],$EC$11,0)),MATCH(ROW(bhpc_data[sku]),ROW(bhpc_data[sku])),""),ROWS($A$15:A278)+$B$3)),INDEX(bhpc_data[sku],SMALL(IF(ISNUMBER(MATCH(bhpc_data[sex],$EC$11,0)*MATCH(bhpc_data[size],$EC$13,0)),MATCH(ROW(bhpc_data[sku]),ROW(bhpc_data[sku])),""),ROWS($A$15:A278)+$B$3)))),IF($EC$11="",IF($EC$13="",INDEX(bhpc_data[sku],SMALL(IF(ISNUMBER(MATCH(bhpc_data[category],$EC$9,0)),MATCH(ROW(bhpc_data[sku]),ROW(bhpc_data[sku])),""),ROWS($A$15:A278)+$B$3)),INDEX(bhpc_data[sku],SMALL(IF(ISNUMBER(MATCH(bhpc_data[category],$EC$9,0)*MATCH(bhpc_data[size],$EC$13,0)),MATCH(ROW(bhpc_data[sku]),ROW(bhpc_data[sku])),""),ROWS($A$15:A278)+$B$3))),IF($EC$13="",INDEX(bhpc_data[sku],SMALL(IF(ISNUMBER(MATCH(bhpc_data[category],$EC$9,0)*MATCH(bhpc_data[sex],$EC$11,0)),MATCH(ROW(bhpc_data[sku]),ROW(bhpc_data[sku])),""),ROWS($A$15:A278)+$B$3)),INDEX(bhpc_data[sku],SMALL(IF(ISNUMBER(MATCH(bhpc_data[category],$EC$9,0)*MATCH(bhpc_data[sex],$EC$11,0)*MATCH(bhpc_data[size],$EC$13,0)),MATCH(ROW(bhpc_data[sku]),ROW(bhpc_data[sku])),""),ROWS($A$15:A278)+$B$3))))),"")</f>
        <v/>
      </c>
      <c r="EF273" s="440" t="str" cm="1">
        <f t="array" ref="EF273">IFERROR(IF($EC$9="",IF($EC$11="",IF($EC$13="",INDEX(bhpc_data[description],SMALL(MATCH(ROW(bhpc_data[sku]),ROW(bhpc_data[sku])),ROWS($A$15:A278)+$B$3)),INDEX(bhpc_data[description],SMALL(IF(ISNUMBER(MATCH(bhpc_data[size],$EC$13,0)),MATCH(ROW(bhpc_data[sku]),ROW(bhpc_data[sku])),""),ROWS($A$15:A278)+$B$3))),IF($EC$13="",INDEX(bhpc_data[description],SMALL(IF(ISNUMBER(MATCH(bhpc_data[sex],$EC$11,0)),MATCH(ROW(bhpc_data[sku]),ROW(bhpc_data[sku])),""),ROWS($A$15:A278)+$B$3)),INDEX(bhpc_data[description],SMALL(IF(ISNUMBER(MATCH(bhpc_data[sex],$EC$11,0)*MATCH(bhpc_data[size],$EC$13,0)),MATCH(ROW(bhpc_data[sku]),ROW(bhpc_data[sku])),""),ROWS($A$15:A278)+$B$3)))),IF($EC$11="",IF($EC$13="",INDEX(bhpc_data[description],SMALL(IF(ISNUMBER(MATCH(bhpc_data[category],$EC$9,0)),MATCH(ROW(bhpc_data[sku]),ROW(bhpc_data[sku])),""),ROWS($A$15:A278)+$B$3)),INDEX(bhpc_data[description],SMALL(IF(ISNUMBER(MATCH(bhpc_data[category],$EC$9,0)*MATCH(bhpc_data[size],$EC$13,0)),MATCH(ROW(bhpc_data[sku]),ROW(bhpc_data[sku])),""),ROWS($A$15:A278)+$B$3))),IF($EC$13="",INDEX(bhpc_data[description],SMALL(IF(ISNUMBER(MATCH(bhpc_data[category],$EC$9,0)*MATCH(bhpc_data[sex],$EC$11,0)),MATCH(ROW(bhpc_data[sku]),ROW(bhpc_data[sku])),""),ROWS($A$15:A278)+$B$3)),INDEX(bhpc_data[description],SMALL(IF(ISNUMBER(MATCH(bhpc_data[category],$EC$9,0)*MATCH(bhpc_data[sex],$EC$11,0)*MATCH(bhpc_data[size],$EC$13,0)),MATCH(ROW(bhpc_data[sku]),ROW(bhpc_data[sku])),""),ROWS($A$15:A278)+$B$3))))),"")</f>
        <v/>
      </c>
      <c r="EG273" s="441" t="str">
        <f>IFERROR(IF('BHPC MANAGER'!$EE273="","",INDEX(inventory[ESISTENZA],MATCH('BHPC MANAGER'!$EE273,inventory[SKU],0))),0)</f>
        <v/>
      </c>
      <c r="EH273" s="442"/>
      <c r="EI273" s="442" t="str">
        <f t="shared" si="21"/>
        <v/>
      </c>
      <c r="EJ273" s="443"/>
      <c r="EK273" s="444" t="str">
        <f t="shared" si="22"/>
        <v/>
      </c>
    </row>
    <row r="274" spans="135:141" x14ac:dyDescent="0.35">
      <c r="EE274" s="445" t="str" cm="1">
        <f t="array" ref="EE274">IFERROR(IF($EC$9="",IF($EC$11="",IF($EC$13="",INDEX(bhpc_data[sku],SMALL(MATCH(ROW(bhpc_data[sku]),ROW(bhpc_data[sku])),ROWS($A$15:A279)+$B$3)),INDEX(bhpc_data[sku],SMALL(IF(ISNUMBER(MATCH(bhpc_data[size],$EC$13,0)),MATCH(ROW(bhpc_data[sku]),ROW(bhpc_data[sku])),""),ROWS($A$15:A279)+$B$3))),IF($EC$13="",INDEX(bhpc_data[sku],SMALL(IF(ISNUMBER(MATCH(bhpc_data[sex],$EC$11,0)),MATCH(ROW(bhpc_data[sku]),ROW(bhpc_data[sku])),""),ROWS($A$15:A279)+$B$3)),INDEX(bhpc_data[sku],SMALL(IF(ISNUMBER(MATCH(bhpc_data[sex],$EC$11,0)*MATCH(bhpc_data[size],$EC$13,0)),MATCH(ROW(bhpc_data[sku]),ROW(bhpc_data[sku])),""),ROWS($A$15:A279)+$B$3)))),IF($EC$11="",IF($EC$13="",INDEX(bhpc_data[sku],SMALL(IF(ISNUMBER(MATCH(bhpc_data[category],$EC$9,0)),MATCH(ROW(bhpc_data[sku]),ROW(bhpc_data[sku])),""),ROWS($A$15:A279)+$B$3)),INDEX(bhpc_data[sku],SMALL(IF(ISNUMBER(MATCH(bhpc_data[category],$EC$9,0)*MATCH(bhpc_data[size],$EC$13,0)),MATCH(ROW(bhpc_data[sku]),ROW(bhpc_data[sku])),""),ROWS($A$15:A279)+$B$3))),IF($EC$13="",INDEX(bhpc_data[sku],SMALL(IF(ISNUMBER(MATCH(bhpc_data[category],$EC$9,0)*MATCH(bhpc_data[sex],$EC$11,0)),MATCH(ROW(bhpc_data[sku]),ROW(bhpc_data[sku])),""),ROWS($A$15:A279)+$B$3)),INDEX(bhpc_data[sku],SMALL(IF(ISNUMBER(MATCH(bhpc_data[category],$EC$9,0)*MATCH(bhpc_data[sex],$EC$11,0)*MATCH(bhpc_data[size],$EC$13,0)),MATCH(ROW(bhpc_data[sku]),ROW(bhpc_data[sku])),""),ROWS($A$15:A279)+$B$3))))),"")</f>
        <v/>
      </c>
      <c r="EF274" s="446" t="str" cm="1">
        <f t="array" ref="EF274">IFERROR(IF($EC$9="",IF($EC$11="",IF($EC$13="",INDEX(bhpc_data[description],SMALL(MATCH(ROW(bhpc_data[sku]),ROW(bhpc_data[sku])),ROWS($A$15:A279)+$B$3)),INDEX(bhpc_data[description],SMALL(IF(ISNUMBER(MATCH(bhpc_data[size],$EC$13,0)),MATCH(ROW(bhpc_data[sku]),ROW(bhpc_data[sku])),""),ROWS($A$15:A279)+$B$3))),IF($EC$13="",INDEX(bhpc_data[description],SMALL(IF(ISNUMBER(MATCH(bhpc_data[sex],$EC$11,0)),MATCH(ROW(bhpc_data[sku]),ROW(bhpc_data[sku])),""),ROWS($A$15:A279)+$B$3)),INDEX(bhpc_data[description],SMALL(IF(ISNUMBER(MATCH(bhpc_data[sex],$EC$11,0)*MATCH(bhpc_data[size],$EC$13,0)),MATCH(ROW(bhpc_data[sku]),ROW(bhpc_data[sku])),""),ROWS($A$15:A279)+$B$3)))),IF($EC$11="",IF($EC$13="",INDEX(bhpc_data[description],SMALL(IF(ISNUMBER(MATCH(bhpc_data[category],$EC$9,0)),MATCH(ROW(bhpc_data[sku]),ROW(bhpc_data[sku])),""),ROWS($A$15:A279)+$B$3)),INDEX(bhpc_data[description],SMALL(IF(ISNUMBER(MATCH(bhpc_data[category],$EC$9,0)*MATCH(bhpc_data[size],$EC$13,0)),MATCH(ROW(bhpc_data[sku]),ROW(bhpc_data[sku])),""),ROWS($A$15:A279)+$B$3))),IF($EC$13="",INDEX(bhpc_data[description],SMALL(IF(ISNUMBER(MATCH(bhpc_data[category],$EC$9,0)*MATCH(bhpc_data[sex],$EC$11,0)),MATCH(ROW(bhpc_data[sku]),ROW(bhpc_data[sku])),""),ROWS($A$15:A279)+$B$3)),INDEX(bhpc_data[description],SMALL(IF(ISNUMBER(MATCH(bhpc_data[category],$EC$9,0)*MATCH(bhpc_data[sex],$EC$11,0)*MATCH(bhpc_data[size],$EC$13,0)),MATCH(ROW(bhpc_data[sku]),ROW(bhpc_data[sku])),""),ROWS($A$15:A279)+$B$3))))),"")</f>
        <v/>
      </c>
      <c r="EG274" s="447" t="str">
        <f>IFERROR(IF('BHPC MANAGER'!$EE274="","",INDEX(inventory[ESISTENZA],MATCH('BHPC MANAGER'!$EE274,inventory[SKU],0))),0)</f>
        <v/>
      </c>
      <c r="EH274" s="448"/>
      <c r="EI274" s="448" t="str">
        <f t="shared" si="21"/>
        <v/>
      </c>
      <c r="EJ274" s="449"/>
      <c r="EK274" s="450" t="str">
        <f t="shared" si="22"/>
        <v/>
      </c>
    </row>
    <row r="275" spans="135:141" x14ac:dyDescent="0.35">
      <c r="EE275" s="439" t="str" cm="1">
        <f t="array" ref="EE275">IFERROR(IF($EC$9="",IF($EC$11="",IF($EC$13="",INDEX(bhpc_data[sku],SMALL(MATCH(ROW(bhpc_data[sku]),ROW(bhpc_data[sku])),ROWS($A$15:A280)+$B$3)),INDEX(bhpc_data[sku],SMALL(IF(ISNUMBER(MATCH(bhpc_data[size],$EC$13,0)),MATCH(ROW(bhpc_data[sku]),ROW(bhpc_data[sku])),""),ROWS($A$15:A280)+$B$3))),IF($EC$13="",INDEX(bhpc_data[sku],SMALL(IF(ISNUMBER(MATCH(bhpc_data[sex],$EC$11,0)),MATCH(ROW(bhpc_data[sku]),ROW(bhpc_data[sku])),""),ROWS($A$15:A280)+$B$3)),INDEX(bhpc_data[sku],SMALL(IF(ISNUMBER(MATCH(bhpc_data[sex],$EC$11,0)*MATCH(bhpc_data[size],$EC$13,0)),MATCH(ROW(bhpc_data[sku]),ROW(bhpc_data[sku])),""),ROWS($A$15:A280)+$B$3)))),IF($EC$11="",IF($EC$13="",INDEX(bhpc_data[sku],SMALL(IF(ISNUMBER(MATCH(bhpc_data[category],$EC$9,0)),MATCH(ROW(bhpc_data[sku]),ROW(bhpc_data[sku])),""),ROWS($A$15:A280)+$B$3)),INDEX(bhpc_data[sku],SMALL(IF(ISNUMBER(MATCH(bhpc_data[category],$EC$9,0)*MATCH(bhpc_data[size],$EC$13,0)),MATCH(ROW(bhpc_data[sku]),ROW(bhpc_data[sku])),""),ROWS($A$15:A280)+$B$3))),IF($EC$13="",INDEX(bhpc_data[sku],SMALL(IF(ISNUMBER(MATCH(bhpc_data[category],$EC$9,0)*MATCH(bhpc_data[sex],$EC$11,0)),MATCH(ROW(bhpc_data[sku]),ROW(bhpc_data[sku])),""),ROWS($A$15:A280)+$B$3)),INDEX(bhpc_data[sku],SMALL(IF(ISNUMBER(MATCH(bhpc_data[category],$EC$9,0)*MATCH(bhpc_data[sex],$EC$11,0)*MATCH(bhpc_data[size],$EC$13,0)),MATCH(ROW(bhpc_data[sku]),ROW(bhpc_data[sku])),""),ROWS($A$15:A280)+$B$3))))),"")</f>
        <v/>
      </c>
      <c r="EF275" s="440" t="str" cm="1">
        <f t="array" ref="EF275">IFERROR(IF($EC$9="",IF($EC$11="",IF($EC$13="",INDEX(bhpc_data[description],SMALL(MATCH(ROW(bhpc_data[sku]),ROW(bhpc_data[sku])),ROWS($A$15:A280)+$B$3)),INDEX(bhpc_data[description],SMALL(IF(ISNUMBER(MATCH(bhpc_data[size],$EC$13,0)),MATCH(ROW(bhpc_data[sku]),ROW(bhpc_data[sku])),""),ROWS($A$15:A280)+$B$3))),IF($EC$13="",INDEX(bhpc_data[description],SMALL(IF(ISNUMBER(MATCH(bhpc_data[sex],$EC$11,0)),MATCH(ROW(bhpc_data[sku]),ROW(bhpc_data[sku])),""),ROWS($A$15:A280)+$B$3)),INDEX(bhpc_data[description],SMALL(IF(ISNUMBER(MATCH(bhpc_data[sex],$EC$11,0)*MATCH(bhpc_data[size],$EC$13,0)),MATCH(ROW(bhpc_data[sku]),ROW(bhpc_data[sku])),""),ROWS($A$15:A280)+$B$3)))),IF($EC$11="",IF($EC$13="",INDEX(bhpc_data[description],SMALL(IF(ISNUMBER(MATCH(bhpc_data[category],$EC$9,0)),MATCH(ROW(bhpc_data[sku]),ROW(bhpc_data[sku])),""),ROWS($A$15:A280)+$B$3)),INDEX(bhpc_data[description],SMALL(IF(ISNUMBER(MATCH(bhpc_data[category],$EC$9,0)*MATCH(bhpc_data[size],$EC$13,0)),MATCH(ROW(bhpc_data[sku]),ROW(bhpc_data[sku])),""),ROWS($A$15:A280)+$B$3))),IF($EC$13="",INDEX(bhpc_data[description],SMALL(IF(ISNUMBER(MATCH(bhpc_data[category],$EC$9,0)*MATCH(bhpc_data[sex],$EC$11,0)),MATCH(ROW(bhpc_data[sku]),ROW(bhpc_data[sku])),""),ROWS($A$15:A280)+$B$3)),INDEX(bhpc_data[description],SMALL(IF(ISNUMBER(MATCH(bhpc_data[category],$EC$9,0)*MATCH(bhpc_data[sex],$EC$11,0)*MATCH(bhpc_data[size],$EC$13,0)),MATCH(ROW(bhpc_data[sku]),ROW(bhpc_data[sku])),""),ROWS($A$15:A280)+$B$3))))),"")</f>
        <v/>
      </c>
      <c r="EG275" s="441" t="str">
        <f>IFERROR(IF('BHPC MANAGER'!$EE275="","",INDEX(inventory[ESISTENZA],MATCH('BHPC MANAGER'!$EE275,inventory[SKU],0))),0)</f>
        <v/>
      </c>
      <c r="EH275" s="442"/>
      <c r="EI275" s="442" t="str">
        <f t="shared" si="21"/>
        <v/>
      </c>
      <c r="EJ275" s="443"/>
      <c r="EK275" s="444" t="str">
        <f t="shared" si="22"/>
        <v/>
      </c>
    </row>
    <row r="276" spans="135:141" x14ac:dyDescent="0.35">
      <c r="EE276" s="445" t="str" cm="1">
        <f t="array" ref="EE276">IFERROR(IF($EC$9="",IF($EC$11="",IF($EC$13="",INDEX(bhpc_data[sku],SMALL(MATCH(ROW(bhpc_data[sku]),ROW(bhpc_data[sku])),ROWS($A$15:A281)+$B$3)),INDEX(bhpc_data[sku],SMALL(IF(ISNUMBER(MATCH(bhpc_data[size],$EC$13,0)),MATCH(ROW(bhpc_data[sku]),ROW(bhpc_data[sku])),""),ROWS($A$15:A281)+$B$3))),IF($EC$13="",INDEX(bhpc_data[sku],SMALL(IF(ISNUMBER(MATCH(bhpc_data[sex],$EC$11,0)),MATCH(ROW(bhpc_data[sku]),ROW(bhpc_data[sku])),""),ROWS($A$15:A281)+$B$3)),INDEX(bhpc_data[sku],SMALL(IF(ISNUMBER(MATCH(bhpc_data[sex],$EC$11,0)*MATCH(bhpc_data[size],$EC$13,0)),MATCH(ROW(bhpc_data[sku]),ROW(bhpc_data[sku])),""),ROWS($A$15:A281)+$B$3)))),IF($EC$11="",IF($EC$13="",INDEX(bhpc_data[sku],SMALL(IF(ISNUMBER(MATCH(bhpc_data[category],$EC$9,0)),MATCH(ROW(bhpc_data[sku]),ROW(bhpc_data[sku])),""),ROWS($A$15:A281)+$B$3)),INDEX(bhpc_data[sku],SMALL(IF(ISNUMBER(MATCH(bhpc_data[category],$EC$9,0)*MATCH(bhpc_data[size],$EC$13,0)),MATCH(ROW(bhpc_data[sku]),ROW(bhpc_data[sku])),""),ROWS($A$15:A281)+$B$3))),IF($EC$13="",INDEX(bhpc_data[sku],SMALL(IF(ISNUMBER(MATCH(bhpc_data[category],$EC$9,0)*MATCH(bhpc_data[sex],$EC$11,0)),MATCH(ROW(bhpc_data[sku]),ROW(bhpc_data[sku])),""),ROWS($A$15:A281)+$B$3)),INDEX(bhpc_data[sku],SMALL(IF(ISNUMBER(MATCH(bhpc_data[category],$EC$9,0)*MATCH(bhpc_data[sex],$EC$11,0)*MATCH(bhpc_data[size],$EC$13,0)),MATCH(ROW(bhpc_data[sku]),ROW(bhpc_data[sku])),""),ROWS($A$15:A281)+$B$3))))),"")</f>
        <v/>
      </c>
      <c r="EF276" s="446" t="str" cm="1">
        <f t="array" ref="EF276">IFERROR(IF($EC$9="",IF($EC$11="",IF($EC$13="",INDEX(bhpc_data[description],SMALL(MATCH(ROW(bhpc_data[sku]),ROW(bhpc_data[sku])),ROWS($A$15:A281)+$B$3)),INDEX(bhpc_data[description],SMALL(IF(ISNUMBER(MATCH(bhpc_data[size],$EC$13,0)),MATCH(ROW(bhpc_data[sku]),ROW(bhpc_data[sku])),""),ROWS($A$15:A281)+$B$3))),IF($EC$13="",INDEX(bhpc_data[description],SMALL(IF(ISNUMBER(MATCH(bhpc_data[sex],$EC$11,0)),MATCH(ROW(bhpc_data[sku]),ROW(bhpc_data[sku])),""),ROWS($A$15:A281)+$B$3)),INDEX(bhpc_data[description],SMALL(IF(ISNUMBER(MATCH(bhpc_data[sex],$EC$11,0)*MATCH(bhpc_data[size],$EC$13,0)),MATCH(ROW(bhpc_data[sku]),ROW(bhpc_data[sku])),""),ROWS($A$15:A281)+$B$3)))),IF($EC$11="",IF($EC$13="",INDEX(bhpc_data[description],SMALL(IF(ISNUMBER(MATCH(bhpc_data[category],$EC$9,0)),MATCH(ROW(bhpc_data[sku]),ROW(bhpc_data[sku])),""),ROWS($A$15:A281)+$B$3)),INDEX(bhpc_data[description],SMALL(IF(ISNUMBER(MATCH(bhpc_data[category],$EC$9,0)*MATCH(bhpc_data[size],$EC$13,0)),MATCH(ROW(bhpc_data[sku]),ROW(bhpc_data[sku])),""),ROWS($A$15:A281)+$B$3))),IF($EC$13="",INDEX(bhpc_data[description],SMALL(IF(ISNUMBER(MATCH(bhpc_data[category],$EC$9,0)*MATCH(bhpc_data[sex],$EC$11,0)),MATCH(ROW(bhpc_data[sku]),ROW(bhpc_data[sku])),""),ROWS($A$15:A281)+$B$3)),INDEX(bhpc_data[description],SMALL(IF(ISNUMBER(MATCH(bhpc_data[category],$EC$9,0)*MATCH(bhpc_data[sex],$EC$11,0)*MATCH(bhpc_data[size],$EC$13,0)),MATCH(ROW(bhpc_data[sku]),ROW(bhpc_data[sku])),""),ROWS($A$15:A281)+$B$3))))),"")</f>
        <v/>
      </c>
      <c r="EG276" s="447" t="str">
        <f>IFERROR(IF('BHPC MANAGER'!$EE276="","",INDEX(inventory[ESISTENZA],MATCH('BHPC MANAGER'!$EE276,inventory[SKU],0))),0)</f>
        <v/>
      </c>
      <c r="EH276" s="448"/>
      <c r="EI276" s="448" t="str">
        <f t="shared" si="21"/>
        <v/>
      </c>
      <c r="EJ276" s="449"/>
      <c r="EK276" s="450" t="str">
        <f t="shared" si="22"/>
        <v/>
      </c>
    </row>
    <row r="277" spans="135:141" x14ac:dyDescent="0.35">
      <c r="EE277" s="439" t="str" cm="1">
        <f t="array" ref="EE277">IFERROR(IF($EC$9="",IF($EC$11="",IF($EC$13="",INDEX(bhpc_data[sku],SMALL(MATCH(ROW(bhpc_data[sku]),ROW(bhpc_data[sku])),ROWS($A$15:A282)+$B$3)),INDEX(bhpc_data[sku],SMALL(IF(ISNUMBER(MATCH(bhpc_data[size],$EC$13,0)),MATCH(ROW(bhpc_data[sku]),ROW(bhpc_data[sku])),""),ROWS($A$15:A282)+$B$3))),IF($EC$13="",INDEX(bhpc_data[sku],SMALL(IF(ISNUMBER(MATCH(bhpc_data[sex],$EC$11,0)),MATCH(ROW(bhpc_data[sku]),ROW(bhpc_data[sku])),""),ROWS($A$15:A282)+$B$3)),INDEX(bhpc_data[sku],SMALL(IF(ISNUMBER(MATCH(bhpc_data[sex],$EC$11,0)*MATCH(bhpc_data[size],$EC$13,0)),MATCH(ROW(bhpc_data[sku]),ROW(bhpc_data[sku])),""),ROWS($A$15:A282)+$B$3)))),IF($EC$11="",IF($EC$13="",INDEX(bhpc_data[sku],SMALL(IF(ISNUMBER(MATCH(bhpc_data[category],$EC$9,0)),MATCH(ROW(bhpc_data[sku]),ROW(bhpc_data[sku])),""),ROWS($A$15:A282)+$B$3)),INDEX(bhpc_data[sku],SMALL(IF(ISNUMBER(MATCH(bhpc_data[category],$EC$9,0)*MATCH(bhpc_data[size],$EC$13,0)),MATCH(ROW(bhpc_data[sku]),ROW(bhpc_data[sku])),""),ROWS($A$15:A282)+$B$3))),IF($EC$13="",INDEX(bhpc_data[sku],SMALL(IF(ISNUMBER(MATCH(bhpc_data[category],$EC$9,0)*MATCH(bhpc_data[sex],$EC$11,0)),MATCH(ROW(bhpc_data[sku]),ROW(bhpc_data[sku])),""),ROWS($A$15:A282)+$B$3)),INDEX(bhpc_data[sku],SMALL(IF(ISNUMBER(MATCH(bhpc_data[category],$EC$9,0)*MATCH(bhpc_data[sex],$EC$11,0)*MATCH(bhpc_data[size],$EC$13,0)),MATCH(ROW(bhpc_data[sku]),ROW(bhpc_data[sku])),""),ROWS($A$15:A282)+$B$3))))),"")</f>
        <v/>
      </c>
      <c r="EF277" s="440" t="str" cm="1">
        <f t="array" ref="EF277">IFERROR(IF($EC$9="",IF($EC$11="",IF($EC$13="",INDEX(bhpc_data[description],SMALL(MATCH(ROW(bhpc_data[sku]),ROW(bhpc_data[sku])),ROWS($A$15:A282)+$B$3)),INDEX(bhpc_data[description],SMALL(IF(ISNUMBER(MATCH(bhpc_data[size],$EC$13,0)),MATCH(ROW(bhpc_data[sku]),ROW(bhpc_data[sku])),""),ROWS($A$15:A282)+$B$3))),IF($EC$13="",INDEX(bhpc_data[description],SMALL(IF(ISNUMBER(MATCH(bhpc_data[sex],$EC$11,0)),MATCH(ROW(bhpc_data[sku]),ROW(bhpc_data[sku])),""),ROWS($A$15:A282)+$B$3)),INDEX(bhpc_data[description],SMALL(IF(ISNUMBER(MATCH(bhpc_data[sex],$EC$11,0)*MATCH(bhpc_data[size],$EC$13,0)),MATCH(ROW(bhpc_data[sku]),ROW(bhpc_data[sku])),""),ROWS($A$15:A282)+$B$3)))),IF($EC$11="",IF($EC$13="",INDEX(bhpc_data[description],SMALL(IF(ISNUMBER(MATCH(bhpc_data[category],$EC$9,0)),MATCH(ROW(bhpc_data[sku]),ROW(bhpc_data[sku])),""),ROWS($A$15:A282)+$B$3)),INDEX(bhpc_data[description],SMALL(IF(ISNUMBER(MATCH(bhpc_data[category],$EC$9,0)*MATCH(bhpc_data[size],$EC$13,0)),MATCH(ROW(bhpc_data[sku]),ROW(bhpc_data[sku])),""),ROWS($A$15:A282)+$B$3))),IF($EC$13="",INDEX(bhpc_data[description],SMALL(IF(ISNUMBER(MATCH(bhpc_data[category],$EC$9,0)*MATCH(bhpc_data[sex],$EC$11,0)),MATCH(ROW(bhpc_data[sku]),ROW(bhpc_data[sku])),""),ROWS($A$15:A282)+$B$3)),INDEX(bhpc_data[description],SMALL(IF(ISNUMBER(MATCH(bhpc_data[category],$EC$9,0)*MATCH(bhpc_data[sex],$EC$11,0)*MATCH(bhpc_data[size],$EC$13,0)),MATCH(ROW(bhpc_data[sku]),ROW(bhpc_data[sku])),""),ROWS($A$15:A282)+$B$3))))),"")</f>
        <v/>
      </c>
      <c r="EG277" s="441" t="str">
        <f>IFERROR(IF('BHPC MANAGER'!$EE277="","",INDEX(inventory[ESISTENZA],MATCH('BHPC MANAGER'!$EE277,inventory[SKU],0))),0)</f>
        <v/>
      </c>
      <c r="EH277" s="442"/>
      <c r="EI277" s="442" t="str">
        <f t="shared" si="21"/>
        <v/>
      </c>
      <c r="EJ277" s="443"/>
      <c r="EK277" s="444" t="str">
        <f t="shared" si="22"/>
        <v/>
      </c>
    </row>
    <row r="278" spans="135:141" x14ac:dyDescent="0.35">
      <c r="EE278" s="445" t="str" cm="1">
        <f t="array" ref="EE278">IFERROR(IF($EC$9="",IF($EC$11="",IF($EC$13="",INDEX(bhpc_data[sku],SMALL(MATCH(ROW(bhpc_data[sku]),ROW(bhpc_data[sku])),ROWS($A$15:A283)+$B$3)),INDEX(bhpc_data[sku],SMALL(IF(ISNUMBER(MATCH(bhpc_data[size],$EC$13,0)),MATCH(ROW(bhpc_data[sku]),ROW(bhpc_data[sku])),""),ROWS($A$15:A283)+$B$3))),IF($EC$13="",INDEX(bhpc_data[sku],SMALL(IF(ISNUMBER(MATCH(bhpc_data[sex],$EC$11,0)),MATCH(ROW(bhpc_data[sku]),ROW(bhpc_data[sku])),""),ROWS($A$15:A283)+$B$3)),INDEX(bhpc_data[sku],SMALL(IF(ISNUMBER(MATCH(bhpc_data[sex],$EC$11,0)*MATCH(bhpc_data[size],$EC$13,0)),MATCH(ROW(bhpc_data[sku]),ROW(bhpc_data[sku])),""),ROWS($A$15:A283)+$B$3)))),IF($EC$11="",IF($EC$13="",INDEX(bhpc_data[sku],SMALL(IF(ISNUMBER(MATCH(bhpc_data[category],$EC$9,0)),MATCH(ROW(bhpc_data[sku]),ROW(bhpc_data[sku])),""),ROWS($A$15:A283)+$B$3)),INDEX(bhpc_data[sku],SMALL(IF(ISNUMBER(MATCH(bhpc_data[category],$EC$9,0)*MATCH(bhpc_data[size],$EC$13,0)),MATCH(ROW(bhpc_data[sku]),ROW(bhpc_data[sku])),""),ROWS($A$15:A283)+$B$3))),IF($EC$13="",INDEX(bhpc_data[sku],SMALL(IF(ISNUMBER(MATCH(bhpc_data[category],$EC$9,0)*MATCH(bhpc_data[sex],$EC$11,0)),MATCH(ROW(bhpc_data[sku]),ROW(bhpc_data[sku])),""),ROWS($A$15:A283)+$B$3)),INDEX(bhpc_data[sku],SMALL(IF(ISNUMBER(MATCH(bhpc_data[category],$EC$9,0)*MATCH(bhpc_data[sex],$EC$11,0)*MATCH(bhpc_data[size],$EC$13,0)),MATCH(ROW(bhpc_data[sku]),ROW(bhpc_data[sku])),""),ROWS($A$15:A283)+$B$3))))),"")</f>
        <v/>
      </c>
      <c r="EF278" s="446" t="str" cm="1">
        <f t="array" ref="EF278">IFERROR(IF($EC$9="",IF($EC$11="",IF($EC$13="",INDEX(bhpc_data[description],SMALL(MATCH(ROW(bhpc_data[sku]),ROW(bhpc_data[sku])),ROWS($A$15:A283)+$B$3)),INDEX(bhpc_data[description],SMALL(IF(ISNUMBER(MATCH(bhpc_data[size],$EC$13,0)),MATCH(ROW(bhpc_data[sku]),ROW(bhpc_data[sku])),""),ROWS($A$15:A283)+$B$3))),IF($EC$13="",INDEX(bhpc_data[description],SMALL(IF(ISNUMBER(MATCH(bhpc_data[sex],$EC$11,0)),MATCH(ROW(bhpc_data[sku]),ROW(bhpc_data[sku])),""),ROWS($A$15:A283)+$B$3)),INDEX(bhpc_data[description],SMALL(IF(ISNUMBER(MATCH(bhpc_data[sex],$EC$11,0)*MATCH(bhpc_data[size],$EC$13,0)),MATCH(ROW(bhpc_data[sku]),ROW(bhpc_data[sku])),""),ROWS($A$15:A283)+$B$3)))),IF($EC$11="",IF($EC$13="",INDEX(bhpc_data[description],SMALL(IF(ISNUMBER(MATCH(bhpc_data[category],$EC$9,0)),MATCH(ROW(bhpc_data[sku]),ROW(bhpc_data[sku])),""),ROWS($A$15:A283)+$B$3)),INDEX(bhpc_data[description],SMALL(IF(ISNUMBER(MATCH(bhpc_data[category],$EC$9,0)*MATCH(bhpc_data[size],$EC$13,0)),MATCH(ROW(bhpc_data[sku]),ROW(bhpc_data[sku])),""),ROWS($A$15:A283)+$B$3))),IF($EC$13="",INDEX(bhpc_data[description],SMALL(IF(ISNUMBER(MATCH(bhpc_data[category],$EC$9,0)*MATCH(bhpc_data[sex],$EC$11,0)),MATCH(ROW(bhpc_data[sku]),ROW(bhpc_data[sku])),""),ROWS($A$15:A283)+$B$3)),INDEX(bhpc_data[description],SMALL(IF(ISNUMBER(MATCH(bhpc_data[category],$EC$9,0)*MATCH(bhpc_data[sex],$EC$11,0)*MATCH(bhpc_data[size],$EC$13,0)),MATCH(ROW(bhpc_data[sku]),ROW(bhpc_data[sku])),""),ROWS($A$15:A283)+$B$3))))),"")</f>
        <v/>
      </c>
      <c r="EG278" s="447" t="str">
        <f>IFERROR(IF('BHPC MANAGER'!$EE278="","",INDEX(inventory[ESISTENZA],MATCH('BHPC MANAGER'!$EE278,inventory[SKU],0))),0)</f>
        <v/>
      </c>
      <c r="EH278" s="448"/>
      <c r="EI278" s="448" t="str">
        <f t="shared" si="21"/>
        <v/>
      </c>
      <c r="EJ278" s="449"/>
      <c r="EK278" s="450" t="str">
        <f t="shared" si="22"/>
        <v/>
      </c>
    </row>
    <row r="279" spans="135:141" x14ac:dyDescent="0.35">
      <c r="EE279" s="439" t="str" cm="1">
        <f t="array" ref="EE279">IFERROR(IF($EC$9="",IF($EC$11="",IF($EC$13="",INDEX(bhpc_data[sku],SMALL(MATCH(ROW(bhpc_data[sku]),ROW(bhpc_data[sku])),ROWS($A$15:A284)+$B$3)),INDEX(bhpc_data[sku],SMALL(IF(ISNUMBER(MATCH(bhpc_data[size],$EC$13,0)),MATCH(ROW(bhpc_data[sku]),ROW(bhpc_data[sku])),""),ROWS($A$15:A284)+$B$3))),IF($EC$13="",INDEX(bhpc_data[sku],SMALL(IF(ISNUMBER(MATCH(bhpc_data[sex],$EC$11,0)),MATCH(ROW(bhpc_data[sku]),ROW(bhpc_data[sku])),""),ROWS($A$15:A284)+$B$3)),INDEX(bhpc_data[sku],SMALL(IF(ISNUMBER(MATCH(bhpc_data[sex],$EC$11,0)*MATCH(bhpc_data[size],$EC$13,0)),MATCH(ROW(bhpc_data[sku]),ROW(bhpc_data[sku])),""),ROWS($A$15:A284)+$B$3)))),IF($EC$11="",IF($EC$13="",INDEX(bhpc_data[sku],SMALL(IF(ISNUMBER(MATCH(bhpc_data[category],$EC$9,0)),MATCH(ROW(bhpc_data[sku]),ROW(bhpc_data[sku])),""),ROWS($A$15:A284)+$B$3)),INDEX(bhpc_data[sku],SMALL(IF(ISNUMBER(MATCH(bhpc_data[category],$EC$9,0)*MATCH(bhpc_data[size],$EC$13,0)),MATCH(ROW(bhpc_data[sku]),ROW(bhpc_data[sku])),""),ROWS($A$15:A284)+$B$3))),IF($EC$13="",INDEX(bhpc_data[sku],SMALL(IF(ISNUMBER(MATCH(bhpc_data[category],$EC$9,0)*MATCH(bhpc_data[sex],$EC$11,0)),MATCH(ROW(bhpc_data[sku]),ROW(bhpc_data[sku])),""),ROWS($A$15:A284)+$B$3)),INDEX(bhpc_data[sku],SMALL(IF(ISNUMBER(MATCH(bhpc_data[category],$EC$9,0)*MATCH(bhpc_data[sex],$EC$11,0)*MATCH(bhpc_data[size],$EC$13,0)),MATCH(ROW(bhpc_data[sku]),ROW(bhpc_data[sku])),""),ROWS($A$15:A284)+$B$3))))),"")</f>
        <v/>
      </c>
      <c r="EF279" s="440" t="str" cm="1">
        <f t="array" ref="EF279">IFERROR(IF($EC$9="",IF($EC$11="",IF($EC$13="",INDEX(bhpc_data[description],SMALL(MATCH(ROW(bhpc_data[sku]),ROW(bhpc_data[sku])),ROWS($A$15:A284)+$B$3)),INDEX(bhpc_data[description],SMALL(IF(ISNUMBER(MATCH(bhpc_data[size],$EC$13,0)),MATCH(ROW(bhpc_data[sku]),ROW(bhpc_data[sku])),""),ROWS($A$15:A284)+$B$3))),IF($EC$13="",INDEX(bhpc_data[description],SMALL(IF(ISNUMBER(MATCH(bhpc_data[sex],$EC$11,0)),MATCH(ROW(bhpc_data[sku]),ROW(bhpc_data[sku])),""),ROWS($A$15:A284)+$B$3)),INDEX(bhpc_data[description],SMALL(IF(ISNUMBER(MATCH(bhpc_data[sex],$EC$11,0)*MATCH(bhpc_data[size],$EC$13,0)),MATCH(ROW(bhpc_data[sku]),ROW(bhpc_data[sku])),""),ROWS($A$15:A284)+$B$3)))),IF($EC$11="",IF($EC$13="",INDEX(bhpc_data[description],SMALL(IF(ISNUMBER(MATCH(bhpc_data[category],$EC$9,0)),MATCH(ROW(bhpc_data[sku]),ROW(bhpc_data[sku])),""),ROWS($A$15:A284)+$B$3)),INDEX(bhpc_data[description],SMALL(IF(ISNUMBER(MATCH(bhpc_data[category],$EC$9,0)*MATCH(bhpc_data[size],$EC$13,0)),MATCH(ROW(bhpc_data[sku]),ROW(bhpc_data[sku])),""),ROWS($A$15:A284)+$B$3))),IF($EC$13="",INDEX(bhpc_data[description],SMALL(IF(ISNUMBER(MATCH(bhpc_data[category],$EC$9,0)*MATCH(bhpc_data[sex],$EC$11,0)),MATCH(ROW(bhpc_data[sku]),ROW(bhpc_data[sku])),""),ROWS($A$15:A284)+$B$3)),INDEX(bhpc_data[description],SMALL(IF(ISNUMBER(MATCH(bhpc_data[category],$EC$9,0)*MATCH(bhpc_data[sex],$EC$11,0)*MATCH(bhpc_data[size],$EC$13,0)),MATCH(ROW(bhpc_data[sku]),ROW(bhpc_data[sku])),""),ROWS($A$15:A284)+$B$3))))),"")</f>
        <v/>
      </c>
      <c r="EG279" s="441" t="str">
        <f>IFERROR(IF('BHPC MANAGER'!$EE279="","",INDEX(inventory[ESISTENZA],MATCH('BHPC MANAGER'!$EE279,inventory[SKU],0))),0)</f>
        <v/>
      </c>
      <c r="EH279" s="442"/>
      <c r="EI279" s="442" t="str">
        <f t="shared" si="21"/>
        <v/>
      </c>
      <c r="EJ279" s="443"/>
      <c r="EK279" s="444" t="str">
        <f t="shared" si="22"/>
        <v/>
      </c>
    </row>
    <row r="280" spans="135:141" x14ac:dyDescent="0.35">
      <c r="EE280" s="445" t="str" cm="1">
        <f t="array" ref="EE280">IFERROR(IF($EC$9="",IF($EC$11="",IF($EC$13="",INDEX(bhpc_data[sku],SMALL(MATCH(ROW(bhpc_data[sku]),ROW(bhpc_data[sku])),ROWS($A$15:A285)+$B$3)),INDEX(bhpc_data[sku],SMALL(IF(ISNUMBER(MATCH(bhpc_data[size],$EC$13,0)),MATCH(ROW(bhpc_data[sku]),ROW(bhpc_data[sku])),""),ROWS($A$15:A285)+$B$3))),IF($EC$13="",INDEX(bhpc_data[sku],SMALL(IF(ISNUMBER(MATCH(bhpc_data[sex],$EC$11,0)),MATCH(ROW(bhpc_data[sku]),ROW(bhpc_data[sku])),""),ROWS($A$15:A285)+$B$3)),INDEX(bhpc_data[sku],SMALL(IF(ISNUMBER(MATCH(bhpc_data[sex],$EC$11,0)*MATCH(bhpc_data[size],$EC$13,0)),MATCH(ROW(bhpc_data[sku]),ROW(bhpc_data[sku])),""),ROWS($A$15:A285)+$B$3)))),IF($EC$11="",IF($EC$13="",INDEX(bhpc_data[sku],SMALL(IF(ISNUMBER(MATCH(bhpc_data[category],$EC$9,0)),MATCH(ROW(bhpc_data[sku]),ROW(bhpc_data[sku])),""),ROWS($A$15:A285)+$B$3)),INDEX(bhpc_data[sku],SMALL(IF(ISNUMBER(MATCH(bhpc_data[category],$EC$9,0)*MATCH(bhpc_data[size],$EC$13,0)),MATCH(ROW(bhpc_data[sku]),ROW(bhpc_data[sku])),""),ROWS($A$15:A285)+$B$3))),IF($EC$13="",INDEX(bhpc_data[sku],SMALL(IF(ISNUMBER(MATCH(bhpc_data[category],$EC$9,0)*MATCH(bhpc_data[sex],$EC$11,0)),MATCH(ROW(bhpc_data[sku]),ROW(bhpc_data[sku])),""),ROWS($A$15:A285)+$B$3)),INDEX(bhpc_data[sku],SMALL(IF(ISNUMBER(MATCH(bhpc_data[category],$EC$9,0)*MATCH(bhpc_data[sex],$EC$11,0)*MATCH(bhpc_data[size],$EC$13,0)),MATCH(ROW(bhpc_data[sku]),ROW(bhpc_data[sku])),""),ROWS($A$15:A285)+$B$3))))),"")</f>
        <v/>
      </c>
      <c r="EF280" s="446" t="str" cm="1">
        <f t="array" ref="EF280">IFERROR(IF($EC$9="",IF($EC$11="",IF($EC$13="",INDEX(bhpc_data[description],SMALL(MATCH(ROW(bhpc_data[sku]),ROW(bhpc_data[sku])),ROWS($A$15:A285)+$B$3)),INDEX(bhpc_data[description],SMALL(IF(ISNUMBER(MATCH(bhpc_data[size],$EC$13,0)),MATCH(ROW(bhpc_data[sku]),ROW(bhpc_data[sku])),""),ROWS($A$15:A285)+$B$3))),IF($EC$13="",INDEX(bhpc_data[description],SMALL(IF(ISNUMBER(MATCH(bhpc_data[sex],$EC$11,0)),MATCH(ROW(bhpc_data[sku]),ROW(bhpc_data[sku])),""),ROWS($A$15:A285)+$B$3)),INDEX(bhpc_data[description],SMALL(IF(ISNUMBER(MATCH(bhpc_data[sex],$EC$11,0)*MATCH(bhpc_data[size],$EC$13,0)),MATCH(ROW(bhpc_data[sku]),ROW(bhpc_data[sku])),""),ROWS($A$15:A285)+$B$3)))),IF($EC$11="",IF($EC$13="",INDEX(bhpc_data[description],SMALL(IF(ISNUMBER(MATCH(bhpc_data[category],$EC$9,0)),MATCH(ROW(bhpc_data[sku]),ROW(bhpc_data[sku])),""),ROWS($A$15:A285)+$B$3)),INDEX(bhpc_data[description],SMALL(IF(ISNUMBER(MATCH(bhpc_data[category],$EC$9,0)*MATCH(bhpc_data[size],$EC$13,0)),MATCH(ROW(bhpc_data[sku]),ROW(bhpc_data[sku])),""),ROWS($A$15:A285)+$B$3))),IF($EC$13="",INDEX(bhpc_data[description],SMALL(IF(ISNUMBER(MATCH(bhpc_data[category],$EC$9,0)*MATCH(bhpc_data[sex],$EC$11,0)),MATCH(ROW(bhpc_data[sku]),ROW(bhpc_data[sku])),""),ROWS($A$15:A285)+$B$3)),INDEX(bhpc_data[description],SMALL(IF(ISNUMBER(MATCH(bhpc_data[category],$EC$9,0)*MATCH(bhpc_data[sex],$EC$11,0)*MATCH(bhpc_data[size],$EC$13,0)),MATCH(ROW(bhpc_data[sku]),ROW(bhpc_data[sku])),""),ROWS($A$15:A285)+$B$3))))),"")</f>
        <v/>
      </c>
      <c r="EG280" s="447" t="str">
        <f>IFERROR(IF('BHPC MANAGER'!$EE280="","",INDEX(inventory[ESISTENZA],MATCH('BHPC MANAGER'!$EE280,inventory[SKU],0))),0)</f>
        <v/>
      </c>
      <c r="EH280" s="448"/>
      <c r="EI280" s="448" t="str">
        <f t="shared" si="21"/>
        <v/>
      </c>
      <c r="EJ280" s="449"/>
      <c r="EK280" s="450" t="str">
        <f t="shared" si="22"/>
        <v/>
      </c>
    </row>
    <row r="281" spans="135:141" x14ac:dyDescent="0.35">
      <c r="EE281" s="439" t="str" cm="1">
        <f t="array" ref="EE281">IFERROR(IF($EC$9="",IF($EC$11="",IF($EC$13="",INDEX(bhpc_data[sku],SMALL(MATCH(ROW(bhpc_data[sku]),ROW(bhpc_data[sku])),ROWS($A$15:A286)+$B$3)),INDEX(bhpc_data[sku],SMALL(IF(ISNUMBER(MATCH(bhpc_data[size],$EC$13,0)),MATCH(ROW(bhpc_data[sku]),ROW(bhpc_data[sku])),""),ROWS($A$15:A286)+$B$3))),IF($EC$13="",INDEX(bhpc_data[sku],SMALL(IF(ISNUMBER(MATCH(bhpc_data[sex],$EC$11,0)),MATCH(ROW(bhpc_data[sku]),ROW(bhpc_data[sku])),""),ROWS($A$15:A286)+$B$3)),INDEX(bhpc_data[sku],SMALL(IF(ISNUMBER(MATCH(bhpc_data[sex],$EC$11,0)*MATCH(bhpc_data[size],$EC$13,0)),MATCH(ROW(bhpc_data[sku]),ROW(bhpc_data[sku])),""),ROWS($A$15:A286)+$B$3)))),IF($EC$11="",IF($EC$13="",INDEX(bhpc_data[sku],SMALL(IF(ISNUMBER(MATCH(bhpc_data[category],$EC$9,0)),MATCH(ROW(bhpc_data[sku]),ROW(bhpc_data[sku])),""),ROWS($A$15:A286)+$B$3)),INDEX(bhpc_data[sku],SMALL(IF(ISNUMBER(MATCH(bhpc_data[category],$EC$9,0)*MATCH(bhpc_data[size],$EC$13,0)),MATCH(ROW(bhpc_data[sku]),ROW(bhpc_data[sku])),""),ROWS($A$15:A286)+$B$3))),IF($EC$13="",INDEX(bhpc_data[sku],SMALL(IF(ISNUMBER(MATCH(bhpc_data[category],$EC$9,0)*MATCH(bhpc_data[sex],$EC$11,0)),MATCH(ROW(bhpc_data[sku]),ROW(bhpc_data[sku])),""),ROWS($A$15:A286)+$B$3)),INDEX(bhpc_data[sku],SMALL(IF(ISNUMBER(MATCH(bhpc_data[category],$EC$9,0)*MATCH(bhpc_data[sex],$EC$11,0)*MATCH(bhpc_data[size],$EC$13,0)),MATCH(ROW(bhpc_data[sku]),ROW(bhpc_data[sku])),""),ROWS($A$15:A286)+$B$3))))),"")</f>
        <v/>
      </c>
      <c r="EF281" s="440" t="str" cm="1">
        <f t="array" ref="EF281">IFERROR(IF($EC$9="",IF($EC$11="",IF($EC$13="",INDEX(bhpc_data[description],SMALL(MATCH(ROW(bhpc_data[sku]),ROW(bhpc_data[sku])),ROWS($A$15:A286)+$B$3)),INDEX(bhpc_data[description],SMALL(IF(ISNUMBER(MATCH(bhpc_data[size],$EC$13,0)),MATCH(ROW(bhpc_data[sku]),ROW(bhpc_data[sku])),""),ROWS($A$15:A286)+$B$3))),IF($EC$13="",INDEX(bhpc_data[description],SMALL(IF(ISNUMBER(MATCH(bhpc_data[sex],$EC$11,0)),MATCH(ROW(bhpc_data[sku]),ROW(bhpc_data[sku])),""),ROWS($A$15:A286)+$B$3)),INDEX(bhpc_data[description],SMALL(IF(ISNUMBER(MATCH(bhpc_data[sex],$EC$11,0)*MATCH(bhpc_data[size],$EC$13,0)),MATCH(ROW(bhpc_data[sku]),ROW(bhpc_data[sku])),""),ROWS($A$15:A286)+$B$3)))),IF($EC$11="",IF($EC$13="",INDEX(bhpc_data[description],SMALL(IF(ISNUMBER(MATCH(bhpc_data[category],$EC$9,0)),MATCH(ROW(bhpc_data[sku]),ROW(bhpc_data[sku])),""),ROWS($A$15:A286)+$B$3)),INDEX(bhpc_data[description],SMALL(IF(ISNUMBER(MATCH(bhpc_data[category],$EC$9,0)*MATCH(bhpc_data[size],$EC$13,0)),MATCH(ROW(bhpc_data[sku]),ROW(bhpc_data[sku])),""),ROWS($A$15:A286)+$B$3))),IF($EC$13="",INDEX(bhpc_data[description],SMALL(IF(ISNUMBER(MATCH(bhpc_data[category],$EC$9,0)*MATCH(bhpc_data[sex],$EC$11,0)),MATCH(ROW(bhpc_data[sku]),ROW(bhpc_data[sku])),""),ROWS($A$15:A286)+$B$3)),INDEX(bhpc_data[description],SMALL(IF(ISNUMBER(MATCH(bhpc_data[category],$EC$9,0)*MATCH(bhpc_data[sex],$EC$11,0)*MATCH(bhpc_data[size],$EC$13,0)),MATCH(ROW(bhpc_data[sku]),ROW(bhpc_data[sku])),""),ROWS($A$15:A286)+$B$3))))),"")</f>
        <v/>
      </c>
      <c r="EG281" s="441" t="str">
        <f>IFERROR(IF('BHPC MANAGER'!$EE281="","",INDEX(inventory[ESISTENZA],MATCH('BHPC MANAGER'!$EE281,inventory[SKU],0))),0)</f>
        <v/>
      </c>
      <c r="EH281" s="442"/>
      <c r="EI281" s="442" t="str">
        <f t="shared" si="21"/>
        <v/>
      </c>
      <c r="EJ281" s="443"/>
      <c r="EK281" s="444" t="str">
        <f t="shared" si="22"/>
        <v/>
      </c>
    </row>
    <row r="282" spans="135:141" x14ac:dyDescent="0.35">
      <c r="EE282" s="445" t="str" cm="1">
        <f t="array" ref="EE282">IFERROR(IF($EC$9="",IF($EC$11="",IF($EC$13="",INDEX(bhpc_data[sku],SMALL(MATCH(ROW(bhpc_data[sku]),ROW(bhpc_data[sku])),ROWS($A$15:A287)+$B$3)),INDEX(bhpc_data[sku],SMALL(IF(ISNUMBER(MATCH(bhpc_data[size],$EC$13,0)),MATCH(ROW(bhpc_data[sku]),ROW(bhpc_data[sku])),""),ROWS($A$15:A287)+$B$3))),IF($EC$13="",INDEX(bhpc_data[sku],SMALL(IF(ISNUMBER(MATCH(bhpc_data[sex],$EC$11,0)),MATCH(ROW(bhpc_data[sku]),ROW(bhpc_data[sku])),""),ROWS($A$15:A287)+$B$3)),INDEX(bhpc_data[sku],SMALL(IF(ISNUMBER(MATCH(bhpc_data[sex],$EC$11,0)*MATCH(bhpc_data[size],$EC$13,0)),MATCH(ROW(bhpc_data[sku]),ROW(bhpc_data[sku])),""),ROWS($A$15:A287)+$B$3)))),IF($EC$11="",IF($EC$13="",INDEX(bhpc_data[sku],SMALL(IF(ISNUMBER(MATCH(bhpc_data[category],$EC$9,0)),MATCH(ROW(bhpc_data[sku]),ROW(bhpc_data[sku])),""),ROWS($A$15:A287)+$B$3)),INDEX(bhpc_data[sku],SMALL(IF(ISNUMBER(MATCH(bhpc_data[category],$EC$9,0)*MATCH(bhpc_data[size],$EC$13,0)),MATCH(ROW(bhpc_data[sku]),ROW(bhpc_data[sku])),""),ROWS($A$15:A287)+$B$3))),IF($EC$13="",INDEX(bhpc_data[sku],SMALL(IF(ISNUMBER(MATCH(bhpc_data[category],$EC$9,0)*MATCH(bhpc_data[sex],$EC$11,0)),MATCH(ROW(bhpc_data[sku]),ROW(bhpc_data[sku])),""),ROWS($A$15:A287)+$B$3)),INDEX(bhpc_data[sku],SMALL(IF(ISNUMBER(MATCH(bhpc_data[category],$EC$9,0)*MATCH(bhpc_data[sex],$EC$11,0)*MATCH(bhpc_data[size],$EC$13,0)),MATCH(ROW(bhpc_data[sku]),ROW(bhpc_data[sku])),""),ROWS($A$15:A287)+$B$3))))),"")</f>
        <v/>
      </c>
      <c r="EF282" s="446" t="str" cm="1">
        <f t="array" ref="EF282">IFERROR(IF($EC$9="",IF($EC$11="",IF($EC$13="",INDEX(bhpc_data[description],SMALL(MATCH(ROW(bhpc_data[sku]),ROW(bhpc_data[sku])),ROWS($A$15:A287)+$B$3)),INDEX(bhpc_data[description],SMALL(IF(ISNUMBER(MATCH(bhpc_data[size],$EC$13,0)),MATCH(ROW(bhpc_data[sku]),ROW(bhpc_data[sku])),""),ROWS($A$15:A287)+$B$3))),IF($EC$13="",INDEX(bhpc_data[description],SMALL(IF(ISNUMBER(MATCH(bhpc_data[sex],$EC$11,0)),MATCH(ROW(bhpc_data[sku]),ROW(bhpc_data[sku])),""),ROWS($A$15:A287)+$B$3)),INDEX(bhpc_data[description],SMALL(IF(ISNUMBER(MATCH(bhpc_data[sex],$EC$11,0)*MATCH(bhpc_data[size],$EC$13,0)),MATCH(ROW(bhpc_data[sku]),ROW(bhpc_data[sku])),""),ROWS($A$15:A287)+$B$3)))),IF($EC$11="",IF($EC$13="",INDEX(bhpc_data[description],SMALL(IF(ISNUMBER(MATCH(bhpc_data[category],$EC$9,0)),MATCH(ROW(bhpc_data[sku]),ROW(bhpc_data[sku])),""),ROWS($A$15:A287)+$B$3)),INDEX(bhpc_data[description],SMALL(IF(ISNUMBER(MATCH(bhpc_data[category],$EC$9,0)*MATCH(bhpc_data[size],$EC$13,0)),MATCH(ROW(bhpc_data[sku]),ROW(bhpc_data[sku])),""),ROWS($A$15:A287)+$B$3))),IF($EC$13="",INDEX(bhpc_data[description],SMALL(IF(ISNUMBER(MATCH(bhpc_data[category],$EC$9,0)*MATCH(bhpc_data[sex],$EC$11,0)),MATCH(ROW(bhpc_data[sku]),ROW(bhpc_data[sku])),""),ROWS($A$15:A287)+$B$3)),INDEX(bhpc_data[description],SMALL(IF(ISNUMBER(MATCH(bhpc_data[category],$EC$9,0)*MATCH(bhpc_data[sex],$EC$11,0)*MATCH(bhpc_data[size],$EC$13,0)),MATCH(ROW(bhpc_data[sku]),ROW(bhpc_data[sku])),""),ROWS($A$15:A287)+$B$3))))),"")</f>
        <v/>
      </c>
      <c r="EG282" s="447" t="str">
        <f>IFERROR(IF('BHPC MANAGER'!$EE282="","",INDEX(inventory[ESISTENZA],MATCH('BHPC MANAGER'!$EE282,inventory[SKU],0))),0)</f>
        <v/>
      </c>
      <c r="EH282" s="448"/>
      <c r="EI282" s="448" t="str">
        <f t="shared" si="21"/>
        <v/>
      </c>
      <c r="EJ282" s="449"/>
      <c r="EK282" s="450" t="str">
        <f t="shared" si="22"/>
        <v/>
      </c>
    </row>
    <row r="283" spans="135:141" x14ac:dyDescent="0.35">
      <c r="EE283" s="439" t="str" cm="1">
        <f t="array" ref="EE283">IFERROR(IF($EC$9="",IF($EC$11="",IF($EC$13="",INDEX(bhpc_data[sku],SMALL(MATCH(ROW(bhpc_data[sku]),ROW(bhpc_data[sku])),ROWS($A$15:A288)+$B$3)),INDEX(bhpc_data[sku],SMALL(IF(ISNUMBER(MATCH(bhpc_data[size],$EC$13,0)),MATCH(ROW(bhpc_data[sku]),ROW(bhpc_data[sku])),""),ROWS($A$15:A288)+$B$3))),IF($EC$13="",INDEX(bhpc_data[sku],SMALL(IF(ISNUMBER(MATCH(bhpc_data[sex],$EC$11,0)),MATCH(ROW(bhpc_data[sku]),ROW(bhpc_data[sku])),""),ROWS($A$15:A288)+$B$3)),INDEX(bhpc_data[sku],SMALL(IF(ISNUMBER(MATCH(bhpc_data[sex],$EC$11,0)*MATCH(bhpc_data[size],$EC$13,0)),MATCH(ROW(bhpc_data[sku]),ROW(bhpc_data[sku])),""),ROWS($A$15:A288)+$B$3)))),IF($EC$11="",IF($EC$13="",INDEX(bhpc_data[sku],SMALL(IF(ISNUMBER(MATCH(bhpc_data[category],$EC$9,0)),MATCH(ROW(bhpc_data[sku]),ROW(bhpc_data[sku])),""),ROWS($A$15:A288)+$B$3)),INDEX(bhpc_data[sku],SMALL(IF(ISNUMBER(MATCH(bhpc_data[category],$EC$9,0)*MATCH(bhpc_data[size],$EC$13,0)),MATCH(ROW(bhpc_data[sku]),ROW(bhpc_data[sku])),""),ROWS($A$15:A288)+$B$3))),IF($EC$13="",INDEX(bhpc_data[sku],SMALL(IF(ISNUMBER(MATCH(bhpc_data[category],$EC$9,0)*MATCH(bhpc_data[sex],$EC$11,0)),MATCH(ROW(bhpc_data[sku]),ROW(bhpc_data[sku])),""),ROWS($A$15:A288)+$B$3)),INDEX(bhpc_data[sku],SMALL(IF(ISNUMBER(MATCH(bhpc_data[category],$EC$9,0)*MATCH(bhpc_data[sex],$EC$11,0)*MATCH(bhpc_data[size],$EC$13,0)),MATCH(ROW(bhpc_data[sku]),ROW(bhpc_data[sku])),""),ROWS($A$15:A288)+$B$3))))),"")</f>
        <v/>
      </c>
      <c r="EF283" s="440" t="str" cm="1">
        <f t="array" ref="EF283">IFERROR(IF($EC$9="",IF($EC$11="",IF($EC$13="",INDEX(bhpc_data[description],SMALL(MATCH(ROW(bhpc_data[sku]),ROW(bhpc_data[sku])),ROWS($A$15:A288)+$B$3)),INDEX(bhpc_data[description],SMALL(IF(ISNUMBER(MATCH(bhpc_data[size],$EC$13,0)),MATCH(ROW(bhpc_data[sku]),ROW(bhpc_data[sku])),""),ROWS($A$15:A288)+$B$3))),IF($EC$13="",INDEX(bhpc_data[description],SMALL(IF(ISNUMBER(MATCH(bhpc_data[sex],$EC$11,0)),MATCH(ROW(bhpc_data[sku]),ROW(bhpc_data[sku])),""),ROWS($A$15:A288)+$B$3)),INDEX(bhpc_data[description],SMALL(IF(ISNUMBER(MATCH(bhpc_data[sex],$EC$11,0)*MATCH(bhpc_data[size],$EC$13,0)),MATCH(ROW(bhpc_data[sku]),ROW(bhpc_data[sku])),""),ROWS($A$15:A288)+$B$3)))),IF($EC$11="",IF($EC$13="",INDEX(bhpc_data[description],SMALL(IF(ISNUMBER(MATCH(bhpc_data[category],$EC$9,0)),MATCH(ROW(bhpc_data[sku]),ROW(bhpc_data[sku])),""),ROWS($A$15:A288)+$B$3)),INDEX(bhpc_data[description],SMALL(IF(ISNUMBER(MATCH(bhpc_data[category],$EC$9,0)*MATCH(bhpc_data[size],$EC$13,0)),MATCH(ROW(bhpc_data[sku]),ROW(bhpc_data[sku])),""),ROWS($A$15:A288)+$B$3))),IF($EC$13="",INDEX(bhpc_data[description],SMALL(IF(ISNUMBER(MATCH(bhpc_data[category],$EC$9,0)*MATCH(bhpc_data[sex],$EC$11,0)),MATCH(ROW(bhpc_data[sku]),ROW(bhpc_data[sku])),""),ROWS($A$15:A288)+$B$3)),INDEX(bhpc_data[description],SMALL(IF(ISNUMBER(MATCH(bhpc_data[category],$EC$9,0)*MATCH(bhpc_data[sex],$EC$11,0)*MATCH(bhpc_data[size],$EC$13,0)),MATCH(ROW(bhpc_data[sku]),ROW(bhpc_data[sku])),""),ROWS($A$15:A288)+$B$3))))),"")</f>
        <v/>
      </c>
      <c r="EG283" s="441" t="str">
        <f>IFERROR(IF('BHPC MANAGER'!$EE283="","",INDEX(inventory[ESISTENZA],MATCH('BHPC MANAGER'!$EE283,inventory[SKU],0))),0)</f>
        <v/>
      </c>
      <c r="EH283" s="442"/>
      <c r="EI283" s="442" t="str">
        <f t="shared" si="21"/>
        <v/>
      </c>
      <c r="EJ283" s="443"/>
      <c r="EK283" s="444" t="str">
        <f t="shared" si="22"/>
        <v/>
      </c>
    </row>
    <row r="284" spans="135:141" x14ac:dyDescent="0.35">
      <c r="EE284" s="445" t="str" cm="1">
        <f t="array" ref="EE284">IFERROR(IF($EC$9="",IF($EC$11="",IF($EC$13="",INDEX(bhpc_data[sku],SMALL(MATCH(ROW(bhpc_data[sku]),ROW(bhpc_data[sku])),ROWS($A$15:A289)+$B$3)),INDEX(bhpc_data[sku],SMALL(IF(ISNUMBER(MATCH(bhpc_data[size],$EC$13,0)),MATCH(ROW(bhpc_data[sku]),ROW(bhpc_data[sku])),""),ROWS($A$15:A289)+$B$3))),IF($EC$13="",INDEX(bhpc_data[sku],SMALL(IF(ISNUMBER(MATCH(bhpc_data[sex],$EC$11,0)),MATCH(ROW(bhpc_data[sku]),ROW(bhpc_data[sku])),""),ROWS($A$15:A289)+$B$3)),INDEX(bhpc_data[sku],SMALL(IF(ISNUMBER(MATCH(bhpc_data[sex],$EC$11,0)*MATCH(bhpc_data[size],$EC$13,0)),MATCH(ROW(bhpc_data[sku]),ROW(bhpc_data[sku])),""),ROWS($A$15:A289)+$B$3)))),IF($EC$11="",IF($EC$13="",INDEX(bhpc_data[sku],SMALL(IF(ISNUMBER(MATCH(bhpc_data[category],$EC$9,0)),MATCH(ROW(bhpc_data[sku]),ROW(bhpc_data[sku])),""),ROWS($A$15:A289)+$B$3)),INDEX(bhpc_data[sku],SMALL(IF(ISNUMBER(MATCH(bhpc_data[category],$EC$9,0)*MATCH(bhpc_data[size],$EC$13,0)),MATCH(ROW(bhpc_data[sku]),ROW(bhpc_data[sku])),""),ROWS($A$15:A289)+$B$3))),IF($EC$13="",INDEX(bhpc_data[sku],SMALL(IF(ISNUMBER(MATCH(bhpc_data[category],$EC$9,0)*MATCH(bhpc_data[sex],$EC$11,0)),MATCH(ROW(bhpc_data[sku]),ROW(bhpc_data[sku])),""),ROWS($A$15:A289)+$B$3)),INDEX(bhpc_data[sku],SMALL(IF(ISNUMBER(MATCH(bhpc_data[category],$EC$9,0)*MATCH(bhpc_data[sex],$EC$11,0)*MATCH(bhpc_data[size],$EC$13,0)),MATCH(ROW(bhpc_data[sku]),ROW(bhpc_data[sku])),""),ROWS($A$15:A289)+$B$3))))),"")</f>
        <v/>
      </c>
      <c r="EF284" s="446" t="str" cm="1">
        <f t="array" ref="EF284">IFERROR(IF($EC$9="",IF($EC$11="",IF($EC$13="",INDEX(bhpc_data[description],SMALL(MATCH(ROW(bhpc_data[sku]),ROW(bhpc_data[sku])),ROWS($A$15:A289)+$B$3)),INDEX(bhpc_data[description],SMALL(IF(ISNUMBER(MATCH(bhpc_data[size],$EC$13,0)),MATCH(ROW(bhpc_data[sku]),ROW(bhpc_data[sku])),""),ROWS($A$15:A289)+$B$3))),IF($EC$13="",INDEX(bhpc_data[description],SMALL(IF(ISNUMBER(MATCH(bhpc_data[sex],$EC$11,0)),MATCH(ROW(bhpc_data[sku]),ROW(bhpc_data[sku])),""),ROWS($A$15:A289)+$B$3)),INDEX(bhpc_data[description],SMALL(IF(ISNUMBER(MATCH(bhpc_data[sex],$EC$11,0)*MATCH(bhpc_data[size],$EC$13,0)),MATCH(ROW(bhpc_data[sku]),ROW(bhpc_data[sku])),""),ROWS($A$15:A289)+$B$3)))),IF($EC$11="",IF($EC$13="",INDEX(bhpc_data[description],SMALL(IF(ISNUMBER(MATCH(bhpc_data[category],$EC$9,0)),MATCH(ROW(bhpc_data[sku]),ROW(bhpc_data[sku])),""),ROWS($A$15:A289)+$B$3)),INDEX(bhpc_data[description],SMALL(IF(ISNUMBER(MATCH(bhpc_data[category],$EC$9,0)*MATCH(bhpc_data[size],$EC$13,0)),MATCH(ROW(bhpc_data[sku]),ROW(bhpc_data[sku])),""),ROWS($A$15:A289)+$B$3))),IF($EC$13="",INDEX(bhpc_data[description],SMALL(IF(ISNUMBER(MATCH(bhpc_data[category],$EC$9,0)*MATCH(bhpc_data[sex],$EC$11,0)),MATCH(ROW(bhpc_data[sku]),ROW(bhpc_data[sku])),""),ROWS($A$15:A289)+$B$3)),INDEX(bhpc_data[description],SMALL(IF(ISNUMBER(MATCH(bhpc_data[category],$EC$9,0)*MATCH(bhpc_data[sex],$EC$11,0)*MATCH(bhpc_data[size],$EC$13,0)),MATCH(ROW(bhpc_data[sku]),ROW(bhpc_data[sku])),""),ROWS($A$15:A289)+$B$3))))),"")</f>
        <v/>
      </c>
      <c r="EG284" s="447" t="str">
        <f>IFERROR(IF('BHPC MANAGER'!$EE284="","",INDEX(inventory[ESISTENZA],MATCH('BHPC MANAGER'!$EE284,inventory[SKU],0))),0)</f>
        <v/>
      </c>
      <c r="EH284" s="448"/>
      <c r="EI284" s="448" t="str">
        <f t="shared" si="21"/>
        <v/>
      </c>
      <c r="EJ284" s="449"/>
      <c r="EK284" s="450" t="str">
        <f t="shared" si="22"/>
        <v/>
      </c>
    </row>
    <row r="285" spans="135:141" x14ac:dyDescent="0.35">
      <c r="EE285" s="439" t="str" cm="1">
        <f t="array" ref="EE285">IFERROR(IF($EC$9="",IF($EC$11="",IF($EC$13="",INDEX(bhpc_data[sku],SMALL(MATCH(ROW(bhpc_data[sku]),ROW(bhpc_data[sku])),ROWS($A$15:A290)+$B$3)),INDEX(bhpc_data[sku],SMALL(IF(ISNUMBER(MATCH(bhpc_data[size],$EC$13,0)),MATCH(ROW(bhpc_data[sku]),ROW(bhpc_data[sku])),""),ROWS($A$15:A290)+$B$3))),IF($EC$13="",INDEX(bhpc_data[sku],SMALL(IF(ISNUMBER(MATCH(bhpc_data[sex],$EC$11,0)),MATCH(ROW(bhpc_data[sku]),ROW(bhpc_data[sku])),""),ROWS($A$15:A290)+$B$3)),INDEX(bhpc_data[sku],SMALL(IF(ISNUMBER(MATCH(bhpc_data[sex],$EC$11,0)*MATCH(bhpc_data[size],$EC$13,0)),MATCH(ROW(bhpc_data[sku]),ROW(bhpc_data[sku])),""),ROWS($A$15:A290)+$B$3)))),IF($EC$11="",IF($EC$13="",INDEX(bhpc_data[sku],SMALL(IF(ISNUMBER(MATCH(bhpc_data[category],$EC$9,0)),MATCH(ROW(bhpc_data[sku]),ROW(bhpc_data[sku])),""),ROWS($A$15:A290)+$B$3)),INDEX(bhpc_data[sku],SMALL(IF(ISNUMBER(MATCH(bhpc_data[category],$EC$9,0)*MATCH(bhpc_data[size],$EC$13,0)),MATCH(ROW(bhpc_data[sku]),ROW(bhpc_data[sku])),""),ROWS($A$15:A290)+$B$3))),IF($EC$13="",INDEX(bhpc_data[sku],SMALL(IF(ISNUMBER(MATCH(bhpc_data[category],$EC$9,0)*MATCH(bhpc_data[sex],$EC$11,0)),MATCH(ROW(bhpc_data[sku]),ROW(bhpc_data[sku])),""),ROWS($A$15:A290)+$B$3)),INDEX(bhpc_data[sku],SMALL(IF(ISNUMBER(MATCH(bhpc_data[category],$EC$9,0)*MATCH(bhpc_data[sex],$EC$11,0)*MATCH(bhpc_data[size],$EC$13,0)),MATCH(ROW(bhpc_data[sku]),ROW(bhpc_data[sku])),""),ROWS($A$15:A290)+$B$3))))),"")</f>
        <v/>
      </c>
      <c r="EF285" s="440" t="str" cm="1">
        <f t="array" ref="EF285">IFERROR(IF($EC$9="",IF($EC$11="",IF($EC$13="",INDEX(bhpc_data[description],SMALL(MATCH(ROW(bhpc_data[sku]),ROW(bhpc_data[sku])),ROWS($A$15:A290)+$B$3)),INDEX(bhpc_data[description],SMALL(IF(ISNUMBER(MATCH(bhpc_data[size],$EC$13,0)),MATCH(ROW(bhpc_data[sku]),ROW(bhpc_data[sku])),""),ROWS($A$15:A290)+$B$3))),IF($EC$13="",INDEX(bhpc_data[description],SMALL(IF(ISNUMBER(MATCH(bhpc_data[sex],$EC$11,0)),MATCH(ROW(bhpc_data[sku]),ROW(bhpc_data[sku])),""),ROWS($A$15:A290)+$B$3)),INDEX(bhpc_data[description],SMALL(IF(ISNUMBER(MATCH(bhpc_data[sex],$EC$11,0)*MATCH(bhpc_data[size],$EC$13,0)),MATCH(ROW(bhpc_data[sku]),ROW(bhpc_data[sku])),""),ROWS($A$15:A290)+$B$3)))),IF($EC$11="",IF($EC$13="",INDEX(bhpc_data[description],SMALL(IF(ISNUMBER(MATCH(bhpc_data[category],$EC$9,0)),MATCH(ROW(bhpc_data[sku]),ROW(bhpc_data[sku])),""),ROWS($A$15:A290)+$B$3)),INDEX(bhpc_data[description],SMALL(IF(ISNUMBER(MATCH(bhpc_data[category],$EC$9,0)*MATCH(bhpc_data[size],$EC$13,0)),MATCH(ROW(bhpc_data[sku]),ROW(bhpc_data[sku])),""),ROWS($A$15:A290)+$B$3))),IF($EC$13="",INDEX(bhpc_data[description],SMALL(IF(ISNUMBER(MATCH(bhpc_data[category],$EC$9,0)*MATCH(bhpc_data[sex],$EC$11,0)),MATCH(ROW(bhpc_data[sku]),ROW(bhpc_data[sku])),""),ROWS($A$15:A290)+$B$3)),INDEX(bhpc_data[description],SMALL(IF(ISNUMBER(MATCH(bhpc_data[category],$EC$9,0)*MATCH(bhpc_data[sex],$EC$11,0)*MATCH(bhpc_data[size],$EC$13,0)),MATCH(ROW(bhpc_data[sku]),ROW(bhpc_data[sku])),""),ROWS($A$15:A290)+$B$3))))),"")</f>
        <v/>
      </c>
      <c r="EG285" s="441" t="str">
        <f>IFERROR(IF('BHPC MANAGER'!$EE285="","",INDEX(inventory[ESISTENZA],MATCH('BHPC MANAGER'!$EE285,inventory[SKU],0))),0)</f>
        <v/>
      </c>
      <c r="EH285" s="442"/>
      <c r="EI285" s="442" t="str">
        <f t="shared" si="21"/>
        <v/>
      </c>
      <c r="EJ285" s="443"/>
      <c r="EK285" s="444" t="str">
        <f t="shared" si="22"/>
        <v/>
      </c>
    </row>
    <row r="286" spans="135:141" x14ac:dyDescent="0.35">
      <c r="EE286" s="445" t="str" cm="1">
        <f t="array" ref="EE286">IFERROR(IF($EC$9="",IF($EC$11="",IF($EC$13="",INDEX(bhpc_data[sku],SMALL(MATCH(ROW(bhpc_data[sku]),ROW(bhpc_data[sku])),ROWS($A$15:A291)+$B$3)),INDEX(bhpc_data[sku],SMALL(IF(ISNUMBER(MATCH(bhpc_data[size],$EC$13,0)),MATCH(ROW(bhpc_data[sku]),ROW(bhpc_data[sku])),""),ROWS($A$15:A291)+$B$3))),IF($EC$13="",INDEX(bhpc_data[sku],SMALL(IF(ISNUMBER(MATCH(bhpc_data[sex],$EC$11,0)),MATCH(ROW(bhpc_data[sku]),ROW(bhpc_data[sku])),""),ROWS($A$15:A291)+$B$3)),INDEX(bhpc_data[sku],SMALL(IF(ISNUMBER(MATCH(bhpc_data[sex],$EC$11,0)*MATCH(bhpc_data[size],$EC$13,0)),MATCH(ROW(bhpc_data[sku]),ROW(bhpc_data[sku])),""),ROWS($A$15:A291)+$B$3)))),IF($EC$11="",IF($EC$13="",INDEX(bhpc_data[sku],SMALL(IF(ISNUMBER(MATCH(bhpc_data[category],$EC$9,0)),MATCH(ROW(bhpc_data[sku]),ROW(bhpc_data[sku])),""),ROWS($A$15:A291)+$B$3)),INDEX(bhpc_data[sku],SMALL(IF(ISNUMBER(MATCH(bhpc_data[category],$EC$9,0)*MATCH(bhpc_data[size],$EC$13,0)),MATCH(ROW(bhpc_data[sku]),ROW(bhpc_data[sku])),""),ROWS($A$15:A291)+$B$3))),IF($EC$13="",INDEX(bhpc_data[sku],SMALL(IF(ISNUMBER(MATCH(bhpc_data[category],$EC$9,0)*MATCH(bhpc_data[sex],$EC$11,0)),MATCH(ROW(bhpc_data[sku]),ROW(bhpc_data[sku])),""),ROWS($A$15:A291)+$B$3)),INDEX(bhpc_data[sku],SMALL(IF(ISNUMBER(MATCH(bhpc_data[category],$EC$9,0)*MATCH(bhpc_data[sex],$EC$11,0)*MATCH(bhpc_data[size],$EC$13,0)),MATCH(ROW(bhpc_data[sku]),ROW(bhpc_data[sku])),""),ROWS($A$15:A291)+$B$3))))),"")</f>
        <v/>
      </c>
      <c r="EF286" s="446" t="str" cm="1">
        <f t="array" ref="EF286">IFERROR(IF($EC$9="",IF($EC$11="",IF($EC$13="",INDEX(bhpc_data[description],SMALL(MATCH(ROW(bhpc_data[sku]),ROW(bhpc_data[sku])),ROWS($A$15:A291)+$B$3)),INDEX(bhpc_data[description],SMALL(IF(ISNUMBER(MATCH(bhpc_data[size],$EC$13,0)),MATCH(ROW(bhpc_data[sku]),ROW(bhpc_data[sku])),""),ROWS($A$15:A291)+$B$3))),IF($EC$13="",INDEX(bhpc_data[description],SMALL(IF(ISNUMBER(MATCH(bhpc_data[sex],$EC$11,0)),MATCH(ROW(bhpc_data[sku]),ROW(bhpc_data[sku])),""),ROWS($A$15:A291)+$B$3)),INDEX(bhpc_data[description],SMALL(IF(ISNUMBER(MATCH(bhpc_data[sex],$EC$11,0)*MATCH(bhpc_data[size],$EC$13,0)),MATCH(ROW(bhpc_data[sku]),ROW(bhpc_data[sku])),""),ROWS($A$15:A291)+$B$3)))),IF($EC$11="",IF($EC$13="",INDEX(bhpc_data[description],SMALL(IF(ISNUMBER(MATCH(bhpc_data[category],$EC$9,0)),MATCH(ROW(bhpc_data[sku]),ROW(bhpc_data[sku])),""),ROWS($A$15:A291)+$B$3)),INDEX(bhpc_data[description],SMALL(IF(ISNUMBER(MATCH(bhpc_data[category],$EC$9,0)*MATCH(bhpc_data[size],$EC$13,0)),MATCH(ROW(bhpc_data[sku]),ROW(bhpc_data[sku])),""),ROWS($A$15:A291)+$B$3))),IF($EC$13="",INDEX(bhpc_data[description],SMALL(IF(ISNUMBER(MATCH(bhpc_data[category],$EC$9,0)*MATCH(bhpc_data[sex],$EC$11,0)),MATCH(ROW(bhpc_data[sku]),ROW(bhpc_data[sku])),""),ROWS($A$15:A291)+$B$3)),INDEX(bhpc_data[description],SMALL(IF(ISNUMBER(MATCH(bhpc_data[category],$EC$9,0)*MATCH(bhpc_data[sex],$EC$11,0)*MATCH(bhpc_data[size],$EC$13,0)),MATCH(ROW(bhpc_data[sku]),ROW(bhpc_data[sku])),""),ROWS($A$15:A291)+$B$3))))),"")</f>
        <v/>
      </c>
      <c r="EG286" s="447" t="str">
        <f>IFERROR(IF('BHPC MANAGER'!$EE286="","",INDEX(inventory[ESISTENZA],MATCH('BHPC MANAGER'!$EE286,inventory[SKU],0))),0)</f>
        <v/>
      </c>
      <c r="EH286" s="448"/>
      <c r="EI286" s="448" t="str">
        <f t="shared" si="21"/>
        <v/>
      </c>
      <c r="EJ286" s="449"/>
      <c r="EK286" s="450" t="str">
        <f t="shared" si="22"/>
        <v/>
      </c>
    </row>
    <row r="287" spans="135:141" x14ac:dyDescent="0.35">
      <c r="EE287" s="439" t="str" cm="1">
        <f t="array" ref="EE287">IFERROR(IF($EC$9="",IF($EC$11="",IF($EC$13="",INDEX(bhpc_data[sku],SMALL(MATCH(ROW(bhpc_data[sku]),ROW(bhpc_data[sku])),ROWS($A$15:A292)+$B$3)),INDEX(bhpc_data[sku],SMALL(IF(ISNUMBER(MATCH(bhpc_data[size],$EC$13,0)),MATCH(ROW(bhpc_data[sku]),ROW(bhpc_data[sku])),""),ROWS($A$15:A292)+$B$3))),IF($EC$13="",INDEX(bhpc_data[sku],SMALL(IF(ISNUMBER(MATCH(bhpc_data[sex],$EC$11,0)),MATCH(ROW(bhpc_data[sku]),ROW(bhpc_data[sku])),""),ROWS($A$15:A292)+$B$3)),INDEX(bhpc_data[sku],SMALL(IF(ISNUMBER(MATCH(bhpc_data[sex],$EC$11,0)*MATCH(bhpc_data[size],$EC$13,0)),MATCH(ROW(bhpc_data[sku]),ROW(bhpc_data[sku])),""),ROWS($A$15:A292)+$B$3)))),IF($EC$11="",IF($EC$13="",INDEX(bhpc_data[sku],SMALL(IF(ISNUMBER(MATCH(bhpc_data[category],$EC$9,0)),MATCH(ROW(bhpc_data[sku]),ROW(bhpc_data[sku])),""),ROWS($A$15:A292)+$B$3)),INDEX(bhpc_data[sku],SMALL(IF(ISNUMBER(MATCH(bhpc_data[category],$EC$9,0)*MATCH(bhpc_data[size],$EC$13,0)),MATCH(ROW(bhpc_data[sku]),ROW(bhpc_data[sku])),""),ROWS($A$15:A292)+$B$3))),IF($EC$13="",INDEX(bhpc_data[sku],SMALL(IF(ISNUMBER(MATCH(bhpc_data[category],$EC$9,0)*MATCH(bhpc_data[sex],$EC$11,0)),MATCH(ROW(bhpc_data[sku]),ROW(bhpc_data[sku])),""),ROWS($A$15:A292)+$B$3)),INDEX(bhpc_data[sku],SMALL(IF(ISNUMBER(MATCH(bhpc_data[category],$EC$9,0)*MATCH(bhpc_data[sex],$EC$11,0)*MATCH(bhpc_data[size],$EC$13,0)),MATCH(ROW(bhpc_data[sku]),ROW(bhpc_data[sku])),""),ROWS($A$15:A292)+$B$3))))),"")</f>
        <v/>
      </c>
      <c r="EF287" s="440" t="str" cm="1">
        <f t="array" ref="EF287">IFERROR(IF($EC$9="",IF($EC$11="",IF($EC$13="",INDEX(bhpc_data[description],SMALL(MATCH(ROW(bhpc_data[sku]),ROW(bhpc_data[sku])),ROWS($A$15:A292)+$B$3)),INDEX(bhpc_data[description],SMALL(IF(ISNUMBER(MATCH(bhpc_data[size],$EC$13,0)),MATCH(ROW(bhpc_data[sku]),ROW(bhpc_data[sku])),""),ROWS($A$15:A292)+$B$3))),IF($EC$13="",INDEX(bhpc_data[description],SMALL(IF(ISNUMBER(MATCH(bhpc_data[sex],$EC$11,0)),MATCH(ROW(bhpc_data[sku]),ROW(bhpc_data[sku])),""),ROWS($A$15:A292)+$B$3)),INDEX(bhpc_data[description],SMALL(IF(ISNUMBER(MATCH(bhpc_data[sex],$EC$11,0)*MATCH(bhpc_data[size],$EC$13,0)),MATCH(ROW(bhpc_data[sku]),ROW(bhpc_data[sku])),""),ROWS($A$15:A292)+$B$3)))),IF($EC$11="",IF($EC$13="",INDEX(bhpc_data[description],SMALL(IF(ISNUMBER(MATCH(bhpc_data[category],$EC$9,0)),MATCH(ROW(bhpc_data[sku]),ROW(bhpc_data[sku])),""),ROWS($A$15:A292)+$B$3)),INDEX(bhpc_data[description],SMALL(IF(ISNUMBER(MATCH(bhpc_data[category],$EC$9,0)*MATCH(bhpc_data[size],$EC$13,0)),MATCH(ROW(bhpc_data[sku]),ROW(bhpc_data[sku])),""),ROWS($A$15:A292)+$B$3))),IF($EC$13="",INDEX(bhpc_data[description],SMALL(IF(ISNUMBER(MATCH(bhpc_data[category],$EC$9,0)*MATCH(bhpc_data[sex],$EC$11,0)),MATCH(ROW(bhpc_data[sku]),ROW(bhpc_data[sku])),""),ROWS($A$15:A292)+$B$3)),INDEX(bhpc_data[description],SMALL(IF(ISNUMBER(MATCH(bhpc_data[category],$EC$9,0)*MATCH(bhpc_data[sex],$EC$11,0)*MATCH(bhpc_data[size],$EC$13,0)),MATCH(ROW(bhpc_data[sku]),ROW(bhpc_data[sku])),""),ROWS($A$15:A292)+$B$3))))),"")</f>
        <v/>
      </c>
      <c r="EG287" s="441" t="str">
        <f>IFERROR(IF('BHPC MANAGER'!$EE287="","",INDEX(inventory[ESISTENZA],MATCH('BHPC MANAGER'!$EE287,inventory[SKU],0))),0)</f>
        <v/>
      </c>
      <c r="EH287" s="442"/>
      <c r="EI287" s="442" t="str">
        <f t="shared" si="21"/>
        <v/>
      </c>
      <c r="EJ287" s="443"/>
      <c r="EK287" s="444" t="str">
        <f t="shared" si="22"/>
        <v/>
      </c>
    </row>
    <row r="288" spans="135:141" x14ac:dyDescent="0.35">
      <c r="EE288" s="445" t="str" cm="1">
        <f t="array" ref="EE288">IFERROR(IF($EC$9="",IF($EC$11="",IF($EC$13="",INDEX(bhpc_data[sku],SMALL(MATCH(ROW(bhpc_data[sku]),ROW(bhpc_data[sku])),ROWS($A$15:A293)+$B$3)),INDEX(bhpc_data[sku],SMALL(IF(ISNUMBER(MATCH(bhpc_data[size],$EC$13,0)),MATCH(ROW(bhpc_data[sku]),ROW(bhpc_data[sku])),""),ROWS($A$15:A293)+$B$3))),IF($EC$13="",INDEX(bhpc_data[sku],SMALL(IF(ISNUMBER(MATCH(bhpc_data[sex],$EC$11,0)),MATCH(ROW(bhpc_data[sku]),ROW(bhpc_data[sku])),""),ROWS($A$15:A293)+$B$3)),INDEX(bhpc_data[sku],SMALL(IF(ISNUMBER(MATCH(bhpc_data[sex],$EC$11,0)*MATCH(bhpc_data[size],$EC$13,0)),MATCH(ROW(bhpc_data[sku]),ROW(bhpc_data[sku])),""),ROWS($A$15:A293)+$B$3)))),IF($EC$11="",IF($EC$13="",INDEX(bhpc_data[sku],SMALL(IF(ISNUMBER(MATCH(bhpc_data[category],$EC$9,0)),MATCH(ROW(bhpc_data[sku]),ROW(bhpc_data[sku])),""),ROWS($A$15:A293)+$B$3)),INDEX(bhpc_data[sku],SMALL(IF(ISNUMBER(MATCH(bhpc_data[category],$EC$9,0)*MATCH(bhpc_data[size],$EC$13,0)),MATCH(ROW(bhpc_data[sku]),ROW(bhpc_data[sku])),""),ROWS($A$15:A293)+$B$3))),IF($EC$13="",INDEX(bhpc_data[sku],SMALL(IF(ISNUMBER(MATCH(bhpc_data[category],$EC$9,0)*MATCH(bhpc_data[sex],$EC$11,0)),MATCH(ROW(bhpc_data[sku]),ROW(bhpc_data[sku])),""),ROWS($A$15:A293)+$B$3)),INDEX(bhpc_data[sku],SMALL(IF(ISNUMBER(MATCH(bhpc_data[category],$EC$9,0)*MATCH(bhpc_data[sex],$EC$11,0)*MATCH(bhpc_data[size],$EC$13,0)),MATCH(ROW(bhpc_data[sku]),ROW(bhpc_data[sku])),""),ROWS($A$15:A293)+$B$3))))),"")</f>
        <v/>
      </c>
      <c r="EF288" s="446" t="str" cm="1">
        <f t="array" ref="EF288">IFERROR(IF($EC$9="",IF($EC$11="",IF($EC$13="",INDEX(bhpc_data[description],SMALL(MATCH(ROW(bhpc_data[sku]),ROW(bhpc_data[sku])),ROWS($A$15:A293)+$B$3)),INDEX(bhpc_data[description],SMALL(IF(ISNUMBER(MATCH(bhpc_data[size],$EC$13,0)),MATCH(ROW(bhpc_data[sku]),ROW(bhpc_data[sku])),""),ROWS($A$15:A293)+$B$3))),IF($EC$13="",INDEX(bhpc_data[description],SMALL(IF(ISNUMBER(MATCH(bhpc_data[sex],$EC$11,0)),MATCH(ROW(bhpc_data[sku]),ROW(bhpc_data[sku])),""),ROWS($A$15:A293)+$B$3)),INDEX(bhpc_data[description],SMALL(IF(ISNUMBER(MATCH(bhpc_data[sex],$EC$11,0)*MATCH(bhpc_data[size],$EC$13,0)),MATCH(ROW(bhpc_data[sku]),ROW(bhpc_data[sku])),""),ROWS($A$15:A293)+$B$3)))),IF($EC$11="",IF($EC$13="",INDEX(bhpc_data[description],SMALL(IF(ISNUMBER(MATCH(bhpc_data[category],$EC$9,0)),MATCH(ROW(bhpc_data[sku]),ROW(bhpc_data[sku])),""),ROWS($A$15:A293)+$B$3)),INDEX(bhpc_data[description],SMALL(IF(ISNUMBER(MATCH(bhpc_data[category],$EC$9,0)*MATCH(bhpc_data[size],$EC$13,0)),MATCH(ROW(bhpc_data[sku]),ROW(bhpc_data[sku])),""),ROWS($A$15:A293)+$B$3))),IF($EC$13="",INDEX(bhpc_data[description],SMALL(IF(ISNUMBER(MATCH(bhpc_data[category],$EC$9,0)*MATCH(bhpc_data[sex],$EC$11,0)),MATCH(ROW(bhpc_data[sku]),ROW(bhpc_data[sku])),""),ROWS($A$15:A293)+$B$3)),INDEX(bhpc_data[description],SMALL(IF(ISNUMBER(MATCH(bhpc_data[category],$EC$9,0)*MATCH(bhpc_data[sex],$EC$11,0)*MATCH(bhpc_data[size],$EC$13,0)),MATCH(ROW(bhpc_data[sku]),ROW(bhpc_data[sku])),""),ROWS($A$15:A293)+$B$3))))),"")</f>
        <v/>
      </c>
      <c r="EG288" s="447" t="str">
        <f>IFERROR(IF('BHPC MANAGER'!$EE288="","",INDEX(inventory[ESISTENZA],MATCH('BHPC MANAGER'!$EE288,inventory[SKU],0))),0)</f>
        <v/>
      </c>
      <c r="EH288" s="448"/>
      <c r="EI288" s="448" t="str">
        <f t="shared" si="21"/>
        <v/>
      </c>
      <c r="EJ288" s="449"/>
      <c r="EK288" s="450" t="str">
        <f t="shared" si="22"/>
        <v/>
      </c>
    </row>
    <row r="289" spans="135:141" x14ac:dyDescent="0.35">
      <c r="EE289" s="439" t="str" cm="1">
        <f t="array" ref="EE289">IFERROR(IF($EC$9="",IF($EC$11="",IF($EC$13="",INDEX(bhpc_data[sku],SMALL(MATCH(ROW(bhpc_data[sku]),ROW(bhpc_data[sku])),ROWS($A$15:A294)+$B$3)),INDEX(bhpc_data[sku],SMALL(IF(ISNUMBER(MATCH(bhpc_data[size],$EC$13,0)),MATCH(ROW(bhpc_data[sku]),ROW(bhpc_data[sku])),""),ROWS($A$15:A294)+$B$3))),IF($EC$13="",INDEX(bhpc_data[sku],SMALL(IF(ISNUMBER(MATCH(bhpc_data[sex],$EC$11,0)),MATCH(ROW(bhpc_data[sku]),ROW(bhpc_data[sku])),""),ROWS($A$15:A294)+$B$3)),INDEX(bhpc_data[sku],SMALL(IF(ISNUMBER(MATCH(bhpc_data[sex],$EC$11,0)*MATCH(bhpc_data[size],$EC$13,0)),MATCH(ROW(bhpc_data[sku]),ROW(bhpc_data[sku])),""),ROWS($A$15:A294)+$B$3)))),IF($EC$11="",IF($EC$13="",INDEX(bhpc_data[sku],SMALL(IF(ISNUMBER(MATCH(bhpc_data[category],$EC$9,0)),MATCH(ROW(bhpc_data[sku]),ROW(bhpc_data[sku])),""),ROWS($A$15:A294)+$B$3)),INDEX(bhpc_data[sku],SMALL(IF(ISNUMBER(MATCH(bhpc_data[category],$EC$9,0)*MATCH(bhpc_data[size],$EC$13,0)),MATCH(ROW(bhpc_data[sku]),ROW(bhpc_data[sku])),""),ROWS($A$15:A294)+$B$3))),IF($EC$13="",INDEX(bhpc_data[sku],SMALL(IF(ISNUMBER(MATCH(bhpc_data[category],$EC$9,0)*MATCH(bhpc_data[sex],$EC$11,0)),MATCH(ROW(bhpc_data[sku]),ROW(bhpc_data[sku])),""),ROWS($A$15:A294)+$B$3)),INDEX(bhpc_data[sku],SMALL(IF(ISNUMBER(MATCH(bhpc_data[category],$EC$9,0)*MATCH(bhpc_data[sex],$EC$11,0)*MATCH(bhpc_data[size],$EC$13,0)),MATCH(ROW(bhpc_data[sku]),ROW(bhpc_data[sku])),""),ROWS($A$15:A294)+$B$3))))),"")</f>
        <v/>
      </c>
      <c r="EF289" s="440" t="str" cm="1">
        <f t="array" ref="EF289">IFERROR(IF($EC$9="",IF($EC$11="",IF($EC$13="",INDEX(bhpc_data[description],SMALL(MATCH(ROW(bhpc_data[sku]),ROW(bhpc_data[sku])),ROWS($A$15:A294)+$B$3)),INDEX(bhpc_data[description],SMALL(IF(ISNUMBER(MATCH(bhpc_data[size],$EC$13,0)),MATCH(ROW(bhpc_data[sku]),ROW(bhpc_data[sku])),""),ROWS($A$15:A294)+$B$3))),IF($EC$13="",INDEX(bhpc_data[description],SMALL(IF(ISNUMBER(MATCH(bhpc_data[sex],$EC$11,0)),MATCH(ROW(bhpc_data[sku]),ROW(bhpc_data[sku])),""),ROWS($A$15:A294)+$B$3)),INDEX(bhpc_data[description],SMALL(IF(ISNUMBER(MATCH(bhpc_data[sex],$EC$11,0)*MATCH(bhpc_data[size],$EC$13,0)),MATCH(ROW(bhpc_data[sku]),ROW(bhpc_data[sku])),""),ROWS($A$15:A294)+$B$3)))),IF($EC$11="",IF($EC$13="",INDEX(bhpc_data[description],SMALL(IF(ISNUMBER(MATCH(bhpc_data[category],$EC$9,0)),MATCH(ROW(bhpc_data[sku]),ROW(bhpc_data[sku])),""),ROWS($A$15:A294)+$B$3)),INDEX(bhpc_data[description],SMALL(IF(ISNUMBER(MATCH(bhpc_data[category],$EC$9,0)*MATCH(bhpc_data[size],$EC$13,0)),MATCH(ROW(bhpc_data[sku]),ROW(bhpc_data[sku])),""),ROWS($A$15:A294)+$B$3))),IF($EC$13="",INDEX(bhpc_data[description],SMALL(IF(ISNUMBER(MATCH(bhpc_data[category],$EC$9,0)*MATCH(bhpc_data[sex],$EC$11,0)),MATCH(ROW(bhpc_data[sku]),ROW(bhpc_data[sku])),""),ROWS($A$15:A294)+$B$3)),INDEX(bhpc_data[description],SMALL(IF(ISNUMBER(MATCH(bhpc_data[category],$EC$9,0)*MATCH(bhpc_data[sex],$EC$11,0)*MATCH(bhpc_data[size],$EC$13,0)),MATCH(ROW(bhpc_data[sku]),ROW(bhpc_data[sku])),""),ROWS($A$15:A294)+$B$3))))),"")</f>
        <v/>
      </c>
      <c r="EG289" s="441" t="str">
        <f>IFERROR(IF('BHPC MANAGER'!$EE289="","",INDEX(inventory[ESISTENZA],MATCH('BHPC MANAGER'!$EE289,inventory[SKU],0))),0)</f>
        <v/>
      </c>
      <c r="EH289" s="442"/>
      <c r="EI289" s="442" t="str">
        <f t="shared" si="21"/>
        <v/>
      </c>
      <c r="EJ289" s="443"/>
      <c r="EK289" s="444" t="str">
        <f t="shared" si="22"/>
        <v/>
      </c>
    </row>
    <row r="290" spans="135:141" x14ac:dyDescent="0.35">
      <c r="EE290" s="445" t="str" cm="1">
        <f t="array" ref="EE290">IFERROR(IF($EC$9="",IF($EC$11="",IF($EC$13="",INDEX(bhpc_data[sku],SMALL(MATCH(ROW(bhpc_data[sku]),ROW(bhpc_data[sku])),ROWS($A$15:A295)+$B$3)),INDEX(bhpc_data[sku],SMALL(IF(ISNUMBER(MATCH(bhpc_data[size],$EC$13,0)),MATCH(ROW(bhpc_data[sku]),ROW(bhpc_data[sku])),""),ROWS($A$15:A295)+$B$3))),IF($EC$13="",INDEX(bhpc_data[sku],SMALL(IF(ISNUMBER(MATCH(bhpc_data[sex],$EC$11,0)),MATCH(ROW(bhpc_data[sku]),ROW(bhpc_data[sku])),""),ROWS($A$15:A295)+$B$3)),INDEX(bhpc_data[sku],SMALL(IF(ISNUMBER(MATCH(bhpc_data[sex],$EC$11,0)*MATCH(bhpc_data[size],$EC$13,0)),MATCH(ROW(bhpc_data[sku]),ROW(bhpc_data[sku])),""),ROWS($A$15:A295)+$B$3)))),IF($EC$11="",IF($EC$13="",INDEX(bhpc_data[sku],SMALL(IF(ISNUMBER(MATCH(bhpc_data[category],$EC$9,0)),MATCH(ROW(bhpc_data[sku]),ROW(bhpc_data[sku])),""),ROWS($A$15:A295)+$B$3)),INDEX(bhpc_data[sku],SMALL(IF(ISNUMBER(MATCH(bhpc_data[category],$EC$9,0)*MATCH(bhpc_data[size],$EC$13,0)),MATCH(ROW(bhpc_data[sku]),ROW(bhpc_data[sku])),""),ROWS($A$15:A295)+$B$3))),IF($EC$13="",INDEX(bhpc_data[sku],SMALL(IF(ISNUMBER(MATCH(bhpc_data[category],$EC$9,0)*MATCH(bhpc_data[sex],$EC$11,0)),MATCH(ROW(bhpc_data[sku]),ROW(bhpc_data[sku])),""),ROWS($A$15:A295)+$B$3)),INDEX(bhpc_data[sku],SMALL(IF(ISNUMBER(MATCH(bhpc_data[category],$EC$9,0)*MATCH(bhpc_data[sex],$EC$11,0)*MATCH(bhpc_data[size],$EC$13,0)),MATCH(ROW(bhpc_data[sku]),ROW(bhpc_data[sku])),""),ROWS($A$15:A295)+$B$3))))),"")</f>
        <v/>
      </c>
      <c r="EF290" s="446" t="str" cm="1">
        <f t="array" ref="EF290">IFERROR(IF($EC$9="",IF($EC$11="",IF($EC$13="",INDEX(bhpc_data[description],SMALL(MATCH(ROW(bhpc_data[sku]),ROW(bhpc_data[sku])),ROWS($A$15:A295)+$B$3)),INDEX(bhpc_data[description],SMALL(IF(ISNUMBER(MATCH(bhpc_data[size],$EC$13,0)),MATCH(ROW(bhpc_data[sku]),ROW(bhpc_data[sku])),""),ROWS($A$15:A295)+$B$3))),IF($EC$13="",INDEX(bhpc_data[description],SMALL(IF(ISNUMBER(MATCH(bhpc_data[sex],$EC$11,0)),MATCH(ROW(bhpc_data[sku]),ROW(bhpc_data[sku])),""),ROWS($A$15:A295)+$B$3)),INDEX(bhpc_data[description],SMALL(IF(ISNUMBER(MATCH(bhpc_data[sex],$EC$11,0)*MATCH(bhpc_data[size],$EC$13,0)),MATCH(ROW(bhpc_data[sku]),ROW(bhpc_data[sku])),""),ROWS($A$15:A295)+$B$3)))),IF($EC$11="",IF($EC$13="",INDEX(bhpc_data[description],SMALL(IF(ISNUMBER(MATCH(bhpc_data[category],$EC$9,0)),MATCH(ROW(bhpc_data[sku]),ROW(bhpc_data[sku])),""),ROWS($A$15:A295)+$B$3)),INDEX(bhpc_data[description],SMALL(IF(ISNUMBER(MATCH(bhpc_data[category],$EC$9,0)*MATCH(bhpc_data[size],$EC$13,0)),MATCH(ROW(bhpc_data[sku]),ROW(bhpc_data[sku])),""),ROWS($A$15:A295)+$B$3))),IF($EC$13="",INDEX(bhpc_data[description],SMALL(IF(ISNUMBER(MATCH(bhpc_data[category],$EC$9,0)*MATCH(bhpc_data[sex],$EC$11,0)),MATCH(ROW(bhpc_data[sku]),ROW(bhpc_data[sku])),""),ROWS($A$15:A295)+$B$3)),INDEX(bhpc_data[description],SMALL(IF(ISNUMBER(MATCH(bhpc_data[category],$EC$9,0)*MATCH(bhpc_data[sex],$EC$11,0)*MATCH(bhpc_data[size],$EC$13,0)),MATCH(ROW(bhpc_data[sku]),ROW(bhpc_data[sku])),""),ROWS($A$15:A295)+$B$3))))),"")</f>
        <v/>
      </c>
      <c r="EG290" s="447" t="str">
        <f>IFERROR(IF('BHPC MANAGER'!$EE290="","",INDEX(inventory[ESISTENZA],MATCH('BHPC MANAGER'!$EE290,inventory[SKU],0))),0)</f>
        <v/>
      </c>
      <c r="EH290" s="448"/>
      <c r="EI290" s="448" t="str">
        <f t="shared" si="21"/>
        <v/>
      </c>
      <c r="EJ290" s="449"/>
      <c r="EK290" s="450" t="str">
        <f t="shared" si="22"/>
        <v/>
      </c>
    </row>
    <row r="291" spans="135:141" x14ac:dyDescent="0.35">
      <c r="EE291" s="439" t="str" cm="1">
        <f t="array" ref="EE291">IFERROR(IF($EC$9="",IF($EC$11="",IF($EC$13="",INDEX(bhpc_data[sku],SMALL(MATCH(ROW(bhpc_data[sku]),ROW(bhpc_data[sku])),ROWS($A$15:A296)+$B$3)),INDEX(bhpc_data[sku],SMALL(IF(ISNUMBER(MATCH(bhpc_data[size],$EC$13,0)),MATCH(ROW(bhpc_data[sku]),ROW(bhpc_data[sku])),""),ROWS($A$15:A296)+$B$3))),IF($EC$13="",INDEX(bhpc_data[sku],SMALL(IF(ISNUMBER(MATCH(bhpc_data[sex],$EC$11,0)),MATCH(ROW(bhpc_data[sku]),ROW(bhpc_data[sku])),""),ROWS($A$15:A296)+$B$3)),INDEX(bhpc_data[sku],SMALL(IF(ISNUMBER(MATCH(bhpc_data[sex],$EC$11,0)*MATCH(bhpc_data[size],$EC$13,0)),MATCH(ROW(bhpc_data[sku]),ROW(bhpc_data[sku])),""),ROWS($A$15:A296)+$B$3)))),IF($EC$11="",IF($EC$13="",INDEX(bhpc_data[sku],SMALL(IF(ISNUMBER(MATCH(bhpc_data[category],$EC$9,0)),MATCH(ROW(bhpc_data[sku]),ROW(bhpc_data[sku])),""),ROWS($A$15:A296)+$B$3)),INDEX(bhpc_data[sku],SMALL(IF(ISNUMBER(MATCH(bhpc_data[category],$EC$9,0)*MATCH(bhpc_data[size],$EC$13,0)),MATCH(ROW(bhpc_data[sku]),ROW(bhpc_data[sku])),""),ROWS($A$15:A296)+$B$3))),IF($EC$13="",INDEX(bhpc_data[sku],SMALL(IF(ISNUMBER(MATCH(bhpc_data[category],$EC$9,0)*MATCH(bhpc_data[sex],$EC$11,0)),MATCH(ROW(bhpc_data[sku]),ROW(bhpc_data[sku])),""),ROWS($A$15:A296)+$B$3)),INDEX(bhpc_data[sku],SMALL(IF(ISNUMBER(MATCH(bhpc_data[category],$EC$9,0)*MATCH(bhpc_data[sex],$EC$11,0)*MATCH(bhpc_data[size],$EC$13,0)),MATCH(ROW(bhpc_data[sku]),ROW(bhpc_data[sku])),""),ROWS($A$15:A296)+$B$3))))),"")</f>
        <v/>
      </c>
      <c r="EF291" s="440" t="str" cm="1">
        <f t="array" ref="EF291">IFERROR(IF($EC$9="",IF($EC$11="",IF($EC$13="",INDEX(bhpc_data[description],SMALL(MATCH(ROW(bhpc_data[sku]),ROW(bhpc_data[sku])),ROWS($A$15:A296)+$B$3)),INDEX(bhpc_data[description],SMALL(IF(ISNUMBER(MATCH(bhpc_data[size],$EC$13,0)),MATCH(ROW(bhpc_data[sku]),ROW(bhpc_data[sku])),""),ROWS($A$15:A296)+$B$3))),IF($EC$13="",INDEX(bhpc_data[description],SMALL(IF(ISNUMBER(MATCH(bhpc_data[sex],$EC$11,0)),MATCH(ROW(bhpc_data[sku]),ROW(bhpc_data[sku])),""),ROWS($A$15:A296)+$B$3)),INDEX(bhpc_data[description],SMALL(IF(ISNUMBER(MATCH(bhpc_data[sex],$EC$11,0)*MATCH(bhpc_data[size],$EC$13,0)),MATCH(ROW(bhpc_data[sku]),ROW(bhpc_data[sku])),""),ROWS($A$15:A296)+$B$3)))),IF($EC$11="",IF($EC$13="",INDEX(bhpc_data[description],SMALL(IF(ISNUMBER(MATCH(bhpc_data[category],$EC$9,0)),MATCH(ROW(bhpc_data[sku]),ROW(bhpc_data[sku])),""),ROWS($A$15:A296)+$B$3)),INDEX(bhpc_data[description],SMALL(IF(ISNUMBER(MATCH(bhpc_data[category],$EC$9,0)*MATCH(bhpc_data[size],$EC$13,0)),MATCH(ROW(bhpc_data[sku]),ROW(bhpc_data[sku])),""),ROWS($A$15:A296)+$B$3))),IF($EC$13="",INDEX(bhpc_data[description],SMALL(IF(ISNUMBER(MATCH(bhpc_data[category],$EC$9,0)*MATCH(bhpc_data[sex],$EC$11,0)),MATCH(ROW(bhpc_data[sku]),ROW(bhpc_data[sku])),""),ROWS($A$15:A296)+$B$3)),INDEX(bhpc_data[description],SMALL(IF(ISNUMBER(MATCH(bhpc_data[category],$EC$9,0)*MATCH(bhpc_data[sex],$EC$11,0)*MATCH(bhpc_data[size],$EC$13,0)),MATCH(ROW(bhpc_data[sku]),ROW(bhpc_data[sku])),""),ROWS($A$15:A296)+$B$3))))),"")</f>
        <v/>
      </c>
      <c r="EG291" s="441" t="str">
        <f>IFERROR(IF('BHPC MANAGER'!$EE291="","",INDEX(inventory[ESISTENZA],MATCH('BHPC MANAGER'!$EE291,inventory[SKU],0))),0)</f>
        <v/>
      </c>
      <c r="EH291" s="442"/>
      <c r="EI291" s="442" t="str">
        <f t="shared" si="21"/>
        <v/>
      </c>
      <c r="EJ291" s="443"/>
      <c r="EK291" s="444" t="str">
        <f t="shared" si="22"/>
        <v/>
      </c>
    </row>
    <row r="292" spans="135:141" x14ac:dyDescent="0.35">
      <c r="EE292" s="445" t="str" cm="1">
        <f t="array" ref="EE292">IFERROR(IF($EC$9="",IF($EC$11="",IF($EC$13="",INDEX(bhpc_data[sku],SMALL(MATCH(ROW(bhpc_data[sku]),ROW(bhpc_data[sku])),ROWS($A$15:A297)+$B$3)),INDEX(bhpc_data[sku],SMALL(IF(ISNUMBER(MATCH(bhpc_data[size],$EC$13,0)),MATCH(ROW(bhpc_data[sku]),ROW(bhpc_data[sku])),""),ROWS($A$15:A297)+$B$3))),IF($EC$13="",INDEX(bhpc_data[sku],SMALL(IF(ISNUMBER(MATCH(bhpc_data[sex],$EC$11,0)),MATCH(ROW(bhpc_data[sku]),ROW(bhpc_data[sku])),""),ROWS($A$15:A297)+$B$3)),INDEX(bhpc_data[sku],SMALL(IF(ISNUMBER(MATCH(bhpc_data[sex],$EC$11,0)*MATCH(bhpc_data[size],$EC$13,0)),MATCH(ROW(bhpc_data[sku]),ROW(bhpc_data[sku])),""),ROWS($A$15:A297)+$B$3)))),IF($EC$11="",IF($EC$13="",INDEX(bhpc_data[sku],SMALL(IF(ISNUMBER(MATCH(bhpc_data[category],$EC$9,0)),MATCH(ROW(bhpc_data[sku]),ROW(bhpc_data[sku])),""),ROWS($A$15:A297)+$B$3)),INDEX(bhpc_data[sku],SMALL(IF(ISNUMBER(MATCH(bhpc_data[category],$EC$9,0)*MATCH(bhpc_data[size],$EC$13,0)),MATCH(ROW(bhpc_data[sku]),ROW(bhpc_data[sku])),""),ROWS($A$15:A297)+$B$3))),IF($EC$13="",INDEX(bhpc_data[sku],SMALL(IF(ISNUMBER(MATCH(bhpc_data[category],$EC$9,0)*MATCH(bhpc_data[sex],$EC$11,0)),MATCH(ROW(bhpc_data[sku]),ROW(bhpc_data[sku])),""),ROWS($A$15:A297)+$B$3)),INDEX(bhpc_data[sku],SMALL(IF(ISNUMBER(MATCH(bhpc_data[category],$EC$9,0)*MATCH(bhpc_data[sex],$EC$11,0)*MATCH(bhpc_data[size],$EC$13,0)),MATCH(ROW(bhpc_data[sku]),ROW(bhpc_data[sku])),""),ROWS($A$15:A297)+$B$3))))),"")</f>
        <v/>
      </c>
      <c r="EF292" s="446" t="str" cm="1">
        <f t="array" ref="EF292">IFERROR(IF($EC$9="",IF($EC$11="",IF($EC$13="",INDEX(bhpc_data[description],SMALL(MATCH(ROW(bhpc_data[sku]),ROW(bhpc_data[sku])),ROWS($A$15:A297)+$B$3)),INDEX(bhpc_data[description],SMALL(IF(ISNUMBER(MATCH(bhpc_data[size],$EC$13,0)),MATCH(ROW(bhpc_data[sku]),ROW(bhpc_data[sku])),""),ROWS($A$15:A297)+$B$3))),IF($EC$13="",INDEX(bhpc_data[description],SMALL(IF(ISNUMBER(MATCH(bhpc_data[sex],$EC$11,0)),MATCH(ROW(bhpc_data[sku]),ROW(bhpc_data[sku])),""),ROWS($A$15:A297)+$B$3)),INDEX(bhpc_data[description],SMALL(IF(ISNUMBER(MATCH(bhpc_data[sex],$EC$11,0)*MATCH(bhpc_data[size],$EC$13,0)),MATCH(ROW(bhpc_data[sku]),ROW(bhpc_data[sku])),""),ROWS($A$15:A297)+$B$3)))),IF($EC$11="",IF($EC$13="",INDEX(bhpc_data[description],SMALL(IF(ISNUMBER(MATCH(bhpc_data[category],$EC$9,0)),MATCH(ROW(bhpc_data[sku]),ROW(bhpc_data[sku])),""),ROWS($A$15:A297)+$B$3)),INDEX(bhpc_data[description],SMALL(IF(ISNUMBER(MATCH(bhpc_data[category],$EC$9,0)*MATCH(bhpc_data[size],$EC$13,0)),MATCH(ROW(bhpc_data[sku]),ROW(bhpc_data[sku])),""),ROWS($A$15:A297)+$B$3))),IF($EC$13="",INDEX(bhpc_data[description],SMALL(IF(ISNUMBER(MATCH(bhpc_data[category],$EC$9,0)*MATCH(bhpc_data[sex],$EC$11,0)),MATCH(ROW(bhpc_data[sku]),ROW(bhpc_data[sku])),""),ROWS($A$15:A297)+$B$3)),INDEX(bhpc_data[description],SMALL(IF(ISNUMBER(MATCH(bhpc_data[category],$EC$9,0)*MATCH(bhpc_data[sex],$EC$11,0)*MATCH(bhpc_data[size],$EC$13,0)),MATCH(ROW(bhpc_data[sku]),ROW(bhpc_data[sku])),""),ROWS($A$15:A297)+$B$3))))),"")</f>
        <v/>
      </c>
      <c r="EG292" s="447" t="str">
        <f>IFERROR(IF('BHPC MANAGER'!$EE292="","",INDEX(inventory[ESISTENZA],MATCH('BHPC MANAGER'!$EE292,inventory[SKU],0))),0)</f>
        <v/>
      </c>
      <c r="EH292" s="448"/>
      <c r="EI292" s="448" t="str">
        <f t="shared" si="21"/>
        <v/>
      </c>
      <c r="EJ292" s="449"/>
      <c r="EK292" s="450" t="str">
        <f t="shared" si="22"/>
        <v/>
      </c>
    </row>
    <row r="293" spans="135:141" x14ac:dyDescent="0.35">
      <c r="EE293" s="439" t="str" cm="1">
        <f t="array" ref="EE293">IFERROR(IF($EC$9="",IF($EC$11="",IF($EC$13="",INDEX(bhpc_data[sku],SMALL(MATCH(ROW(bhpc_data[sku]),ROW(bhpc_data[sku])),ROWS($A$15:A298)+$B$3)),INDEX(bhpc_data[sku],SMALL(IF(ISNUMBER(MATCH(bhpc_data[size],$EC$13,0)),MATCH(ROW(bhpc_data[sku]),ROW(bhpc_data[sku])),""),ROWS($A$15:A298)+$B$3))),IF($EC$13="",INDEX(bhpc_data[sku],SMALL(IF(ISNUMBER(MATCH(bhpc_data[sex],$EC$11,0)),MATCH(ROW(bhpc_data[sku]),ROW(bhpc_data[sku])),""),ROWS($A$15:A298)+$B$3)),INDEX(bhpc_data[sku],SMALL(IF(ISNUMBER(MATCH(bhpc_data[sex],$EC$11,0)*MATCH(bhpc_data[size],$EC$13,0)),MATCH(ROW(bhpc_data[sku]),ROW(bhpc_data[sku])),""),ROWS($A$15:A298)+$B$3)))),IF($EC$11="",IF($EC$13="",INDEX(bhpc_data[sku],SMALL(IF(ISNUMBER(MATCH(bhpc_data[category],$EC$9,0)),MATCH(ROW(bhpc_data[sku]),ROW(bhpc_data[sku])),""),ROWS($A$15:A298)+$B$3)),INDEX(bhpc_data[sku],SMALL(IF(ISNUMBER(MATCH(bhpc_data[category],$EC$9,0)*MATCH(bhpc_data[size],$EC$13,0)),MATCH(ROW(bhpc_data[sku]),ROW(bhpc_data[sku])),""),ROWS($A$15:A298)+$B$3))),IF($EC$13="",INDEX(bhpc_data[sku],SMALL(IF(ISNUMBER(MATCH(bhpc_data[category],$EC$9,0)*MATCH(bhpc_data[sex],$EC$11,0)),MATCH(ROW(bhpc_data[sku]),ROW(bhpc_data[sku])),""),ROWS($A$15:A298)+$B$3)),INDEX(bhpc_data[sku],SMALL(IF(ISNUMBER(MATCH(bhpc_data[category],$EC$9,0)*MATCH(bhpc_data[sex],$EC$11,0)*MATCH(bhpc_data[size],$EC$13,0)),MATCH(ROW(bhpc_data[sku]),ROW(bhpc_data[sku])),""),ROWS($A$15:A298)+$B$3))))),"")</f>
        <v/>
      </c>
      <c r="EF293" s="440" t="str" cm="1">
        <f t="array" ref="EF293">IFERROR(IF($EC$9="",IF($EC$11="",IF($EC$13="",INDEX(bhpc_data[description],SMALL(MATCH(ROW(bhpc_data[sku]),ROW(bhpc_data[sku])),ROWS($A$15:A298)+$B$3)),INDEX(bhpc_data[description],SMALL(IF(ISNUMBER(MATCH(bhpc_data[size],$EC$13,0)),MATCH(ROW(bhpc_data[sku]),ROW(bhpc_data[sku])),""),ROWS($A$15:A298)+$B$3))),IF($EC$13="",INDEX(bhpc_data[description],SMALL(IF(ISNUMBER(MATCH(bhpc_data[sex],$EC$11,0)),MATCH(ROW(bhpc_data[sku]),ROW(bhpc_data[sku])),""),ROWS($A$15:A298)+$B$3)),INDEX(bhpc_data[description],SMALL(IF(ISNUMBER(MATCH(bhpc_data[sex],$EC$11,0)*MATCH(bhpc_data[size],$EC$13,0)),MATCH(ROW(bhpc_data[sku]),ROW(bhpc_data[sku])),""),ROWS($A$15:A298)+$B$3)))),IF($EC$11="",IF($EC$13="",INDEX(bhpc_data[description],SMALL(IF(ISNUMBER(MATCH(bhpc_data[category],$EC$9,0)),MATCH(ROW(bhpc_data[sku]),ROW(bhpc_data[sku])),""),ROWS($A$15:A298)+$B$3)),INDEX(bhpc_data[description],SMALL(IF(ISNUMBER(MATCH(bhpc_data[category],$EC$9,0)*MATCH(bhpc_data[size],$EC$13,0)),MATCH(ROW(bhpc_data[sku]),ROW(bhpc_data[sku])),""),ROWS($A$15:A298)+$B$3))),IF($EC$13="",INDEX(bhpc_data[description],SMALL(IF(ISNUMBER(MATCH(bhpc_data[category],$EC$9,0)*MATCH(bhpc_data[sex],$EC$11,0)),MATCH(ROW(bhpc_data[sku]),ROW(bhpc_data[sku])),""),ROWS($A$15:A298)+$B$3)),INDEX(bhpc_data[description],SMALL(IF(ISNUMBER(MATCH(bhpc_data[category],$EC$9,0)*MATCH(bhpc_data[sex],$EC$11,0)*MATCH(bhpc_data[size],$EC$13,0)),MATCH(ROW(bhpc_data[sku]),ROW(bhpc_data[sku])),""),ROWS($A$15:A298)+$B$3))))),"")</f>
        <v/>
      </c>
      <c r="EG293" s="441" t="str">
        <f>IFERROR(IF('BHPC MANAGER'!$EE293="","",INDEX(inventory[ESISTENZA],MATCH('BHPC MANAGER'!$EE293,inventory[SKU],0))),0)</f>
        <v/>
      </c>
      <c r="EH293" s="442"/>
      <c r="EI293" s="442" t="str">
        <f t="shared" si="21"/>
        <v/>
      </c>
      <c r="EJ293" s="443"/>
      <c r="EK293" s="444" t="str">
        <f t="shared" si="22"/>
        <v/>
      </c>
    </row>
    <row r="294" spans="135:141" x14ac:dyDescent="0.35">
      <c r="EE294" s="445" t="str" cm="1">
        <f t="array" ref="EE294">IFERROR(IF($EC$9="",IF($EC$11="",IF($EC$13="",INDEX(bhpc_data[sku],SMALL(MATCH(ROW(bhpc_data[sku]),ROW(bhpc_data[sku])),ROWS($A$15:A299)+$B$3)),INDEX(bhpc_data[sku],SMALL(IF(ISNUMBER(MATCH(bhpc_data[size],$EC$13,0)),MATCH(ROW(bhpc_data[sku]),ROW(bhpc_data[sku])),""),ROWS($A$15:A299)+$B$3))),IF($EC$13="",INDEX(bhpc_data[sku],SMALL(IF(ISNUMBER(MATCH(bhpc_data[sex],$EC$11,0)),MATCH(ROW(bhpc_data[sku]),ROW(bhpc_data[sku])),""),ROWS($A$15:A299)+$B$3)),INDEX(bhpc_data[sku],SMALL(IF(ISNUMBER(MATCH(bhpc_data[sex],$EC$11,0)*MATCH(bhpc_data[size],$EC$13,0)),MATCH(ROW(bhpc_data[sku]),ROW(bhpc_data[sku])),""),ROWS($A$15:A299)+$B$3)))),IF($EC$11="",IF($EC$13="",INDEX(bhpc_data[sku],SMALL(IF(ISNUMBER(MATCH(bhpc_data[category],$EC$9,0)),MATCH(ROW(bhpc_data[sku]),ROW(bhpc_data[sku])),""),ROWS($A$15:A299)+$B$3)),INDEX(bhpc_data[sku],SMALL(IF(ISNUMBER(MATCH(bhpc_data[category],$EC$9,0)*MATCH(bhpc_data[size],$EC$13,0)),MATCH(ROW(bhpc_data[sku]),ROW(bhpc_data[sku])),""),ROWS($A$15:A299)+$B$3))),IF($EC$13="",INDEX(bhpc_data[sku],SMALL(IF(ISNUMBER(MATCH(bhpc_data[category],$EC$9,0)*MATCH(bhpc_data[sex],$EC$11,0)),MATCH(ROW(bhpc_data[sku]),ROW(bhpc_data[sku])),""),ROWS($A$15:A299)+$B$3)),INDEX(bhpc_data[sku],SMALL(IF(ISNUMBER(MATCH(bhpc_data[category],$EC$9,0)*MATCH(bhpc_data[sex],$EC$11,0)*MATCH(bhpc_data[size],$EC$13,0)),MATCH(ROW(bhpc_data[sku]),ROW(bhpc_data[sku])),""),ROWS($A$15:A299)+$B$3))))),"")</f>
        <v/>
      </c>
      <c r="EF294" s="446" t="str" cm="1">
        <f t="array" ref="EF294">IFERROR(IF($EC$9="",IF($EC$11="",IF($EC$13="",INDEX(bhpc_data[description],SMALL(MATCH(ROW(bhpc_data[sku]),ROW(bhpc_data[sku])),ROWS($A$15:A299)+$B$3)),INDEX(bhpc_data[description],SMALL(IF(ISNUMBER(MATCH(bhpc_data[size],$EC$13,0)),MATCH(ROW(bhpc_data[sku]),ROW(bhpc_data[sku])),""),ROWS($A$15:A299)+$B$3))),IF($EC$13="",INDEX(bhpc_data[description],SMALL(IF(ISNUMBER(MATCH(bhpc_data[sex],$EC$11,0)),MATCH(ROW(bhpc_data[sku]),ROW(bhpc_data[sku])),""),ROWS($A$15:A299)+$B$3)),INDEX(bhpc_data[description],SMALL(IF(ISNUMBER(MATCH(bhpc_data[sex],$EC$11,0)*MATCH(bhpc_data[size],$EC$13,0)),MATCH(ROW(bhpc_data[sku]),ROW(bhpc_data[sku])),""),ROWS($A$15:A299)+$B$3)))),IF($EC$11="",IF($EC$13="",INDEX(bhpc_data[description],SMALL(IF(ISNUMBER(MATCH(bhpc_data[category],$EC$9,0)),MATCH(ROW(bhpc_data[sku]),ROW(bhpc_data[sku])),""),ROWS($A$15:A299)+$B$3)),INDEX(bhpc_data[description],SMALL(IF(ISNUMBER(MATCH(bhpc_data[category],$EC$9,0)*MATCH(bhpc_data[size],$EC$13,0)),MATCH(ROW(bhpc_data[sku]),ROW(bhpc_data[sku])),""),ROWS($A$15:A299)+$B$3))),IF($EC$13="",INDEX(bhpc_data[description],SMALL(IF(ISNUMBER(MATCH(bhpc_data[category],$EC$9,0)*MATCH(bhpc_data[sex],$EC$11,0)),MATCH(ROW(bhpc_data[sku]),ROW(bhpc_data[sku])),""),ROWS($A$15:A299)+$B$3)),INDEX(bhpc_data[description],SMALL(IF(ISNUMBER(MATCH(bhpc_data[category],$EC$9,0)*MATCH(bhpc_data[sex],$EC$11,0)*MATCH(bhpc_data[size],$EC$13,0)),MATCH(ROW(bhpc_data[sku]),ROW(bhpc_data[sku])),""),ROWS($A$15:A299)+$B$3))))),"")</f>
        <v/>
      </c>
      <c r="EG294" s="447" t="str">
        <f>IFERROR(IF('BHPC MANAGER'!$EE294="","",INDEX(inventory[ESISTENZA],MATCH('BHPC MANAGER'!$EE294,inventory[SKU],0))),0)</f>
        <v/>
      </c>
      <c r="EH294" s="448"/>
      <c r="EI294" s="448" t="str">
        <f t="shared" si="21"/>
        <v/>
      </c>
      <c r="EJ294" s="449"/>
      <c r="EK294" s="450" t="str">
        <f t="shared" si="22"/>
        <v/>
      </c>
    </row>
    <row r="295" spans="135:141" x14ac:dyDescent="0.35">
      <c r="EE295" s="439" t="str" cm="1">
        <f t="array" ref="EE295">IFERROR(IF($EC$9="",IF($EC$11="",IF($EC$13="",INDEX(bhpc_data[sku],SMALL(MATCH(ROW(bhpc_data[sku]),ROW(bhpc_data[sku])),ROWS($A$15:A300)+$B$3)),INDEX(bhpc_data[sku],SMALL(IF(ISNUMBER(MATCH(bhpc_data[size],$EC$13,0)),MATCH(ROW(bhpc_data[sku]),ROW(bhpc_data[sku])),""),ROWS($A$15:A300)+$B$3))),IF($EC$13="",INDEX(bhpc_data[sku],SMALL(IF(ISNUMBER(MATCH(bhpc_data[sex],$EC$11,0)),MATCH(ROW(bhpc_data[sku]),ROW(bhpc_data[sku])),""),ROWS($A$15:A300)+$B$3)),INDEX(bhpc_data[sku],SMALL(IF(ISNUMBER(MATCH(bhpc_data[sex],$EC$11,0)*MATCH(bhpc_data[size],$EC$13,0)),MATCH(ROW(bhpc_data[sku]),ROW(bhpc_data[sku])),""),ROWS($A$15:A300)+$B$3)))),IF($EC$11="",IF($EC$13="",INDEX(bhpc_data[sku],SMALL(IF(ISNUMBER(MATCH(bhpc_data[category],$EC$9,0)),MATCH(ROW(bhpc_data[sku]),ROW(bhpc_data[sku])),""),ROWS($A$15:A300)+$B$3)),INDEX(bhpc_data[sku],SMALL(IF(ISNUMBER(MATCH(bhpc_data[category],$EC$9,0)*MATCH(bhpc_data[size],$EC$13,0)),MATCH(ROW(bhpc_data[sku]),ROW(bhpc_data[sku])),""),ROWS($A$15:A300)+$B$3))),IF($EC$13="",INDEX(bhpc_data[sku],SMALL(IF(ISNUMBER(MATCH(bhpc_data[category],$EC$9,0)*MATCH(bhpc_data[sex],$EC$11,0)),MATCH(ROW(bhpc_data[sku]),ROW(bhpc_data[sku])),""),ROWS($A$15:A300)+$B$3)),INDEX(bhpc_data[sku],SMALL(IF(ISNUMBER(MATCH(bhpc_data[category],$EC$9,0)*MATCH(bhpc_data[sex],$EC$11,0)*MATCH(bhpc_data[size],$EC$13,0)),MATCH(ROW(bhpc_data[sku]),ROW(bhpc_data[sku])),""),ROWS($A$15:A300)+$B$3))))),"")</f>
        <v/>
      </c>
      <c r="EF295" s="440" t="str" cm="1">
        <f t="array" ref="EF295">IFERROR(IF($EC$9="",IF($EC$11="",IF($EC$13="",INDEX(bhpc_data[description],SMALL(MATCH(ROW(bhpc_data[sku]),ROW(bhpc_data[sku])),ROWS($A$15:A300)+$B$3)),INDEX(bhpc_data[description],SMALL(IF(ISNUMBER(MATCH(bhpc_data[size],$EC$13,0)),MATCH(ROW(bhpc_data[sku]),ROW(bhpc_data[sku])),""),ROWS($A$15:A300)+$B$3))),IF($EC$13="",INDEX(bhpc_data[description],SMALL(IF(ISNUMBER(MATCH(bhpc_data[sex],$EC$11,0)),MATCH(ROW(bhpc_data[sku]),ROW(bhpc_data[sku])),""),ROWS($A$15:A300)+$B$3)),INDEX(bhpc_data[description],SMALL(IF(ISNUMBER(MATCH(bhpc_data[sex],$EC$11,0)*MATCH(bhpc_data[size],$EC$13,0)),MATCH(ROW(bhpc_data[sku]),ROW(bhpc_data[sku])),""),ROWS($A$15:A300)+$B$3)))),IF($EC$11="",IF($EC$13="",INDEX(bhpc_data[description],SMALL(IF(ISNUMBER(MATCH(bhpc_data[category],$EC$9,0)),MATCH(ROW(bhpc_data[sku]),ROW(bhpc_data[sku])),""),ROWS($A$15:A300)+$B$3)),INDEX(bhpc_data[description],SMALL(IF(ISNUMBER(MATCH(bhpc_data[category],$EC$9,0)*MATCH(bhpc_data[size],$EC$13,0)),MATCH(ROW(bhpc_data[sku]),ROW(bhpc_data[sku])),""),ROWS($A$15:A300)+$B$3))),IF($EC$13="",INDEX(bhpc_data[description],SMALL(IF(ISNUMBER(MATCH(bhpc_data[category],$EC$9,0)*MATCH(bhpc_data[sex],$EC$11,0)),MATCH(ROW(bhpc_data[sku]),ROW(bhpc_data[sku])),""),ROWS($A$15:A300)+$B$3)),INDEX(bhpc_data[description],SMALL(IF(ISNUMBER(MATCH(bhpc_data[category],$EC$9,0)*MATCH(bhpc_data[sex],$EC$11,0)*MATCH(bhpc_data[size],$EC$13,0)),MATCH(ROW(bhpc_data[sku]),ROW(bhpc_data[sku])),""),ROWS($A$15:A300)+$B$3))))),"")</f>
        <v/>
      </c>
      <c r="EG295" s="441" t="str">
        <f>IFERROR(IF('BHPC MANAGER'!$EE295="","",INDEX(inventory[ESISTENZA],MATCH('BHPC MANAGER'!$EE295,inventory[SKU],0))),0)</f>
        <v/>
      </c>
      <c r="EH295" s="442"/>
      <c r="EI295" s="442" t="str">
        <f t="shared" si="21"/>
        <v/>
      </c>
      <c r="EJ295" s="443"/>
      <c r="EK295" s="444" t="str">
        <f t="shared" si="22"/>
        <v/>
      </c>
    </row>
    <row r="296" spans="135:141" x14ac:dyDescent="0.35">
      <c r="EE296" s="445" t="str" cm="1">
        <f t="array" ref="EE296">IFERROR(IF($EC$9="",IF($EC$11="",IF($EC$13="",INDEX(bhpc_data[sku],SMALL(MATCH(ROW(bhpc_data[sku]),ROW(bhpc_data[sku])),ROWS($A$15:A301)+$B$3)),INDEX(bhpc_data[sku],SMALL(IF(ISNUMBER(MATCH(bhpc_data[size],$EC$13,0)),MATCH(ROW(bhpc_data[sku]),ROW(bhpc_data[sku])),""),ROWS($A$15:A301)+$B$3))),IF($EC$13="",INDEX(bhpc_data[sku],SMALL(IF(ISNUMBER(MATCH(bhpc_data[sex],$EC$11,0)),MATCH(ROW(bhpc_data[sku]),ROW(bhpc_data[sku])),""),ROWS($A$15:A301)+$B$3)),INDEX(bhpc_data[sku],SMALL(IF(ISNUMBER(MATCH(bhpc_data[sex],$EC$11,0)*MATCH(bhpc_data[size],$EC$13,0)),MATCH(ROW(bhpc_data[sku]),ROW(bhpc_data[sku])),""),ROWS($A$15:A301)+$B$3)))),IF($EC$11="",IF($EC$13="",INDEX(bhpc_data[sku],SMALL(IF(ISNUMBER(MATCH(bhpc_data[category],$EC$9,0)),MATCH(ROW(bhpc_data[sku]),ROW(bhpc_data[sku])),""),ROWS($A$15:A301)+$B$3)),INDEX(bhpc_data[sku],SMALL(IF(ISNUMBER(MATCH(bhpc_data[category],$EC$9,0)*MATCH(bhpc_data[size],$EC$13,0)),MATCH(ROW(bhpc_data[sku]),ROW(bhpc_data[sku])),""),ROWS($A$15:A301)+$B$3))),IF($EC$13="",INDEX(bhpc_data[sku],SMALL(IF(ISNUMBER(MATCH(bhpc_data[category],$EC$9,0)*MATCH(bhpc_data[sex],$EC$11,0)),MATCH(ROW(bhpc_data[sku]),ROW(bhpc_data[sku])),""),ROWS($A$15:A301)+$B$3)),INDEX(bhpc_data[sku],SMALL(IF(ISNUMBER(MATCH(bhpc_data[category],$EC$9,0)*MATCH(bhpc_data[sex],$EC$11,0)*MATCH(bhpc_data[size],$EC$13,0)),MATCH(ROW(bhpc_data[sku]),ROW(bhpc_data[sku])),""),ROWS($A$15:A301)+$B$3))))),"")</f>
        <v/>
      </c>
      <c r="EF296" s="446" t="str" cm="1">
        <f t="array" ref="EF296">IFERROR(IF($EC$9="",IF($EC$11="",IF($EC$13="",INDEX(bhpc_data[description],SMALL(MATCH(ROW(bhpc_data[sku]),ROW(bhpc_data[sku])),ROWS($A$15:A301)+$B$3)),INDEX(bhpc_data[description],SMALL(IF(ISNUMBER(MATCH(bhpc_data[size],$EC$13,0)),MATCH(ROW(bhpc_data[sku]),ROW(bhpc_data[sku])),""),ROWS($A$15:A301)+$B$3))),IF($EC$13="",INDEX(bhpc_data[description],SMALL(IF(ISNUMBER(MATCH(bhpc_data[sex],$EC$11,0)),MATCH(ROW(bhpc_data[sku]),ROW(bhpc_data[sku])),""),ROWS($A$15:A301)+$B$3)),INDEX(bhpc_data[description],SMALL(IF(ISNUMBER(MATCH(bhpc_data[sex],$EC$11,0)*MATCH(bhpc_data[size],$EC$13,0)),MATCH(ROW(bhpc_data[sku]),ROW(bhpc_data[sku])),""),ROWS($A$15:A301)+$B$3)))),IF($EC$11="",IF($EC$13="",INDEX(bhpc_data[description],SMALL(IF(ISNUMBER(MATCH(bhpc_data[category],$EC$9,0)),MATCH(ROW(bhpc_data[sku]),ROW(bhpc_data[sku])),""),ROWS($A$15:A301)+$B$3)),INDEX(bhpc_data[description],SMALL(IF(ISNUMBER(MATCH(bhpc_data[category],$EC$9,0)*MATCH(bhpc_data[size],$EC$13,0)),MATCH(ROW(bhpc_data[sku]),ROW(bhpc_data[sku])),""),ROWS($A$15:A301)+$B$3))),IF($EC$13="",INDEX(bhpc_data[description],SMALL(IF(ISNUMBER(MATCH(bhpc_data[category],$EC$9,0)*MATCH(bhpc_data[sex],$EC$11,0)),MATCH(ROW(bhpc_data[sku]),ROW(bhpc_data[sku])),""),ROWS($A$15:A301)+$B$3)),INDEX(bhpc_data[description],SMALL(IF(ISNUMBER(MATCH(bhpc_data[category],$EC$9,0)*MATCH(bhpc_data[sex],$EC$11,0)*MATCH(bhpc_data[size],$EC$13,0)),MATCH(ROW(bhpc_data[sku]),ROW(bhpc_data[sku])),""),ROWS($A$15:A301)+$B$3))))),"")</f>
        <v/>
      </c>
      <c r="EG296" s="447" t="str">
        <f>IFERROR(IF('BHPC MANAGER'!$EE296="","",INDEX(inventory[ESISTENZA],MATCH('BHPC MANAGER'!$EE296,inventory[SKU],0))),0)</f>
        <v/>
      </c>
      <c r="EH296" s="448"/>
      <c r="EI296" s="448" t="str">
        <f t="shared" si="21"/>
        <v/>
      </c>
      <c r="EJ296" s="449"/>
      <c r="EK296" s="450" t="str">
        <f t="shared" si="22"/>
        <v/>
      </c>
    </row>
    <row r="297" spans="135:141" x14ac:dyDescent="0.35">
      <c r="EE297" s="439" t="str" cm="1">
        <f t="array" ref="EE297">IFERROR(IF($EC$9="",IF($EC$11="",IF($EC$13="",INDEX(bhpc_data[sku],SMALL(MATCH(ROW(bhpc_data[sku]),ROW(bhpc_data[sku])),ROWS($A$15:A302)+$B$3)),INDEX(bhpc_data[sku],SMALL(IF(ISNUMBER(MATCH(bhpc_data[size],$EC$13,0)),MATCH(ROW(bhpc_data[sku]),ROW(bhpc_data[sku])),""),ROWS($A$15:A302)+$B$3))),IF($EC$13="",INDEX(bhpc_data[sku],SMALL(IF(ISNUMBER(MATCH(bhpc_data[sex],$EC$11,0)),MATCH(ROW(bhpc_data[sku]),ROW(bhpc_data[sku])),""),ROWS($A$15:A302)+$B$3)),INDEX(bhpc_data[sku],SMALL(IF(ISNUMBER(MATCH(bhpc_data[sex],$EC$11,0)*MATCH(bhpc_data[size],$EC$13,0)),MATCH(ROW(bhpc_data[sku]),ROW(bhpc_data[sku])),""),ROWS($A$15:A302)+$B$3)))),IF($EC$11="",IF($EC$13="",INDEX(bhpc_data[sku],SMALL(IF(ISNUMBER(MATCH(bhpc_data[category],$EC$9,0)),MATCH(ROW(bhpc_data[sku]),ROW(bhpc_data[sku])),""),ROWS($A$15:A302)+$B$3)),INDEX(bhpc_data[sku],SMALL(IF(ISNUMBER(MATCH(bhpc_data[category],$EC$9,0)*MATCH(bhpc_data[size],$EC$13,0)),MATCH(ROW(bhpc_data[sku]),ROW(bhpc_data[sku])),""),ROWS($A$15:A302)+$B$3))),IF($EC$13="",INDEX(bhpc_data[sku],SMALL(IF(ISNUMBER(MATCH(bhpc_data[category],$EC$9,0)*MATCH(bhpc_data[sex],$EC$11,0)),MATCH(ROW(bhpc_data[sku]),ROW(bhpc_data[sku])),""),ROWS($A$15:A302)+$B$3)),INDEX(bhpc_data[sku],SMALL(IF(ISNUMBER(MATCH(bhpc_data[category],$EC$9,0)*MATCH(bhpc_data[sex],$EC$11,0)*MATCH(bhpc_data[size],$EC$13,0)),MATCH(ROW(bhpc_data[sku]),ROW(bhpc_data[sku])),""),ROWS($A$15:A302)+$B$3))))),"")</f>
        <v/>
      </c>
      <c r="EF297" s="440" t="str" cm="1">
        <f t="array" ref="EF297">IFERROR(IF($EC$9="",IF($EC$11="",IF($EC$13="",INDEX(bhpc_data[description],SMALL(MATCH(ROW(bhpc_data[sku]),ROW(bhpc_data[sku])),ROWS($A$15:A302)+$B$3)),INDEX(bhpc_data[description],SMALL(IF(ISNUMBER(MATCH(bhpc_data[size],$EC$13,0)),MATCH(ROW(bhpc_data[sku]),ROW(bhpc_data[sku])),""),ROWS($A$15:A302)+$B$3))),IF($EC$13="",INDEX(bhpc_data[description],SMALL(IF(ISNUMBER(MATCH(bhpc_data[sex],$EC$11,0)),MATCH(ROW(bhpc_data[sku]),ROW(bhpc_data[sku])),""),ROWS($A$15:A302)+$B$3)),INDEX(bhpc_data[description],SMALL(IF(ISNUMBER(MATCH(bhpc_data[sex],$EC$11,0)*MATCH(bhpc_data[size],$EC$13,0)),MATCH(ROW(bhpc_data[sku]),ROW(bhpc_data[sku])),""),ROWS($A$15:A302)+$B$3)))),IF($EC$11="",IF($EC$13="",INDEX(bhpc_data[description],SMALL(IF(ISNUMBER(MATCH(bhpc_data[category],$EC$9,0)),MATCH(ROW(bhpc_data[sku]),ROW(bhpc_data[sku])),""),ROWS($A$15:A302)+$B$3)),INDEX(bhpc_data[description],SMALL(IF(ISNUMBER(MATCH(bhpc_data[category],$EC$9,0)*MATCH(bhpc_data[size],$EC$13,0)),MATCH(ROW(bhpc_data[sku]),ROW(bhpc_data[sku])),""),ROWS($A$15:A302)+$B$3))),IF($EC$13="",INDEX(bhpc_data[description],SMALL(IF(ISNUMBER(MATCH(bhpc_data[category],$EC$9,0)*MATCH(bhpc_data[sex],$EC$11,0)),MATCH(ROW(bhpc_data[sku]),ROW(bhpc_data[sku])),""),ROWS($A$15:A302)+$B$3)),INDEX(bhpc_data[description],SMALL(IF(ISNUMBER(MATCH(bhpc_data[category],$EC$9,0)*MATCH(bhpc_data[sex],$EC$11,0)*MATCH(bhpc_data[size],$EC$13,0)),MATCH(ROW(bhpc_data[sku]),ROW(bhpc_data[sku])),""),ROWS($A$15:A302)+$B$3))))),"")</f>
        <v/>
      </c>
      <c r="EG297" s="441" t="str">
        <f>IFERROR(IF('BHPC MANAGER'!$EE297="","",INDEX(inventory[ESISTENZA],MATCH('BHPC MANAGER'!$EE297,inventory[SKU],0))),0)</f>
        <v/>
      </c>
      <c r="EH297" s="442"/>
      <c r="EI297" s="442" t="str">
        <f t="shared" si="21"/>
        <v/>
      </c>
      <c r="EJ297" s="443"/>
      <c r="EK297" s="444" t="str">
        <f t="shared" si="22"/>
        <v/>
      </c>
    </row>
    <row r="298" spans="135:141" x14ac:dyDescent="0.35">
      <c r="EE298" s="445" t="str" cm="1">
        <f t="array" ref="EE298">IFERROR(IF($EC$9="",IF($EC$11="",IF($EC$13="",INDEX(bhpc_data[sku],SMALL(MATCH(ROW(bhpc_data[sku]),ROW(bhpc_data[sku])),ROWS($A$15:A303)+$B$3)),INDEX(bhpc_data[sku],SMALL(IF(ISNUMBER(MATCH(bhpc_data[size],$EC$13,0)),MATCH(ROW(bhpc_data[sku]),ROW(bhpc_data[sku])),""),ROWS($A$15:A303)+$B$3))),IF($EC$13="",INDEX(bhpc_data[sku],SMALL(IF(ISNUMBER(MATCH(bhpc_data[sex],$EC$11,0)),MATCH(ROW(bhpc_data[sku]),ROW(bhpc_data[sku])),""),ROWS($A$15:A303)+$B$3)),INDEX(bhpc_data[sku],SMALL(IF(ISNUMBER(MATCH(bhpc_data[sex],$EC$11,0)*MATCH(bhpc_data[size],$EC$13,0)),MATCH(ROW(bhpc_data[sku]),ROW(bhpc_data[sku])),""),ROWS($A$15:A303)+$B$3)))),IF($EC$11="",IF($EC$13="",INDEX(bhpc_data[sku],SMALL(IF(ISNUMBER(MATCH(bhpc_data[category],$EC$9,0)),MATCH(ROW(bhpc_data[sku]),ROW(bhpc_data[sku])),""),ROWS($A$15:A303)+$B$3)),INDEX(bhpc_data[sku],SMALL(IF(ISNUMBER(MATCH(bhpc_data[category],$EC$9,0)*MATCH(bhpc_data[size],$EC$13,0)),MATCH(ROW(bhpc_data[sku]),ROW(bhpc_data[sku])),""),ROWS($A$15:A303)+$B$3))),IF($EC$13="",INDEX(bhpc_data[sku],SMALL(IF(ISNUMBER(MATCH(bhpc_data[category],$EC$9,0)*MATCH(bhpc_data[sex],$EC$11,0)),MATCH(ROW(bhpc_data[sku]),ROW(bhpc_data[sku])),""),ROWS($A$15:A303)+$B$3)),INDEX(bhpc_data[sku],SMALL(IF(ISNUMBER(MATCH(bhpc_data[category],$EC$9,0)*MATCH(bhpc_data[sex],$EC$11,0)*MATCH(bhpc_data[size],$EC$13,0)),MATCH(ROW(bhpc_data[sku]),ROW(bhpc_data[sku])),""),ROWS($A$15:A303)+$B$3))))),"")</f>
        <v/>
      </c>
      <c r="EF298" s="446" t="str" cm="1">
        <f t="array" ref="EF298">IFERROR(IF($EC$9="",IF($EC$11="",IF($EC$13="",INDEX(bhpc_data[description],SMALL(MATCH(ROW(bhpc_data[sku]),ROW(bhpc_data[sku])),ROWS($A$15:A303)+$B$3)),INDEX(bhpc_data[description],SMALL(IF(ISNUMBER(MATCH(bhpc_data[size],$EC$13,0)),MATCH(ROW(bhpc_data[sku]),ROW(bhpc_data[sku])),""),ROWS($A$15:A303)+$B$3))),IF($EC$13="",INDEX(bhpc_data[description],SMALL(IF(ISNUMBER(MATCH(bhpc_data[sex],$EC$11,0)),MATCH(ROW(bhpc_data[sku]),ROW(bhpc_data[sku])),""),ROWS($A$15:A303)+$B$3)),INDEX(bhpc_data[description],SMALL(IF(ISNUMBER(MATCH(bhpc_data[sex],$EC$11,0)*MATCH(bhpc_data[size],$EC$13,0)),MATCH(ROW(bhpc_data[sku]),ROW(bhpc_data[sku])),""),ROWS($A$15:A303)+$B$3)))),IF($EC$11="",IF($EC$13="",INDEX(bhpc_data[description],SMALL(IF(ISNUMBER(MATCH(bhpc_data[category],$EC$9,0)),MATCH(ROW(bhpc_data[sku]),ROW(bhpc_data[sku])),""),ROWS($A$15:A303)+$B$3)),INDEX(bhpc_data[description],SMALL(IF(ISNUMBER(MATCH(bhpc_data[category],$EC$9,0)*MATCH(bhpc_data[size],$EC$13,0)),MATCH(ROW(bhpc_data[sku]),ROW(bhpc_data[sku])),""),ROWS($A$15:A303)+$B$3))),IF($EC$13="",INDEX(bhpc_data[description],SMALL(IF(ISNUMBER(MATCH(bhpc_data[category],$EC$9,0)*MATCH(bhpc_data[sex],$EC$11,0)),MATCH(ROW(bhpc_data[sku]),ROW(bhpc_data[sku])),""),ROWS($A$15:A303)+$B$3)),INDEX(bhpc_data[description],SMALL(IF(ISNUMBER(MATCH(bhpc_data[category],$EC$9,0)*MATCH(bhpc_data[sex],$EC$11,0)*MATCH(bhpc_data[size],$EC$13,0)),MATCH(ROW(bhpc_data[sku]),ROW(bhpc_data[sku])),""),ROWS($A$15:A303)+$B$3))))),"")</f>
        <v/>
      </c>
      <c r="EG298" s="447" t="str">
        <f>IFERROR(IF('BHPC MANAGER'!$EE298="","",INDEX(inventory[ESISTENZA],MATCH('BHPC MANAGER'!$EE298,inventory[SKU],0))),0)</f>
        <v/>
      </c>
      <c r="EH298" s="448"/>
      <c r="EI298" s="448" t="str">
        <f t="shared" si="21"/>
        <v/>
      </c>
      <c r="EJ298" s="449"/>
      <c r="EK298" s="450" t="str">
        <f t="shared" si="22"/>
        <v/>
      </c>
    </row>
    <row r="299" spans="135:141" x14ac:dyDescent="0.35">
      <c r="EE299" s="439" t="str" cm="1">
        <f t="array" ref="EE299">IFERROR(IF($EC$9="",IF($EC$11="",IF($EC$13="",INDEX(bhpc_data[sku],SMALL(MATCH(ROW(bhpc_data[sku]),ROW(bhpc_data[sku])),ROWS($A$15:A304)+$B$3)),INDEX(bhpc_data[sku],SMALL(IF(ISNUMBER(MATCH(bhpc_data[size],$EC$13,0)),MATCH(ROW(bhpc_data[sku]),ROW(bhpc_data[sku])),""),ROWS($A$15:A304)+$B$3))),IF($EC$13="",INDEX(bhpc_data[sku],SMALL(IF(ISNUMBER(MATCH(bhpc_data[sex],$EC$11,0)),MATCH(ROW(bhpc_data[sku]),ROW(bhpc_data[sku])),""),ROWS($A$15:A304)+$B$3)),INDEX(bhpc_data[sku],SMALL(IF(ISNUMBER(MATCH(bhpc_data[sex],$EC$11,0)*MATCH(bhpc_data[size],$EC$13,0)),MATCH(ROW(bhpc_data[sku]),ROW(bhpc_data[sku])),""),ROWS($A$15:A304)+$B$3)))),IF($EC$11="",IF($EC$13="",INDEX(bhpc_data[sku],SMALL(IF(ISNUMBER(MATCH(bhpc_data[category],$EC$9,0)),MATCH(ROW(bhpc_data[sku]),ROW(bhpc_data[sku])),""),ROWS($A$15:A304)+$B$3)),INDEX(bhpc_data[sku],SMALL(IF(ISNUMBER(MATCH(bhpc_data[category],$EC$9,0)*MATCH(bhpc_data[size],$EC$13,0)),MATCH(ROW(bhpc_data[sku]),ROW(bhpc_data[sku])),""),ROWS($A$15:A304)+$B$3))),IF($EC$13="",INDEX(bhpc_data[sku],SMALL(IF(ISNUMBER(MATCH(bhpc_data[category],$EC$9,0)*MATCH(bhpc_data[sex],$EC$11,0)),MATCH(ROW(bhpc_data[sku]),ROW(bhpc_data[sku])),""),ROWS($A$15:A304)+$B$3)),INDEX(bhpc_data[sku],SMALL(IF(ISNUMBER(MATCH(bhpc_data[category],$EC$9,0)*MATCH(bhpc_data[sex],$EC$11,0)*MATCH(bhpc_data[size],$EC$13,0)),MATCH(ROW(bhpc_data[sku]),ROW(bhpc_data[sku])),""),ROWS($A$15:A304)+$B$3))))),"")</f>
        <v/>
      </c>
      <c r="EF299" s="440" t="str" cm="1">
        <f t="array" ref="EF299">IFERROR(IF($EC$9="",IF($EC$11="",IF($EC$13="",INDEX(bhpc_data[description],SMALL(MATCH(ROW(bhpc_data[sku]),ROW(bhpc_data[sku])),ROWS($A$15:A304)+$B$3)),INDEX(bhpc_data[description],SMALL(IF(ISNUMBER(MATCH(bhpc_data[size],$EC$13,0)),MATCH(ROW(bhpc_data[sku]),ROW(bhpc_data[sku])),""),ROWS($A$15:A304)+$B$3))),IF($EC$13="",INDEX(bhpc_data[description],SMALL(IF(ISNUMBER(MATCH(bhpc_data[sex],$EC$11,0)),MATCH(ROW(bhpc_data[sku]),ROW(bhpc_data[sku])),""),ROWS($A$15:A304)+$B$3)),INDEX(bhpc_data[description],SMALL(IF(ISNUMBER(MATCH(bhpc_data[sex],$EC$11,0)*MATCH(bhpc_data[size],$EC$13,0)),MATCH(ROW(bhpc_data[sku]),ROW(bhpc_data[sku])),""),ROWS($A$15:A304)+$B$3)))),IF($EC$11="",IF($EC$13="",INDEX(bhpc_data[description],SMALL(IF(ISNUMBER(MATCH(bhpc_data[category],$EC$9,0)),MATCH(ROW(bhpc_data[sku]),ROW(bhpc_data[sku])),""),ROWS($A$15:A304)+$B$3)),INDEX(bhpc_data[description],SMALL(IF(ISNUMBER(MATCH(bhpc_data[category],$EC$9,0)*MATCH(bhpc_data[size],$EC$13,0)),MATCH(ROW(bhpc_data[sku]),ROW(bhpc_data[sku])),""),ROWS($A$15:A304)+$B$3))),IF($EC$13="",INDEX(bhpc_data[description],SMALL(IF(ISNUMBER(MATCH(bhpc_data[category],$EC$9,0)*MATCH(bhpc_data[sex],$EC$11,0)),MATCH(ROW(bhpc_data[sku]),ROW(bhpc_data[sku])),""),ROWS($A$15:A304)+$B$3)),INDEX(bhpc_data[description],SMALL(IF(ISNUMBER(MATCH(bhpc_data[category],$EC$9,0)*MATCH(bhpc_data[sex],$EC$11,0)*MATCH(bhpc_data[size],$EC$13,0)),MATCH(ROW(bhpc_data[sku]),ROW(bhpc_data[sku])),""),ROWS($A$15:A304)+$B$3))))),"")</f>
        <v/>
      </c>
      <c r="EG299" s="441" t="str">
        <f>IFERROR(IF('BHPC MANAGER'!$EE299="","",INDEX(inventory[ESISTENZA],MATCH('BHPC MANAGER'!$EE299,inventory[SKU],0))),0)</f>
        <v/>
      </c>
      <c r="EH299" s="442"/>
      <c r="EI299" s="442" t="str">
        <f t="shared" si="21"/>
        <v/>
      </c>
      <c r="EJ299" s="443"/>
      <c r="EK299" s="444" t="str">
        <f t="shared" si="22"/>
        <v/>
      </c>
    </row>
    <row r="300" spans="135:141" x14ac:dyDescent="0.35">
      <c r="EE300" s="445" t="str" cm="1">
        <f t="array" ref="EE300">IFERROR(IF($EC$9="",IF($EC$11="",IF($EC$13="",INDEX(bhpc_data[sku],SMALL(MATCH(ROW(bhpc_data[sku]),ROW(bhpc_data[sku])),ROWS($A$15:A305)+$B$3)),INDEX(bhpc_data[sku],SMALL(IF(ISNUMBER(MATCH(bhpc_data[size],$EC$13,0)),MATCH(ROW(bhpc_data[sku]),ROW(bhpc_data[sku])),""),ROWS($A$15:A305)+$B$3))),IF($EC$13="",INDEX(bhpc_data[sku],SMALL(IF(ISNUMBER(MATCH(bhpc_data[sex],$EC$11,0)),MATCH(ROW(bhpc_data[sku]),ROW(bhpc_data[sku])),""),ROWS($A$15:A305)+$B$3)),INDEX(bhpc_data[sku],SMALL(IF(ISNUMBER(MATCH(bhpc_data[sex],$EC$11,0)*MATCH(bhpc_data[size],$EC$13,0)),MATCH(ROW(bhpc_data[sku]),ROW(bhpc_data[sku])),""),ROWS($A$15:A305)+$B$3)))),IF($EC$11="",IF($EC$13="",INDEX(bhpc_data[sku],SMALL(IF(ISNUMBER(MATCH(bhpc_data[category],$EC$9,0)),MATCH(ROW(bhpc_data[sku]),ROW(bhpc_data[sku])),""),ROWS($A$15:A305)+$B$3)),INDEX(bhpc_data[sku],SMALL(IF(ISNUMBER(MATCH(bhpc_data[category],$EC$9,0)*MATCH(bhpc_data[size],$EC$13,0)),MATCH(ROW(bhpc_data[sku]),ROW(bhpc_data[sku])),""),ROWS($A$15:A305)+$B$3))),IF($EC$13="",INDEX(bhpc_data[sku],SMALL(IF(ISNUMBER(MATCH(bhpc_data[category],$EC$9,0)*MATCH(bhpc_data[sex],$EC$11,0)),MATCH(ROW(bhpc_data[sku]),ROW(bhpc_data[sku])),""),ROWS($A$15:A305)+$B$3)),INDEX(bhpc_data[sku],SMALL(IF(ISNUMBER(MATCH(bhpc_data[category],$EC$9,0)*MATCH(bhpc_data[sex],$EC$11,0)*MATCH(bhpc_data[size],$EC$13,0)),MATCH(ROW(bhpc_data[sku]),ROW(bhpc_data[sku])),""),ROWS($A$15:A305)+$B$3))))),"")</f>
        <v/>
      </c>
      <c r="EF300" s="446" t="str" cm="1">
        <f t="array" ref="EF300">IFERROR(IF($EC$9="",IF($EC$11="",IF($EC$13="",INDEX(bhpc_data[description],SMALL(MATCH(ROW(bhpc_data[sku]),ROW(bhpc_data[sku])),ROWS($A$15:A305)+$B$3)),INDEX(bhpc_data[description],SMALL(IF(ISNUMBER(MATCH(bhpc_data[size],$EC$13,0)),MATCH(ROW(bhpc_data[sku]),ROW(bhpc_data[sku])),""),ROWS($A$15:A305)+$B$3))),IF($EC$13="",INDEX(bhpc_data[description],SMALL(IF(ISNUMBER(MATCH(bhpc_data[sex],$EC$11,0)),MATCH(ROW(bhpc_data[sku]),ROW(bhpc_data[sku])),""),ROWS($A$15:A305)+$B$3)),INDEX(bhpc_data[description],SMALL(IF(ISNUMBER(MATCH(bhpc_data[sex],$EC$11,0)*MATCH(bhpc_data[size],$EC$13,0)),MATCH(ROW(bhpc_data[sku]),ROW(bhpc_data[sku])),""),ROWS($A$15:A305)+$B$3)))),IF($EC$11="",IF($EC$13="",INDEX(bhpc_data[description],SMALL(IF(ISNUMBER(MATCH(bhpc_data[category],$EC$9,0)),MATCH(ROW(bhpc_data[sku]),ROW(bhpc_data[sku])),""),ROWS($A$15:A305)+$B$3)),INDEX(bhpc_data[description],SMALL(IF(ISNUMBER(MATCH(bhpc_data[category],$EC$9,0)*MATCH(bhpc_data[size],$EC$13,0)),MATCH(ROW(bhpc_data[sku]),ROW(bhpc_data[sku])),""),ROWS($A$15:A305)+$B$3))),IF($EC$13="",INDEX(bhpc_data[description],SMALL(IF(ISNUMBER(MATCH(bhpc_data[category],$EC$9,0)*MATCH(bhpc_data[sex],$EC$11,0)),MATCH(ROW(bhpc_data[sku]),ROW(bhpc_data[sku])),""),ROWS($A$15:A305)+$B$3)),INDEX(bhpc_data[description],SMALL(IF(ISNUMBER(MATCH(bhpc_data[category],$EC$9,0)*MATCH(bhpc_data[sex],$EC$11,0)*MATCH(bhpc_data[size],$EC$13,0)),MATCH(ROW(bhpc_data[sku]),ROW(bhpc_data[sku])),""),ROWS($A$15:A305)+$B$3))))),"")</f>
        <v/>
      </c>
      <c r="EG300" s="447" t="str">
        <f>IFERROR(IF('BHPC MANAGER'!$EE300="","",INDEX(inventory[ESISTENZA],MATCH('BHPC MANAGER'!$EE300,inventory[SKU],0))),0)</f>
        <v/>
      </c>
      <c r="EH300" s="448"/>
      <c r="EI300" s="448" t="str">
        <f t="shared" si="21"/>
        <v/>
      </c>
      <c r="EJ300" s="449"/>
      <c r="EK300" s="450" t="str">
        <f t="shared" si="22"/>
        <v/>
      </c>
    </row>
    <row r="301" spans="135:141" x14ac:dyDescent="0.35">
      <c r="EE301" s="439" t="str" cm="1">
        <f t="array" ref="EE301">IFERROR(IF($EC$9="",IF($EC$11="",IF($EC$13="",INDEX(bhpc_data[sku],SMALL(MATCH(ROW(bhpc_data[sku]),ROW(bhpc_data[sku])),ROWS($A$15:A306)+$B$3)),INDEX(bhpc_data[sku],SMALL(IF(ISNUMBER(MATCH(bhpc_data[size],$EC$13,0)),MATCH(ROW(bhpc_data[sku]),ROW(bhpc_data[sku])),""),ROWS($A$15:A306)+$B$3))),IF($EC$13="",INDEX(bhpc_data[sku],SMALL(IF(ISNUMBER(MATCH(bhpc_data[sex],$EC$11,0)),MATCH(ROW(bhpc_data[sku]),ROW(bhpc_data[sku])),""),ROWS($A$15:A306)+$B$3)),INDEX(bhpc_data[sku],SMALL(IF(ISNUMBER(MATCH(bhpc_data[sex],$EC$11,0)*MATCH(bhpc_data[size],$EC$13,0)),MATCH(ROW(bhpc_data[sku]),ROW(bhpc_data[sku])),""),ROWS($A$15:A306)+$B$3)))),IF($EC$11="",IF($EC$13="",INDEX(bhpc_data[sku],SMALL(IF(ISNUMBER(MATCH(bhpc_data[category],$EC$9,0)),MATCH(ROW(bhpc_data[sku]),ROW(bhpc_data[sku])),""),ROWS($A$15:A306)+$B$3)),INDEX(bhpc_data[sku],SMALL(IF(ISNUMBER(MATCH(bhpc_data[category],$EC$9,0)*MATCH(bhpc_data[size],$EC$13,0)),MATCH(ROW(bhpc_data[sku]),ROW(bhpc_data[sku])),""),ROWS($A$15:A306)+$B$3))),IF($EC$13="",INDEX(bhpc_data[sku],SMALL(IF(ISNUMBER(MATCH(bhpc_data[category],$EC$9,0)*MATCH(bhpc_data[sex],$EC$11,0)),MATCH(ROW(bhpc_data[sku]),ROW(bhpc_data[sku])),""),ROWS($A$15:A306)+$B$3)),INDEX(bhpc_data[sku],SMALL(IF(ISNUMBER(MATCH(bhpc_data[category],$EC$9,0)*MATCH(bhpc_data[sex],$EC$11,0)*MATCH(bhpc_data[size],$EC$13,0)),MATCH(ROW(bhpc_data[sku]),ROW(bhpc_data[sku])),""),ROWS($A$15:A306)+$B$3))))),"")</f>
        <v/>
      </c>
      <c r="EF301" s="440" t="str" cm="1">
        <f t="array" ref="EF301">IFERROR(IF($EC$9="",IF($EC$11="",IF($EC$13="",INDEX(bhpc_data[description],SMALL(MATCH(ROW(bhpc_data[sku]),ROW(bhpc_data[sku])),ROWS($A$15:A306)+$B$3)),INDEX(bhpc_data[description],SMALL(IF(ISNUMBER(MATCH(bhpc_data[size],$EC$13,0)),MATCH(ROW(bhpc_data[sku]),ROW(bhpc_data[sku])),""),ROWS($A$15:A306)+$B$3))),IF($EC$13="",INDEX(bhpc_data[description],SMALL(IF(ISNUMBER(MATCH(bhpc_data[sex],$EC$11,0)),MATCH(ROW(bhpc_data[sku]),ROW(bhpc_data[sku])),""),ROWS($A$15:A306)+$B$3)),INDEX(bhpc_data[description],SMALL(IF(ISNUMBER(MATCH(bhpc_data[sex],$EC$11,0)*MATCH(bhpc_data[size],$EC$13,0)),MATCH(ROW(bhpc_data[sku]),ROW(bhpc_data[sku])),""),ROWS($A$15:A306)+$B$3)))),IF($EC$11="",IF($EC$13="",INDEX(bhpc_data[description],SMALL(IF(ISNUMBER(MATCH(bhpc_data[category],$EC$9,0)),MATCH(ROW(bhpc_data[sku]),ROW(bhpc_data[sku])),""),ROWS($A$15:A306)+$B$3)),INDEX(bhpc_data[description],SMALL(IF(ISNUMBER(MATCH(bhpc_data[category],$EC$9,0)*MATCH(bhpc_data[size],$EC$13,0)),MATCH(ROW(bhpc_data[sku]),ROW(bhpc_data[sku])),""),ROWS($A$15:A306)+$B$3))),IF($EC$13="",INDEX(bhpc_data[description],SMALL(IF(ISNUMBER(MATCH(bhpc_data[category],$EC$9,0)*MATCH(bhpc_data[sex],$EC$11,0)),MATCH(ROW(bhpc_data[sku]),ROW(bhpc_data[sku])),""),ROWS($A$15:A306)+$B$3)),INDEX(bhpc_data[description],SMALL(IF(ISNUMBER(MATCH(bhpc_data[category],$EC$9,0)*MATCH(bhpc_data[sex],$EC$11,0)*MATCH(bhpc_data[size],$EC$13,0)),MATCH(ROW(bhpc_data[sku]),ROW(bhpc_data[sku])),""),ROWS($A$15:A306)+$B$3))))),"")</f>
        <v/>
      </c>
      <c r="EG301" s="441" t="str">
        <f>IFERROR(IF('BHPC MANAGER'!$EE301="","",INDEX(inventory[ESISTENZA],MATCH('BHPC MANAGER'!$EE301,inventory[SKU],0))),0)</f>
        <v/>
      </c>
      <c r="EH301" s="442"/>
      <c r="EI301" s="442" t="str">
        <f t="shared" si="21"/>
        <v/>
      </c>
      <c r="EJ301" s="443"/>
      <c r="EK301" s="444" t="str">
        <f t="shared" si="22"/>
        <v/>
      </c>
    </row>
    <row r="302" spans="135:141" x14ac:dyDescent="0.35">
      <c r="EE302" s="445" t="str" cm="1">
        <f t="array" ref="EE302">IFERROR(IF($EC$9="",IF($EC$11="",IF($EC$13="",INDEX(bhpc_data[sku],SMALL(MATCH(ROW(bhpc_data[sku]),ROW(bhpc_data[sku])),ROWS($A$15:A307)+$B$3)),INDEX(bhpc_data[sku],SMALL(IF(ISNUMBER(MATCH(bhpc_data[size],$EC$13,0)),MATCH(ROW(bhpc_data[sku]),ROW(bhpc_data[sku])),""),ROWS($A$15:A307)+$B$3))),IF($EC$13="",INDEX(bhpc_data[sku],SMALL(IF(ISNUMBER(MATCH(bhpc_data[sex],$EC$11,0)),MATCH(ROW(bhpc_data[sku]),ROW(bhpc_data[sku])),""),ROWS($A$15:A307)+$B$3)),INDEX(bhpc_data[sku],SMALL(IF(ISNUMBER(MATCH(bhpc_data[sex],$EC$11,0)*MATCH(bhpc_data[size],$EC$13,0)),MATCH(ROW(bhpc_data[sku]),ROW(bhpc_data[sku])),""),ROWS($A$15:A307)+$B$3)))),IF($EC$11="",IF($EC$13="",INDEX(bhpc_data[sku],SMALL(IF(ISNUMBER(MATCH(bhpc_data[category],$EC$9,0)),MATCH(ROW(bhpc_data[sku]),ROW(bhpc_data[sku])),""),ROWS($A$15:A307)+$B$3)),INDEX(bhpc_data[sku],SMALL(IF(ISNUMBER(MATCH(bhpc_data[category],$EC$9,0)*MATCH(bhpc_data[size],$EC$13,0)),MATCH(ROW(bhpc_data[sku]),ROW(bhpc_data[sku])),""),ROWS($A$15:A307)+$B$3))),IF($EC$13="",INDEX(bhpc_data[sku],SMALL(IF(ISNUMBER(MATCH(bhpc_data[category],$EC$9,0)*MATCH(bhpc_data[sex],$EC$11,0)),MATCH(ROW(bhpc_data[sku]),ROW(bhpc_data[sku])),""),ROWS($A$15:A307)+$B$3)),INDEX(bhpc_data[sku],SMALL(IF(ISNUMBER(MATCH(bhpc_data[category],$EC$9,0)*MATCH(bhpc_data[sex],$EC$11,0)*MATCH(bhpc_data[size],$EC$13,0)),MATCH(ROW(bhpc_data[sku]),ROW(bhpc_data[sku])),""),ROWS($A$15:A307)+$B$3))))),"")</f>
        <v/>
      </c>
      <c r="EF302" s="446" t="str" cm="1">
        <f t="array" ref="EF302">IFERROR(IF($EC$9="",IF($EC$11="",IF($EC$13="",INDEX(bhpc_data[description],SMALL(MATCH(ROW(bhpc_data[sku]),ROW(bhpc_data[sku])),ROWS($A$15:A307)+$B$3)),INDEX(bhpc_data[description],SMALL(IF(ISNUMBER(MATCH(bhpc_data[size],$EC$13,0)),MATCH(ROW(bhpc_data[sku]),ROW(bhpc_data[sku])),""),ROWS($A$15:A307)+$B$3))),IF($EC$13="",INDEX(bhpc_data[description],SMALL(IF(ISNUMBER(MATCH(bhpc_data[sex],$EC$11,0)),MATCH(ROW(bhpc_data[sku]),ROW(bhpc_data[sku])),""),ROWS($A$15:A307)+$B$3)),INDEX(bhpc_data[description],SMALL(IF(ISNUMBER(MATCH(bhpc_data[sex],$EC$11,0)*MATCH(bhpc_data[size],$EC$13,0)),MATCH(ROW(bhpc_data[sku]),ROW(bhpc_data[sku])),""),ROWS($A$15:A307)+$B$3)))),IF($EC$11="",IF($EC$13="",INDEX(bhpc_data[description],SMALL(IF(ISNUMBER(MATCH(bhpc_data[category],$EC$9,0)),MATCH(ROW(bhpc_data[sku]),ROW(bhpc_data[sku])),""),ROWS($A$15:A307)+$B$3)),INDEX(bhpc_data[description],SMALL(IF(ISNUMBER(MATCH(bhpc_data[category],$EC$9,0)*MATCH(bhpc_data[size],$EC$13,0)),MATCH(ROW(bhpc_data[sku]),ROW(bhpc_data[sku])),""),ROWS($A$15:A307)+$B$3))),IF($EC$13="",INDEX(bhpc_data[description],SMALL(IF(ISNUMBER(MATCH(bhpc_data[category],$EC$9,0)*MATCH(bhpc_data[sex],$EC$11,0)),MATCH(ROW(bhpc_data[sku]),ROW(bhpc_data[sku])),""),ROWS($A$15:A307)+$B$3)),INDEX(bhpc_data[description],SMALL(IF(ISNUMBER(MATCH(bhpc_data[category],$EC$9,0)*MATCH(bhpc_data[sex],$EC$11,0)*MATCH(bhpc_data[size],$EC$13,0)),MATCH(ROW(bhpc_data[sku]),ROW(bhpc_data[sku])),""),ROWS($A$15:A307)+$B$3))))),"")</f>
        <v/>
      </c>
      <c r="EG302" s="447" t="str">
        <f>IFERROR(IF('BHPC MANAGER'!$EE302="","",INDEX(inventory[ESISTENZA],MATCH('BHPC MANAGER'!$EE302,inventory[SKU],0))),0)</f>
        <v/>
      </c>
      <c r="EH302" s="448"/>
      <c r="EI302" s="448" t="str">
        <f t="shared" si="21"/>
        <v/>
      </c>
      <c r="EJ302" s="449"/>
      <c r="EK302" s="450" t="str">
        <f t="shared" si="22"/>
        <v/>
      </c>
    </row>
    <row r="303" spans="135:141" x14ac:dyDescent="0.35">
      <c r="EE303" s="439" t="str" cm="1">
        <f t="array" ref="EE303">IFERROR(IF($EC$9="",IF($EC$11="",IF($EC$13="",INDEX(bhpc_data[sku],SMALL(MATCH(ROW(bhpc_data[sku]),ROW(bhpc_data[sku])),ROWS($A$15:A308)+$B$3)),INDEX(bhpc_data[sku],SMALL(IF(ISNUMBER(MATCH(bhpc_data[size],$EC$13,0)),MATCH(ROW(bhpc_data[sku]),ROW(bhpc_data[sku])),""),ROWS($A$15:A308)+$B$3))),IF($EC$13="",INDEX(bhpc_data[sku],SMALL(IF(ISNUMBER(MATCH(bhpc_data[sex],$EC$11,0)),MATCH(ROW(bhpc_data[sku]),ROW(bhpc_data[sku])),""),ROWS($A$15:A308)+$B$3)),INDEX(bhpc_data[sku],SMALL(IF(ISNUMBER(MATCH(bhpc_data[sex],$EC$11,0)*MATCH(bhpc_data[size],$EC$13,0)),MATCH(ROW(bhpc_data[sku]),ROW(bhpc_data[sku])),""),ROWS($A$15:A308)+$B$3)))),IF($EC$11="",IF($EC$13="",INDEX(bhpc_data[sku],SMALL(IF(ISNUMBER(MATCH(bhpc_data[category],$EC$9,0)),MATCH(ROW(bhpc_data[sku]),ROW(bhpc_data[sku])),""),ROWS($A$15:A308)+$B$3)),INDEX(bhpc_data[sku],SMALL(IF(ISNUMBER(MATCH(bhpc_data[category],$EC$9,0)*MATCH(bhpc_data[size],$EC$13,0)),MATCH(ROW(bhpc_data[sku]),ROW(bhpc_data[sku])),""),ROWS($A$15:A308)+$B$3))),IF($EC$13="",INDEX(bhpc_data[sku],SMALL(IF(ISNUMBER(MATCH(bhpc_data[category],$EC$9,0)*MATCH(bhpc_data[sex],$EC$11,0)),MATCH(ROW(bhpc_data[sku]),ROW(bhpc_data[sku])),""),ROWS($A$15:A308)+$B$3)),INDEX(bhpc_data[sku],SMALL(IF(ISNUMBER(MATCH(bhpc_data[category],$EC$9,0)*MATCH(bhpc_data[sex],$EC$11,0)*MATCH(bhpc_data[size],$EC$13,0)),MATCH(ROW(bhpc_data[sku]),ROW(bhpc_data[sku])),""),ROWS($A$15:A308)+$B$3))))),"")</f>
        <v/>
      </c>
      <c r="EF303" s="440" t="str" cm="1">
        <f t="array" ref="EF303">IFERROR(IF($EC$9="",IF($EC$11="",IF($EC$13="",INDEX(bhpc_data[description],SMALL(MATCH(ROW(bhpc_data[sku]),ROW(bhpc_data[sku])),ROWS($A$15:A308)+$B$3)),INDEX(bhpc_data[description],SMALL(IF(ISNUMBER(MATCH(bhpc_data[size],$EC$13,0)),MATCH(ROW(bhpc_data[sku]),ROW(bhpc_data[sku])),""),ROWS($A$15:A308)+$B$3))),IF($EC$13="",INDEX(bhpc_data[description],SMALL(IF(ISNUMBER(MATCH(bhpc_data[sex],$EC$11,0)),MATCH(ROW(bhpc_data[sku]),ROW(bhpc_data[sku])),""),ROWS($A$15:A308)+$B$3)),INDEX(bhpc_data[description],SMALL(IF(ISNUMBER(MATCH(bhpc_data[sex],$EC$11,0)*MATCH(bhpc_data[size],$EC$13,0)),MATCH(ROW(bhpc_data[sku]),ROW(bhpc_data[sku])),""),ROWS($A$15:A308)+$B$3)))),IF($EC$11="",IF($EC$13="",INDEX(bhpc_data[description],SMALL(IF(ISNUMBER(MATCH(bhpc_data[category],$EC$9,0)),MATCH(ROW(bhpc_data[sku]),ROW(bhpc_data[sku])),""),ROWS($A$15:A308)+$B$3)),INDEX(bhpc_data[description],SMALL(IF(ISNUMBER(MATCH(bhpc_data[category],$EC$9,0)*MATCH(bhpc_data[size],$EC$13,0)),MATCH(ROW(bhpc_data[sku]),ROW(bhpc_data[sku])),""),ROWS($A$15:A308)+$B$3))),IF($EC$13="",INDEX(bhpc_data[description],SMALL(IF(ISNUMBER(MATCH(bhpc_data[category],$EC$9,0)*MATCH(bhpc_data[sex],$EC$11,0)),MATCH(ROW(bhpc_data[sku]),ROW(bhpc_data[sku])),""),ROWS($A$15:A308)+$B$3)),INDEX(bhpc_data[description],SMALL(IF(ISNUMBER(MATCH(bhpc_data[category],$EC$9,0)*MATCH(bhpc_data[sex],$EC$11,0)*MATCH(bhpc_data[size],$EC$13,0)),MATCH(ROW(bhpc_data[sku]),ROW(bhpc_data[sku])),""),ROWS($A$15:A308)+$B$3))))),"")</f>
        <v/>
      </c>
      <c r="EG303" s="441" t="str">
        <f>IFERROR(IF('BHPC MANAGER'!$EE303="","",INDEX(inventory[ESISTENZA],MATCH('BHPC MANAGER'!$EE303,inventory[SKU],0))),0)</f>
        <v/>
      </c>
      <c r="EH303" s="442"/>
      <c r="EI303" s="442" t="str">
        <f t="shared" si="21"/>
        <v/>
      </c>
      <c r="EJ303" s="443"/>
      <c r="EK303" s="444" t="str">
        <f t="shared" si="22"/>
        <v/>
      </c>
    </row>
    <row r="304" spans="135:141" x14ac:dyDescent="0.35">
      <c r="EE304" s="445" t="str" cm="1">
        <f t="array" ref="EE304">IFERROR(IF($EC$9="",IF($EC$11="",IF($EC$13="",INDEX(bhpc_data[sku],SMALL(MATCH(ROW(bhpc_data[sku]),ROW(bhpc_data[sku])),ROWS($A$15:A309)+$B$3)),INDEX(bhpc_data[sku],SMALL(IF(ISNUMBER(MATCH(bhpc_data[size],$EC$13,0)),MATCH(ROW(bhpc_data[sku]),ROW(bhpc_data[sku])),""),ROWS($A$15:A309)+$B$3))),IF($EC$13="",INDEX(bhpc_data[sku],SMALL(IF(ISNUMBER(MATCH(bhpc_data[sex],$EC$11,0)),MATCH(ROW(bhpc_data[sku]),ROW(bhpc_data[sku])),""),ROWS($A$15:A309)+$B$3)),INDEX(bhpc_data[sku],SMALL(IF(ISNUMBER(MATCH(bhpc_data[sex],$EC$11,0)*MATCH(bhpc_data[size],$EC$13,0)),MATCH(ROW(bhpc_data[sku]),ROW(bhpc_data[sku])),""),ROWS($A$15:A309)+$B$3)))),IF($EC$11="",IF($EC$13="",INDEX(bhpc_data[sku],SMALL(IF(ISNUMBER(MATCH(bhpc_data[category],$EC$9,0)),MATCH(ROW(bhpc_data[sku]),ROW(bhpc_data[sku])),""),ROWS($A$15:A309)+$B$3)),INDEX(bhpc_data[sku],SMALL(IF(ISNUMBER(MATCH(bhpc_data[category],$EC$9,0)*MATCH(bhpc_data[size],$EC$13,0)),MATCH(ROW(bhpc_data[sku]),ROW(bhpc_data[sku])),""),ROWS($A$15:A309)+$B$3))),IF($EC$13="",INDEX(bhpc_data[sku],SMALL(IF(ISNUMBER(MATCH(bhpc_data[category],$EC$9,0)*MATCH(bhpc_data[sex],$EC$11,0)),MATCH(ROW(bhpc_data[sku]),ROW(bhpc_data[sku])),""),ROWS($A$15:A309)+$B$3)),INDEX(bhpc_data[sku],SMALL(IF(ISNUMBER(MATCH(bhpc_data[category],$EC$9,0)*MATCH(bhpc_data[sex],$EC$11,0)*MATCH(bhpc_data[size],$EC$13,0)),MATCH(ROW(bhpc_data[sku]),ROW(bhpc_data[sku])),""),ROWS($A$15:A309)+$B$3))))),"")</f>
        <v/>
      </c>
      <c r="EF304" s="446" t="str" cm="1">
        <f t="array" ref="EF304">IFERROR(IF($EC$9="",IF($EC$11="",IF($EC$13="",INDEX(bhpc_data[description],SMALL(MATCH(ROW(bhpc_data[sku]),ROW(bhpc_data[sku])),ROWS($A$15:A309)+$B$3)),INDEX(bhpc_data[description],SMALL(IF(ISNUMBER(MATCH(bhpc_data[size],$EC$13,0)),MATCH(ROW(bhpc_data[sku]),ROW(bhpc_data[sku])),""),ROWS($A$15:A309)+$B$3))),IF($EC$13="",INDEX(bhpc_data[description],SMALL(IF(ISNUMBER(MATCH(bhpc_data[sex],$EC$11,0)),MATCH(ROW(bhpc_data[sku]),ROW(bhpc_data[sku])),""),ROWS($A$15:A309)+$B$3)),INDEX(bhpc_data[description],SMALL(IF(ISNUMBER(MATCH(bhpc_data[sex],$EC$11,0)*MATCH(bhpc_data[size],$EC$13,0)),MATCH(ROW(bhpc_data[sku]),ROW(bhpc_data[sku])),""),ROWS($A$15:A309)+$B$3)))),IF($EC$11="",IF($EC$13="",INDEX(bhpc_data[description],SMALL(IF(ISNUMBER(MATCH(bhpc_data[category],$EC$9,0)),MATCH(ROW(bhpc_data[sku]),ROW(bhpc_data[sku])),""),ROWS($A$15:A309)+$B$3)),INDEX(bhpc_data[description],SMALL(IF(ISNUMBER(MATCH(bhpc_data[category],$EC$9,0)*MATCH(bhpc_data[size],$EC$13,0)),MATCH(ROW(bhpc_data[sku]),ROW(bhpc_data[sku])),""),ROWS($A$15:A309)+$B$3))),IF($EC$13="",INDEX(bhpc_data[description],SMALL(IF(ISNUMBER(MATCH(bhpc_data[category],$EC$9,0)*MATCH(bhpc_data[sex],$EC$11,0)),MATCH(ROW(bhpc_data[sku]),ROW(bhpc_data[sku])),""),ROWS($A$15:A309)+$B$3)),INDEX(bhpc_data[description],SMALL(IF(ISNUMBER(MATCH(bhpc_data[category],$EC$9,0)*MATCH(bhpc_data[sex],$EC$11,0)*MATCH(bhpc_data[size],$EC$13,0)),MATCH(ROW(bhpc_data[sku]),ROW(bhpc_data[sku])),""),ROWS($A$15:A309)+$B$3))))),"")</f>
        <v/>
      </c>
      <c r="EG304" s="447" t="str">
        <f>IFERROR(IF('BHPC MANAGER'!$EE304="","",INDEX(inventory[ESISTENZA],MATCH('BHPC MANAGER'!$EE304,inventory[SKU],0))),0)</f>
        <v/>
      </c>
      <c r="EH304" s="448"/>
      <c r="EI304" s="448" t="str">
        <f t="shared" si="21"/>
        <v/>
      </c>
      <c r="EJ304" s="449"/>
      <c r="EK304" s="450" t="str">
        <f t="shared" si="22"/>
        <v/>
      </c>
    </row>
    <row r="305" spans="135:141" x14ac:dyDescent="0.35">
      <c r="EE305" s="439" t="str" cm="1">
        <f t="array" ref="EE305">IFERROR(IF($EC$9="",IF($EC$11="",IF($EC$13="",INDEX(bhpc_data[sku],SMALL(MATCH(ROW(bhpc_data[sku]),ROW(bhpc_data[sku])),ROWS($A$15:A310)+$B$3)),INDEX(bhpc_data[sku],SMALL(IF(ISNUMBER(MATCH(bhpc_data[size],$EC$13,0)),MATCH(ROW(bhpc_data[sku]),ROW(bhpc_data[sku])),""),ROWS($A$15:A310)+$B$3))),IF($EC$13="",INDEX(bhpc_data[sku],SMALL(IF(ISNUMBER(MATCH(bhpc_data[sex],$EC$11,0)),MATCH(ROW(bhpc_data[sku]),ROW(bhpc_data[sku])),""),ROWS($A$15:A310)+$B$3)),INDEX(bhpc_data[sku],SMALL(IF(ISNUMBER(MATCH(bhpc_data[sex],$EC$11,0)*MATCH(bhpc_data[size],$EC$13,0)),MATCH(ROW(bhpc_data[sku]),ROW(bhpc_data[sku])),""),ROWS($A$15:A310)+$B$3)))),IF($EC$11="",IF($EC$13="",INDEX(bhpc_data[sku],SMALL(IF(ISNUMBER(MATCH(bhpc_data[category],$EC$9,0)),MATCH(ROW(bhpc_data[sku]),ROW(bhpc_data[sku])),""),ROWS($A$15:A310)+$B$3)),INDEX(bhpc_data[sku],SMALL(IF(ISNUMBER(MATCH(bhpc_data[category],$EC$9,0)*MATCH(bhpc_data[size],$EC$13,0)),MATCH(ROW(bhpc_data[sku]),ROW(bhpc_data[sku])),""),ROWS($A$15:A310)+$B$3))),IF($EC$13="",INDEX(bhpc_data[sku],SMALL(IF(ISNUMBER(MATCH(bhpc_data[category],$EC$9,0)*MATCH(bhpc_data[sex],$EC$11,0)),MATCH(ROW(bhpc_data[sku]),ROW(bhpc_data[sku])),""),ROWS($A$15:A310)+$B$3)),INDEX(bhpc_data[sku],SMALL(IF(ISNUMBER(MATCH(bhpc_data[category],$EC$9,0)*MATCH(bhpc_data[sex],$EC$11,0)*MATCH(bhpc_data[size],$EC$13,0)),MATCH(ROW(bhpc_data[sku]),ROW(bhpc_data[sku])),""),ROWS($A$15:A310)+$B$3))))),"")</f>
        <v/>
      </c>
      <c r="EF305" s="440" t="str" cm="1">
        <f t="array" ref="EF305">IFERROR(IF($EC$9="",IF($EC$11="",IF($EC$13="",INDEX(bhpc_data[description],SMALL(MATCH(ROW(bhpc_data[sku]),ROW(bhpc_data[sku])),ROWS($A$15:A310)+$B$3)),INDEX(bhpc_data[description],SMALL(IF(ISNUMBER(MATCH(bhpc_data[size],$EC$13,0)),MATCH(ROW(bhpc_data[sku]),ROW(bhpc_data[sku])),""),ROWS($A$15:A310)+$B$3))),IF($EC$13="",INDEX(bhpc_data[description],SMALL(IF(ISNUMBER(MATCH(bhpc_data[sex],$EC$11,0)),MATCH(ROW(bhpc_data[sku]),ROW(bhpc_data[sku])),""),ROWS($A$15:A310)+$B$3)),INDEX(bhpc_data[description],SMALL(IF(ISNUMBER(MATCH(bhpc_data[sex],$EC$11,0)*MATCH(bhpc_data[size],$EC$13,0)),MATCH(ROW(bhpc_data[sku]),ROW(bhpc_data[sku])),""),ROWS($A$15:A310)+$B$3)))),IF($EC$11="",IF($EC$13="",INDEX(bhpc_data[description],SMALL(IF(ISNUMBER(MATCH(bhpc_data[category],$EC$9,0)),MATCH(ROW(bhpc_data[sku]),ROW(bhpc_data[sku])),""),ROWS($A$15:A310)+$B$3)),INDEX(bhpc_data[description],SMALL(IF(ISNUMBER(MATCH(bhpc_data[category],$EC$9,0)*MATCH(bhpc_data[size],$EC$13,0)),MATCH(ROW(bhpc_data[sku]),ROW(bhpc_data[sku])),""),ROWS($A$15:A310)+$B$3))),IF($EC$13="",INDEX(bhpc_data[description],SMALL(IF(ISNUMBER(MATCH(bhpc_data[category],$EC$9,0)*MATCH(bhpc_data[sex],$EC$11,0)),MATCH(ROW(bhpc_data[sku]),ROW(bhpc_data[sku])),""),ROWS($A$15:A310)+$B$3)),INDEX(bhpc_data[description],SMALL(IF(ISNUMBER(MATCH(bhpc_data[category],$EC$9,0)*MATCH(bhpc_data[sex],$EC$11,0)*MATCH(bhpc_data[size],$EC$13,0)),MATCH(ROW(bhpc_data[sku]),ROW(bhpc_data[sku])),""),ROWS($A$15:A310)+$B$3))))),"")</f>
        <v/>
      </c>
      <c r="EG305" s="441" t="str">
        <f>IFERROR(IF('BHPC MANAGER'!$EE305="","",INDEX(inventory[ESISTENZA],MATCH('BHPC MANAGER'!$EE305,inventory[SKU],0))),0)</f>
        <v/>
      </c>
      <c r="EH305" s="442"/>
      <c r="EI305" s="442" t="str">
        <f t="shared" si="21"/>
        <v/>
      </c>
      <c r="EJ305" s="443"/>
      <c r="EK305" s="444" t="str">
        <f t="shared" si="22"/>
        <v/>
      </c>
    </row>
    <row r="306" spans="135:141" x14ac:dyDescent="0.35">
      <c r="EE306" s="445" t="str" cm="1">
        <f t="array" ref="EE306">IFERROR(IF($EC$9="",IF($EC$11="",IF($EC$13="",INDEX(bhpc_data[sku],SMALL(MATCH(ROW(bhpc_data[sku]),ROW(bhpc_data[sku])),ROWS($A$15:A311)+$B$3)),INDEX(bhpc_data[sku],SMALL(IF(ISNUMBER(MATCH(bhpc_data[size],$EC$13,0)),MATCH(ROW(bhpc_data[sku]),ROW(bhpc_data[sku])),""),ROWS($A$15:A311)+$B$3))),IF($EC$13="",INDEX(bhpc_data[sku],SMALL(IF(ISNUMBER(MATCH(bhpc_data[sex],$EC$11,0)),MATCH(ROW(bhpc_data[sku]),ROW(bhpc_data[sku])),""),ROWS($A$15:A311)+$B$3)),INDEX(bhpc_data[sku],SMALL(IF(ISNUMBER(MATCH(bhpc_data[sex],$EC$11,0)*MATCH(bhpc_data[size],$EC$13,0)),MATCH(ROW(bhpc_data[sku]),ROW(bhpc_data[sku])),""),ROWS($A$15:A311)+$B$3)))),IF($EC$11="",IF($EC$13="",INDEX(bhpc_data[sku],SMALL(IF(ISNUMBER(MATCH(bhpc_data[category],$EC$9,0)),MATCH(ROW(bhpc_data[sku]),ROW(bhpc_data[sku])),""),ROWS($A$15:A311)+$B$3)),INDEX(bhpc_data[sku],SMALL(IF(ISNUMBER(MATCH(bhpc_data[category],$EC$9,0)*MATCH(bhpc_data[size],$EC$13,0)),MATCH(ROW(bhpc_data[sku]),ROW(bhpc_data[sku])),""),ROWS($A$15:A311)+$B$3))),IF($EC$13="",INDEX(bhpc_data[sku],SMALL(IF(ISNUMBER(MATCH(bhpc_data[category],$EC$9,0)*MATCH(bhpc_data[sex],$EC$11,0)),MATCH(ROW(bhpc_data[sku]),ROW(bhpc_data[sku])),""),ROWS($A$15:A311)+$B$3)),INDEX(bhpc_data[sku],SMALL(IF(ISNUMBER(MATCH(bhpc_data[category],$EC$9,0)*MATCH(bhpc_data[sex],$EC$11,0)*MATCH(bhpc_data[size],$EC$13,0)),MATCH(ROW(bhpc_data[sku]),ROW(bhpc_data[sku])),""),ROWS($A$15:A311)+$B$3))))),"")</f>
        <v/>
      </c>
      <c r="EF306" s="446" t="str" cm="1">
        <f t="array" ref="EF306">IFERROR(IF($EC$9="",IF($EC$11="",IF($EC$13="",INDEX(bhpc_data[description],SMALL(MATCH(ROW(bhpc_data[sku]),ROW(bhpc_data[sku])),ROWS($A$15:A311)+$B$3)),INDEX(bhpc_data[description],SMALL(IF(ISNUMBER(MATCH(bhpc_data[size],$EC$13,0)),MATCH(ROW(bhpc_data[sku]),ROW(bhpc_data[sku])),""),ROWS($A$15:A311)+$B$3))),IF($EC$13="",INDEX(bhpc_data[description],SMALL(IF(ISNUMBER(MATCH(bhpc_data[sex],$EC$11,0)),MATCH(ROW(bhpc_data[sku]),ROW(bhpc_data[sku])),""),ROWS($A$15:A311)+$B$3)),INDEX(bhpc_data[description],SMALL(IF(ISNUMBER(MATCH(bhpc_data[sex],$EC$11,0)*MATCH(bhpc_data[size],$EC$13,0)),MATCH(ROW(bhpc_data[sku]),ROW(bhpc_data[sku])),""),ROWS($A$15:A311)+$B$3)))),IF($EC$11="",IF($EC$13="",INDEX(bhpc_data[description],SMALL(IF(ISNUMBER(MATCH(bhpc_data[category],$EC$9,0)),MATCH(ROW(bhpc_data[sku]),ROW(bhpc_data[sku])),""),ROWS($A$15:A311)+$B$3)),INDEX(bhpc_data[description],SMALL(IF(ISNUMBER(MATCH(bhpc_data[category],$EC$9,0)*MATCH(bhpc_data[size],$EC$13,0)),MATCH(ROW(bhpc_data[sku]),ROW(bhpc_data[sku])),""),ROWS($A$15:A311)+$B$3))),IF($EC$13="",INDEX(bhpc_data[description],SMALL(IF(ISNUMBER(MATCH(bhpc_data[category],$EC$9,0)*MATCH(bhpc_data[sex],$EC$11,0)),MATCH(ROW(bhpc_data[sku]),ROW(bhpc_data[sku])),""),ROWS($A$15:A311)+$B$3)),INDEX(bhpc_data[description],SMALL(IF(ISNUMBER(MATCH(bhpc_data[category],$EC$9,0)*MATCH(bhpc_data[sex],$EC$11,0)*MATCH(bhpc_data[size],$EC$13,0)),MATCH(ROW(bhpc_data[sku]),ROW(bhpc_data[sku])),""),ROWS($A$15:A311)+$B$3))))),"")</f>
        <v/>
      </c>
      <c r="EG306" s="447" t="str">
        <f>IFERROR(IF('BHPC MANAGER'!$EE306="","",INDEX(inventory[ESISTENZA],MATCH('BHPC MANAGER'!$EE306,inventory[SKU],0))),0)</f>
        <v/>
      </c>
      <c r="EH306" s="448"/>
      <c r="EI306" s="448" t="str">
        <f t="shared" si="21"/>
        <v/>
      </c>
      <c r="EJ306" s="449"/>
      <c r="EK306" s="450" t="str">
        <f t="shared" si="22"/>
        <v/>
      </c>
    </row>
    <row r="307" spans="135:141" x14ac:dyDescent="0.35">
      <c r="EE307" s="439" t="str" cm="1">
        <f t="array" ref="EE307">IFERROR(IF($EC$9="",IF($EC$11="",IF($EC$13="",INDEX(bhpc_data[sku],SMALL(MATCH(ROW(bhpc_data[sku]),ROW(bhpc_data[sku])),ROWS($A$15:A312)+$B$3)),INDEX(bhpc_data[sku],SMALL(IF(ISNUMBER(MATCH(bhpc_data[size],$EC$13,0)),MATCH(ROW(bhpc_data[sku]),ROW(bhpc_data[sku])),""),ROWS($A$15:A312)+$B$3))),IF($EC$13="",INDEX(bhpc_data[sku],SMALL(IF(ISNUMBER(MATCH(bhpc_data[sex],$EC$11,0)),MATCH(ROW(bhpc_data[sku]),ROW(bhpc_data[sku])),""),ROWS($A$15:A312)+$B$3)),INDEX(bhpc_data[sku],SMALL(IF(ISNUMBER(MATCH(bhpc_data[sex],$EC$11,0)*MATCH(bhpc_data[size],$EC$13,0)),MATCH(ROW(bhpc_data[sku]),ROW(bhpc_data[sku])),""),ROWS($A$15:A312)+$B$3)))),IF($EC$11="",IF($EC$13="",INDEX(bhpc_data[sku],SMALL(IF(ISNUMBER(MATCH(bhpc_data[category],$EC$9,0)),MATCH(ROW(bhpc_data[sku]),ROW(bhpc_data[sku])),""),ROWS($A$15:A312)+$B$3)),INDEX(bhpc_data[sku],SMALL(IF(ISNUMBER(MATCH(bhpc_data[category],$EC$9,0)*MATCH(bhpc_data[size],$EC$13,0)),MATCH(ROW(bhpc_data[sku]),ROW(bhpc_data[sku])),""),ROWS($A$15:A312)+$B$3))),IF($EC$13="",INDEX(bhpc_data[sku],SMALL(IF(ISNUMBER(MATCH(bhpc_data[category],$EC$9,0)*MATCH(bhpc_data[sex],$EC$11,0)),MATCH(ROW(bhpc_data[sku]),ROW(bhpc_data[sku])),""),ROWS($A$15:A312)+$B$3)),INDEX(bhpc_data[sku],SMALL(IF(ISNUMBER(MATCH(bhpc_data[category],$EC$9,0)*MATCH(bhpc_data[sex],$EC$11,0)*MATCH(bhpc_data[size],$EC$13,0)),MATCH(ROW(bhpc_data[sku]),ROW(bhpc_data[sku])),""),ROWS($A$15:A312)+$B$3))))),"")</f>
        <v/>
      </c>
      <c r="EF307" s="440" t="str" cm="1">
        <f t="array" ref="EF307">IFERROR(IF($EC$9="",IF($EC$11="",IF($EC$13="",INDEX(bhpc_data[description],SMALL(MATCH(ROW(bhpc_data[sku]),ROW(bhpc_data[sku])),ROWS($A$15:A312)+$B$3)),INDEX(bhpc_data[description],SMALL(IF(ISNUMBER(MATCH(bhpc_data[size],$EC$13,0)),MATCH(ROW(bhpc_data[sku]),ROW(bhpc_data[sku])),""),ROWS($A$15:A312)+$B$3))),IF($EC$13="",INDEX(bhpc_data[description],SMALL(IF(ISNUMBER(MATCH(bhpc_data[sex],$EC$11,0)),MATCH(ROW(bhpc_data[sku]),ROW(bhpc_data[sku])),""),ROWS($A$15:A312)+$B$3)),INDEX(bhpc_data[description],SMALL(IF(ISNUMBER(MATCH(bhpc_data[sex],$EC$11,0)*MATCH(bhpc_data[size],$EC$13,0)),MATCH(ROW(bhpc_data[sku]),ROW(bhpc_data[sku])),""),ROWS($A$15:A312)+$B$3)))),IF($EC$11="",IF($EC$13="",INDEX(bhpc_data[description],SMALL(IF(ISNUMBER(MATCH(bhpc_data[category],$EC$9,0)),MATCH(ROW(bhpc_data[sku]),ROW(bhpc_data[sku])),""),ROWS($A$15:A312)+$B$3)),INDEX(bhpc_data[description],SMALL(IF(ISNUMBER(MATCH(bhpc_data[category],$EC$9,0)*MATCH(bhpc_data[size],$EC$13,0)),MATCH(ROW(bhpc_data[sku]),ROW(bhpc_data[sku])),""),ROWS($A$15:A312)+$B$3))),IF($EC$13="",INDEX(bhpc_data[description],SMALL(IF(ISNUMBER(MATCH(bhpc_data[category],$EC$9,0)*MATCH(bhpc_data[sex],$EC$11,0)),MATCH(ROW(bhpc_data[sku]),ROW(bhpc_data[sku])),""),ROWS($A$15:A312)+$B$3)),INDEX(bhpc_data[description],SMALL(IF(ISNUMBER(MATCH(bhpc_data[category],$EC$9,0)*MATCH(bhpc_data[sex],$EC$11,0)*MATCH(bhpc_data[size],$EC$13,0)),MATCH(ROW(bhpc_data[sku]),ROW(bhpc_data[sku])),""),ROWS($A$15:A312)+$B$3))))),"")</f>
        <v/>
      </c>
      <c r="EG307" s="441" t="str">
        <f>IFERROR(IF('BHPC MANAGER'!$EE307="","",INDEX(inventory[ESISTENZA],MATCH('BHPC MANAGER'!$EE307,inventory[SKU],0))),0)</f>
        <v/>
      </c>
      <c r="EH307" s="442"/>
      <c r="EI307" s="442" t="str">
        <f t="shared" si="21"/>
        <v/>
      </c>
      <c r="EJ307" s="443"/>
      <c r="EK307" s="444" t="str">
        <f t="shared" si="22"/>
        <v/>
      </c>
    </row>
    <row r="308" spans="135:141" x14ac:dyDescent="0.35">
      <c r="EE308" s="445" t="str" cm="1">
        <f t="array" ref="EE308">IFERROR(IF($EC$9="",IF($EC$11="",IF($EC$13="",INDEX(bhpc_data[sku],SMALL(MATCH(ROW(bhpc_data[sku]),ROW(bhpc_data[sku])),ROWS($A$15:A313)+$B$3)),INDEX(bhpc_data[sku],SMALL(IF(ISNUMBER(MATCH(bhpc_data[size],$EC$13,0)),MATCH(ROW(bhpc_data[sku]),ROW(bhpc_data[sku])),""),ROWS($A$15:A313)+$B$3))),IF($EC$13="",INDEX(bhpc_data[sku],SMALL(IF(ISNUMBER(MATCH(bhpc_data[sex],$EC$11,0)),MATCH(ROW(bhpc_data[sku]),ROW(bhpc_data[sku])),""),ROWS($A$15:A313)+$B$3)),INDEX(bhpc_data[sku],SMALL(IF(ISNUMBER(MATCH(bhpc_data[sex],$EC$11,0)*MATCH(bhpc_data[size],$EC$13,0)),MATCH(ROW(bhpc_data[sku]),ROW(bhpc_data[sku])),""),ROWS($A$15:A313)+$B$3)))),IF($EC$11="",IF($EC$13="",INDEX(bhpc_data[sku],SMALL(IF(ISNUMBER(MATCH(bhpc_data[category],$EC$9,0)),MATCH(ROW(bhpc_data[sku]),ROW(bhpc_data[sku])),""),ROWS($A$15:A313)+$B$3)),INDEX(bhpc_data[sku],SMALL(IF(ISNUMBER(MATCH(bhpc_data[category],$EC$9,0)*MATCH(bhpc_data[size],$EC$13,0)),MATCH(ROW(bhpc_data[sku]),ROW(bhpc_data[sku])),""),ROWS($A$15:A313)+$B$3))),IF($EC$13="",INDEX(bhpc_data[sku],SMALL(IF(ISNUMBER(MATCH(bhpc_data[category],$EC$9,0)*MATCH(bhpc_data[sex],$EC$11,0)),MATCH(ROW(bhpc_data[sku]),ROW(bhpc_data[sku])),""),ROWS($A$15:A313)+$B$3)),INDEX(bhpc_data[sku],SMALL(IF(ISNUMBER(MATCH(bhpc_data[category],$EC$9,0)*MATCH(bhpc_data[sex],$EC$11,0)*MATCH(bhpc_data[size],$EC$13,0)),MATCH(ROW(bhpc_data[sku]),ROW(bhpc_data[sku])),""),ROWS($A$15:A313)+$B$3))))),"")</f>
        <v/>
      </c>
      <c r="EF308" s="446" t="str" cm="1">
        <f t="array" ref="EF308">IFERROR(IF($EC$9="",IF($EC$11="",IF($EC$13="",INDEX(bhpc_data[description],SMALL(MATCH(ROW(bhpc_data[sku]),ROW(bhpc_data[sku])),ROWS($A$15:A313)+$B$3)),INDEX(bhpc_data[description],SMALL(IF(ISNUMBER(MATCH(bhpc_data[size],$EC$13,0)),MATCH(ROW(bhpc_data[sku]),ROW(bhpc_data[sku])),""),ROWS($A$15:A313)+$B$3))),IF($EC$13="",INDEX(bhpc_data[description],SMALL(IF(ISNUMBER(MATCH(bhpc_data[sex],$EC$11,0)),MATCH(ROW(bhpc_data[sku]),ROW(bhpc_data[sku])),""),ROWS($A$15:A313)+$B$3)),INDEX(bhpc_data[description],SMALL(IF(ISNUMBER(MATCH(bhpc_data[sex],$EC$11,0)*MATCH(bhpc_data[size],$EC$13,0)),MATCH(ROW(bhpc_data[sku]),ROW(bhpc_data[sku])),""),ROWS($A$15:A313)+$B$3)))),IF($EC$11="",IF($EC$13="",INDEX(bhpc_data[description],SMALL(IF(ISNUMBER(MATCH(bhpc_data[category],$EC$9,0)),MATCH(ROW(bhpc_data[sku]),ROW(bhpc_data[sku])),""),ROWS($A$15:A313)+$B$3)),INDEX(bhpc_data[description],SMALL(IF(ISNUMBER(MATCH(bhpc_data[category],$EC$9,0)*MATCH(bhpc_data[size],$EC$13,0)),MATCH(ROW(bhpc_data[sku]),ROW(bhpc_data[sku])),""),ROWS($A$15:A313)+$B$3))),IF($EC$13="",INDEX(bhpc_data[description],SMALL(IF(ISNUMBER(MATCH(bhpc_data[category],$EC$9,0)*MATCH(bhpc_data[sex],$EC$11,0)),MATCH(ROW(bhpc_data[sku]),ROW(bhpc_data[sku])),""),ROWS($A$15:A313)+$B$3)),INDEX(bhpc_data[description],SMALL(IF(ISNUMBER(MATCH(bhpc_data[category],$EC$9,0)*MATCH(bhpc_data[sex],$EC$11,0)*MATCH(bhpc_data[size],$EC$13,0)),MATCH(ROW(bhpc_data[sku]),ROW(bhpc_data[sku])),""),ROWS($A$15:A313)+$B$3))))),"")</f>
        <v/>
      </c>
      <c r="EG308" s="447" t="str">
        <f>IFERROR(IF('BHPC MANAGER'!$EE308="","",INDEX(inventory[ESISTENZA],MATCH('BHPC MANAGER'!$EE308,inventory[SKU],0))),0)</f>
        <v/>
      </c>
      <c r="EH308" s="448"/>
      <c r="EI308" s="448" t="str">
        <f t="shared" si="21"/>
        <v/>
      </c>
      <c r="EJ308" s="449"/>
      <c r="EK308" s="450" t="str">
        <f t="shared" si="22"/>
        <v/>
      </c>
    </row>
    <row r="309" spans="135:141" x14ac:dyDescent="0.35">
      <c r="EE309" s="439" t="str" cm="1">
        <f t="array" ref="EE309">IFERROR(IF($EC$9="",IF($EC$11="",IF($EC$13="",INDEX(bhpc_data[sku],SMALL(MATCH(ROW(bhpc_data[sku]),ROW(bhpc_data[sku])),ROWS($A$15:A314)+$B$3)),INDEX(bhpc_data[sku],SMALL(IF(ISNUMBER(MATCH(bhpc_data[size],$EC$13,0)),MATCH(ROW(bhpc_data[sku]),ROW(bhpc_data[sku])),""),ROWS($A$15:A314)+$B$3))),IF($EC$13="",INDEX(bhpc_data[sku],SMALL(IF(ISNUMBER(MATCH(bhpc_data[sex],$EC$11,0)),MATCH(ROW(bhpc_data[sku]),ROW(bhpc_data[sku])),""),ROWS($A$15:A314)+$B$3)),INDEX(bhpc_data[sku],SMALL(IF(ISNUMBER(MATCH(bhpc_data[sex],$EC$11,0)*MATCH(bhpc_data[size],$EC$13,0)),MATCH(ROW(bhpc_data[sku]),ROW(bhpc_data[sku])),""),ROWS($A$15:A314)+$B$3)))),IF($EC$11="",IF($EC$13="",INDEX(bhpc_data[sku],SMALL(IF(ISNUMBER(MATCH(bhpc_data[category],$EC$9,0)),MATCH(ROW(bhpc_data[sku]),ROW(bhpc_data[sku])),""),ROWS($A$15:A314)+$B$3)),INDEX(bhpc_data[sku],SMALL(IF(ISNUMBER(MATCH(bhpc_data[category],$EC$9,0)*MATCH(bhpc_data[size],$EC$13,0)),MATCH(ROW(bhpc_data[sku]),ROW(bhpc_data[sku])),""),ROWS($A$15:A314)+$B$3))),IF($EC$13="",INDEX(bhpc_data[sku],SMALL(IF(ISNUMBER(MATCH(bhpc_data[category],$EC$9,0)*MATCH(bhpc_data[sex],$EC$11,0)),MATCH(ROW(bhpc_data[sku]),ROW(bhpc_data[sku])),""),ROWS($A$15:A314)+$B$3)),INDEX(bhpc_data[sku],SMALL(IF(ISNUMBER(MATCH(bhpc_data[category],$EC$9,0)*MATCH(bhpc_data[sex],$EC$11,0)*MATCH(bhpc_data[size],$EC$13,0)),MATCH(ROW(bhpc_data[sku]),ROW(bhpc_data[sku])),""),ROWS($A$15:A314)+$B$3))))),"")</f>
        <v/>
      </c>
      <c r="EF309" s="440" t="str" cm="1">
        <f t="array" ref="EF309">IFERROR(IF($EC$9="",IF($EC$11="",IF($EC$13="",INDEX(bhpc_data[description],SMALL(MATCH(ROW(bhpc_data[sku]),ROW(bhpc_data[sku])),ROWS($A$15:A314)+$B$3)),INDEX(bhpc_data[description],SMALL(IF(ISNUMBER(MATCH(bhpc_data[size],$EC$13,0)),MATCH(ROW(bhpc_data[sku]),ROW(bhpc_data[sku])),""),ROWS($A$15:A314)+$B$3))),IF($EC$13="",INDEX(bhpc_data[description],SMALL(IF(ISNUMBER(MATCH(bhpc_data[sex],$EC$11,0)),MATCH(ROW(bhpc_data[sku]),ROW(bhpc_data[sku])),""),ROWS($A$15:A314)+$B$3)),INDEX(bhpc_data[description],SMALL(IF(ISNUMBER(MATCH(bhpc_data[sex],$EC$11,0)*MATCH(bhpc_data[size],$EC$13,0)),MATCH(ROW(bhpc_data[sku]),ROW(bhpc_data[sku])),""),ROWS($A$15:A314)+$B$3)))),IF($EC$11="",IF($EC$13="",INDEX(bhpc_data[description],SMALL(IF(ISNUMBER(MATCH(bhpc_data[category],$EC$9,0)),MATCH(ROW(bhpc_data[sku]),ROW(bhpc_data[sku])),""),ROWS($A$15:A314)+$B$3)),INDEX(bhpc_data[description],SMALL(IF(ISNUMBER(MATCH(bhpc_data[category],$EC$9,0)*MATCH(bhpc_data[size],$EC$13,0)),MATCH(ROW(bhpc_data[sku]),ROW(bhpc_data[sku])),""),ROWS($A$15:A314)+$B$3))),IF($EC$13="",INDEX(bhpc_data[description],SMALL(IF(ISNUMBER(MATCH(bhpc_data[category],$EC$9,0)*MATCH(bhpc_data[sex],$EC$11,0)),MATCH(ROW(bhpc_data[sku]),ROW(bhpc_data[sku])),""),ROWS($A$15:A314)+$B$3)),INDEX(bhpc_data[description],SMALL(IF(ISNUMBER(MATCH(bhpc_data[category],$EC$9,0)*MATCH(bhpc_data[sex],$EC$11,0)*MATCH(bhpc_data[size],$EC$13,0)),MATCH(ROW(bhpc_data[sku]),ROW(bhpc_data[sku])),""),ROWS($A$15:A314)+$B$3))))),"")</f>
        <v/>
      </c>
      <c r="EG309" s="441" t="str">
        <f>IFERROR(IF('BHPC MANAGER'!$EE309="","",INDEX(inventory[ESISTENZA],MATCH('BHPC MANAGER'!$EE309,inventory[SKU],0))),0)</f>
        <v/>
      </c>
      <c r="EH309" s="442"/>
      <c r="EI309" s="442" t="str">
        <f t="shared" si="21"/>
        <v/>
      </c>
      <c r="EJ309" s="443"/>
      <c r="EK309" s="444" t="str">
        <f t="shared" si="22"/>
        <v/>
      </c>
    </row>
    <row r="310" spans="135:141" x14ac:dyDescent="0.35">
      <c r="EE310" s="445" t="str" cm="1">
        <f t="array" ref="EE310">IFERROR(IF($EC$9="",IF($EC$11="",IF($EC$13="",INDEX(bhpc_data[sku],SMALL(MATCH(ROW(bhpc_data[sku]),ROW(bhpc_data[sku])),ROWS($A$15:A315)+$B$3)),INDEX(bhpc_data[sku],SMALL(IF(ISNUMBER(MATCH(bhpc_data[size],$EC$13,0)),MATCH(ROW(bhpc_data[sku]),ROW(bhpc_data[sku])),""),ROWS($A$15:A315)+$B$3))),IF($EC$13="",INDEX(bhpc_data[sku],SMALL(IF(ISNUMBER(MATCH(bhpc_data[sex],$EC$11,0)),MATCH(ROW(bhpc_data[sku]),ROW(bhpc_data[sku])),""),ROWS($A$15:A315)+$B$3)),INDEX(bhpc_data[sku],SMALL(IF(ISNUMBER(MATCH(bhpc_data[sex],$EC$11,0)*MATCH(bhpc_data[size],$EC$13,0)),MATCH(ROW(bhpc_data[sku]),ROW(bhpc_data[sku])),""),ROWS($A$15:A315)+$B$3)))),IF($EC$11="",IF($EC$13="",INDEX(bhpc_data[sku],SMALL(IF(ISNUMBER(MATCH(bhpc_data[category],$EC$9,0)),MATCH(ROW(bhpc_data[sku]),ROW(bhpc_data[sku])),""),ROWS($A$15:A315)+$B$3)),INDEX(bhpc_data[sku],SMALL(IF(ISNUMBER(MATCH(bhpc_data[category],$EC$9,0)*MATCH(bhpc_data[size],$EC$13,0)),MATCH(ROW(bhpc_data[sku]),ROW(bhpc_data[sku])),""),ROWS($A$15:A315)+$B$3))),IF($EC$13="",INDEX(bhpc_data[sku],SMALL(IF(ISNUMBER(MATCH(bhpc_data[category],$EC$9,0)*MATCH(bhpc_data[sex],$EC$11,0)),MATCH(ROW(bhpc_data[sku]),ROW(bhpc_data[sku])),""),ROWS($A$15:A315)+$B$3)),INDEX(bhpc_data[sku],SMALL(IF(ISNUMBER(MATCH(bhpc_data[category],$EC$9,0)*MATCH(bhpc_data[sex],$EC$11,0)*MATCH(bhpc_data[size],$EC$13,0)),MATCH(ROW(bhpc_data[sku]),ROW(bhpc_data[sku])),""),ROWS($A$15:A315)+$B$3))))),"")</f>
        <v/>
      </c>
      <c r="EF310" s="446" t="str" cm="1">
        <f t="array" ref="EF310">IFERROR(IF($EC$9="",IF($EC$11="",IF($EC$13="",INDEX(bhpc_data[description],SMALL(MATCH(ROW(bhpc_data[sku]),ROW(bhpc_data[sku])),ROWS($A$15:A315)+$B$3)),INDEX(bhpc_data[description],SMALL(IF(ISNUMBER(MATCH(bhpc_data[size],$EC$13,0)),MATCH(ROW(bhpc_data[sku]),ROW(bhpc_data[sku])),""),ROWS($A$15:A315)+$B$3))),IF($EC$13="",INDEX(bhpc_data[description],SMALL(IF(ISNUMBER(MATCH(bhpc_data[sex],$EC$11,0)),MATCH(ROW(bhpc_data[sku]),ROW(bhpc_data[sku])),""),ROWS($A$15:A315)+$B$3)),INDEX(bhpc_data[description],SMALL(IF(ISNUMBER(MATCH(bhpc_data[sex],$EC$11,0)*MATCH(bhpc_data[size],$EC$13,0)),MATCH(ROW(bhpc_data[sku]),ROW(bhpc_data[sku])),""),ROWS($A$15:A315)+$B$3)))),IF($EC$11="",IF($EC$13="",INDEX(bhpc_data[description],SMALL(IF(ISNUMBER(MATCH(bhpc_data[category],$EC$9,0)),MATCH(ROW(bhpc_data[sku]),ROW(bhpc_data[sku])),""),ROWS($A$15:A315)+$B$3)),INDEX(bhpc_data[description],SMALL(IF(ISNUMBER(MATCH(bhpc_data[category],$EC$9,0)*MATCH(bhpc_data[size],$EC$13,0)),MATCH(ROW(bhpc_data[sku]),ROW(bhpc_data[sku])),""),ROWS($A$15:A315)+$B$3))),IF($EC$13="",INDEX(bhpc_data[description],SMALL(IF(ISNUMBER(MATCH(bhpc_data[category],$EC$9,0)*MATCH(bhpc_data[sex],$EC$11,0)),MATCH(ROW(bhpc_data[sku]),ROW(bhpc_data[sku])),""),ROWS($A$15:A315)+$B$3)),INDEX(bhpc_data[description],SMALL(IF(ISNUMBER(MATCH(bhpc_data[category],$EC$9,0)*MATCH(bhpc_data[sex],$EC$11,0)*MATCH(bhpc_data[size],$EC$13,0)),MATCH(ROW(bhpc_data[sku]),ROW(bhpc_data[sku])),""),ROWS($A$15:A315)+$B$3))))),"")</f>
        <v/>
      </c>
      <c r="EG310" s="447" t="str">
        <f>IFERROR(IF('BHPC MANAGER'!$EE310="","",INDEX(inventory[ESISTENZA],MATCH('BHPC MANAGER'!$EE310,inventory[SKU],0))),0)</f>
        <v/>
      </c>
      <c r="EH310" s="448"/>
      <c r="EI310" s="448" t="str">
        <f t="shared" si="21"/>
        <v/>
      </c>
      <c r="EJ310" s="449"/>
      <c r="EK310" s="450" t="str">
        <f t="shared" si="22"/>
        <v/>
      </c>
    </row>
    <row r="311" spans="135:141" x14ac:dyDescent="0.35">
      <c r="EE311" s="439" t="str" cm="1">
        <f t="array" ref="EE311">IFERROR(IF($EC$9="",IF($EC$11="",IF($EC$13="",INDEX(bhpc_data[sku],SMALL(MATCH(ROW(bhpc_data[sku]),ROW(bhpc_data[sku])),ROWS($A$15:A316)+$B$3)),INDEX(bhpc_data[sku],SMALL(IF(ISNUMBER(MATCH(bhpc_data[size],$EC$13,0)),MATCH(ROW(bhpc_data[sku]),ROW(bhpc_data[sku])),""),ROWS($A$15:A316)+$B$3))),IF($EC$13="",INDEX(bhpc_data[sku],SMALL(IF(ISNUMBER(MATCH(bhpc_data[sex],$EC$11,0)),MATCH(ROW(bhpc_data[sku]),ROW(bhpc_data[sku])),""),ROWS($A$15:A316)+$B$3)),INDEX(bhpc_data[sku],SMALL(IF(ISNUMBER(MATCH(bhpc_data[sex],$EC$11,0)*MATCH(bhpc_data[size],$EC$13,0)),MATCH(ROW(bhpc_data[sku]),ROW(bhpc_data[sku])),""),ROWS($A$15:A316)+$B$3)))),IF($EC$11="",IF($EC$13="",INDEX(bhpc_data[sku],SMALL(IF(ISNUMBER(MATCH(bhpc_data[category],$EC$9,0)),MATCH(ROW(bhpc_data[sku]),ROW(bhpc_data[sku])),""),ROWS($A$15:A316)+$B$3)),INDEX(bhpc_data[sku],SMALL(IF(ISNUMBER(MATCH(bhpc_data[category],$EC$9,0)*MATCH(bhpc_data[size],$EC$13,0)),MATCH(ROW(bhpc_data[sku]),ROW(bhpc_data[sku])),""),ROWS($A$15:A316)+$B$3))),IF($EC$13="",INDEX(bhpc_data[sku],SMALL(IF(ISNUMBER(MATCH(bhpc_data[category],$EC$9,0)*MATCH(bhpc_data[sex],$EC$11,0)),MATCH(ROW(bhpc_data[sku]),ROW(bhpc_data[sku])),""),ROWS($A$15:A316)+$B$3)),INDEX(bhpc_data[sku],SMALL(IF(ISNUMBER(MATCH(bhpc_data[category],$EC$9,0)*MATCH(bhpc_data[sex],$EC$11,0)*MATCH(bhpc_data[size],$EC$13,0)),MATCH(ROW(bhpc_data[sku]),ROW(bhpc_data[sku])),""),ROWS($A$15:A316)+$B$3))))),"")</f>
        <v/>
      </c>
      <c r="EF311" s="440" t="str" cm="1">
        <f t="array" ref="EF311">IFERROR(IF($EC$9="",IF($EC$11="",IF($EC$13="",INDEX(bhpc_data[description],SMALL(MATCH(ROW(bhpc_data[sku]),ROW(bhpc_data[sku])),ROWS($A$15:A316)+$B$3)),INDEX(bhpc_data[description],SMALL(IF(ISNUMBER(MATCH(bhpc_data[size],$EC$13,0)),MATCH(ROW(bhpc_data[sku]),ROW(bhpc_data[sku])),""),ROWS($A$15:A316)+$B$3))),IF($EC$13="",INDEX(bhpc_data[description],SMALL(IF(ISNUMBER(MATCH(bhpc_data[sex],$EC$11,0)),MATCH(ROW(bhpc_data[sku]),ROW(bhpc_data[sku])),""),ROWS($A$15:A316)+$B$3)),INDEX(bhpc_data[description],SMALL(IF(ISNUMBER(MATCH(bhpc_data[sex],$EC$11,0)*MATCH(bhpc_data[size],$EC$13,0)),MATCH(ROW(bhpc_data[sku]),ROW(bhpc_data[sku])),""),ROWS($A$15:A316)+$B$3)))),IF($EC$11="",IF($EC$13="",INDEX(bhpc_data[description],SMALL(IF(ISNUMBER(MATCH(bhpc_data[category],$EC$9,0)),MATCH(ROW(bhpc_data[sku]),ROW(bhpc_data[sku])),""),ROWS($A$15:A316)+$B$3)),INDEX(bhpc_data[description],SMALL(IF(ISNUMBER(MATCH(bhpc_data[category],$EC$9,0)*MATCH(bhpc_data[size],$EC$13,0)),MATCH(ROW(bhpc_data[sku]),ROW(bhpc_data[sku])),""),ROWS($A$15:A316)+$B$3))),IF($EC$13="",INDEX(bhpc_data[description],SMALL(IF(ISNUMBER(MATCH(bhpc_data[category],$EC$9,0)*MATCH(bhpc_data[sex],$EC$11,0)),MATCH(ROW(bhpc_data[sku]),ROW(bhpc_data[sku])),""),ROWS($A$15:A316)+$B$3)),INDEX(bhpc_data[description],SMALL(IF(ISNUMBER(MATCH(bhpc_data[category],$EC$9,0)*MATCH(bhpc_data[sex],$EC$11,0)*MATCH(bhpc_data[size],$EC$13,0)),MATCH(ROW(bhpc_data[sku]),ROW(bhpc_data[sku])),""),ROWS($A$15:A316)+$B$3))))),"")</f>
        <v/>
      </c>
      <c r="EG311" s="441" t="str">
        <f>IFERROR(IF('BHPC MANAGER'!$EE311="","",INDEX(inventory[ESISTENZA],MATCH('BHPC MANAGER'!$EE311,inventory[SKU],0))),0)</f>
        <v/>
      </c>
      <c r="EH311" s="442"/>
      <c r="EI311" s="442" t="str">
        <f t="shared" si="21"/>
        <v/>
      </c>
      <c r="EJ311" s="443"/>
      <c r="EK311" s="444" t="str">
        <f t="shared" si="22"/>
        <v/>
      </c>
    </row>
    <row r="312" spans="135:141" x14ac:dyDescent="0.35">
      <c r="EE312" s="445" t="str" cm="1">
        <f t="array" ref="EE312">IFERROR(IF($EC$9="",IF($EC$11="",IF($EC$13="",INDEX(bhpc_data[sku],SMALL(MATCH(ROW(bhpc_data[sku]),ROW(bhpc_data[sku])),ROWS($A$15:A317)+$B$3)),INDEX(bhpc_data[sku],SMALL(IF(ISNUMBER(MATCH(bhpc_data[size],$EC$13,0)),MATCH(ROW(bhpc_data[sku]),ROW(bhpc_data[sku])),""),ROWS($A$15:A317)+$B$3))),IF($EC$13="",INDEX(bhpc_data[sku],SMALL(IF(ISNUMBER(MATCH(bhpc_data[sex],$EC$11,0)),MATCH(ROW(bhpc_data[sku]),ROW(bhpc_data[sku])),""),ROWS($A$15:A317)+$B$3)),INDEX(bhpc_data[sku],SMALL(IF(ISNUMBER(MATCH(bhpc_data[sex],$EC$11,0)*MATCH(bhpc_data[size],$EC$13,0)),MATCH(ROW(bhpc_data[sku]),ROW(bhpc_data[sku])),""),ROWS($A$15:A317)+$B$3)))),IF($EC$11="",IF($EC$13="",INDEX(bhpc_data[sku],SMALL(IF(ISNUMBER(MATCH(bhpc_data[category],$EC$9,0)),MATCH(ROW(bhpc_data[sku]),ROW(bhpc_data[sku])),""),ROWS($A$15:A317)+$B$3)),INDEX(bhpc_data[sku],SMALL(IF(ISNUMBER(MATCH(bhpc_data[category],$EC$9,0)*MATCH(bhpc_data[size],$EC$13,0)),MATCH(ROW(bhpc_data[sku]),ROW(bhpc_data[sku])),""),ROWS($A$15:A317)+$B$3))),IF($EC$13="",INDEX(bhpc_data[sku],SMALL(IF(ISNUMBER(MATCH(bhpc_data[category],$EC$9,0)*MATCH(bhpc_data[sex],$EC$11,0)),MATCH(ROW(bhpc_data[sku]),ROW(bhpc_data[sku])),""),ROWS($A$15:A317)+$B$3)),INDEX(bhpc_data[sku],SMALL(IF(ISNUMBER(MATCH(bhpc_data[category],$EC$9,0)*MATCH(bhpc_data[sex],$EC$11,0)*MATCH(bhpc_data[size],$EC$13,0)),MATCH(ROW(bhpc_data[sku]),ROW(bhpc_data[sku])),""),ROWS($A$15:A317)+$B$3))))),"")</f>
        <v/>
      </c>
      <c r="EF312" s="446" t="str" cm="1">
        <f t="array" ref="EF312">IFERROR(IF($EC$9="",IF($EC$11="",IF($EC$13="",INDEX(bhpc_data[description],SMALL(MATCH(ROW(bhpc_data[sku]),ROW(bhpc_data[sku])),ROWS($A$15:A317)+$B$3)),INDEX(bhpc_data[description],SMALL(IF(ISNUMBER(MATCH(bhpc_data[size],$EC$13,0)),MATCH(ROW(bhpc_data[sku]),ROW(bhpc_data[sku])),""),ROWS($A$15:A317)+$B$3))),IF($EC$13="",INDEX(bhpc_data[description],SMALL(IF(ISNUMBER(MATCH(bhpc_data[sex],$EC$11,0)),MATCH(ROW(bhpc_data[sku]),ROW(bhpc_data[sku])),""),ROWS($A$15:A317)+$B$3)),INDEX(bhpc_data[description],SMALL(IF(ISNUMBER(MATCH(bhpc_data[sex],$EC$11,0)*MATCH(bhpc_data[size],$EC$13,0)),MATCH(ROW(bhpc_data[sku]),ROW(bhpc_data[sku])),""),ROWS($A$15:A317)+$B$3)))),IF($EC$11="",IF($EC$13="",INDEX(bhpc_data[description],SMALL(IF(ISNUMBER(MATCH(bhpc_data[category],$EC$9,0)),MATCH(ROW(bhpc_data[sku]),ROW(bhpc_data[sku])),""),ROWS($A$15:A317)+$B$3)),INDEX(bhpc_data[description],SMALL(IF(ISNUMBER(MATCH(bhpc_data[category],$EC$9,0)*MATCH(bhpc_data[size],$EC$13,0)),MATCH(ROW(bhpc_data[sku]),ROW(bhpc_data[sku])),""),ROWS($A$15:A317)+$B$3))),IF($EC$13="",INDEX(bhpc_data[description],SMALL(IF(ISNUMBER(MATCH(bhpc_data[category],$EC$9,0)*MATCH(bhpc_data[sex],$EC$11,0)),MATCH(ROW(bhpc_data[sku]),ROW(bhpc_data[sku])),""),ROWS($A$15:A317)+$B$3)),INDEX(bhpc_data[description],SMALL(IF(ISNUMBER(MATCH(bhpc_data[category],$EC$9,0)*MATCH(bhpc_data[sex],$EC$11,0)*MATCH(bhpc_data[size],$EC$13,0)),MATCH(ROW(bhpc_data[sku]),ROW(bhpc_data[sku])),""),ROWS($A$15:A317)+$B$3))))),"")</f>
        <v/>
      </c>
      <c r="EG312" s="447" t="str">
        <f>IFERROR(IF('BHPC MANAGER'!$EE312="","",INDEX(inventory[ESISTENZA],MATCH('BHPC MANAGER'!$EE312,inventory[SKU],0))),0)</f>
        <v/>
      </c>
      <c r="EH312" s="448"/>
      <c r="EI312" s="448" t="str">
        <f t="shared" si="21"/>
        <v/>
      </c>
      <c r="EJ312" s="449"/>
      <c r="EK312" s="450" t="str">
        <f t="shared" si="22"/>
        <v/>
      </c>
    </row>
    <row r="313" spans="135:141" x14ac:dyDescent="0.35">
      <c r="EE313" s="439" t="str" cm="1">
        <f t="array" ref="EE313">IFERROR(IF($EC$9="",IF($EC$11="",IF($EC$13="",INDEX(bhpc_data[sku],SMALL(MATCH(ROW(bhpc_data[sku]),ROW(bhpc_data[sku])),ROWS($A$15:A318)+$B$3)),INDEX(bhpc_data[sku],SMALL(IF(ISNUMBER(MATCH(bhpc_data[size],$EC$13,0)),MATCH(ROW(bhpc_data[sku]),ROW(bhpc_data[sku])),""),ROWS($A$15:A318)+$B$3))),IF($EC$13="",INDEX(bhpc_data[sku],SMALL(IF(ISNUMBER(MATCH(bhpc_data[sex],$EC$11,0)),MATCH(ROW(bhpc_data[sku]),ROW(bhpc_data[sku])),""),ROWS($A$15:A318)+$B$3)),INDEX(bhpc_data[sku],SMALL(IF(ISNUMBER(MATCH(bhpc_data[sex],$EC$11,0)*MATCH(bhpc_data[size],$EC$13,0)),MATCH(ROW(bhpc_data[sku]),ROW(bhpc_data[sku])),""),ROWS($A$15:A318)+$B$3)))),IF($EC$11="",IF($EC$13="",INDEX(bhpc_data[sku],SMALL(IF(ISNUMBER(MATCH(bhpc_data[category],$EC$9,0)),MATCH(ROW(bhpc_data[sku]),ROW(bhpc_data[sku])),""),ROWS($A$15:A318)+$B$3)),INDEX(bhpc_data[sku],SMALL(IF(ISNUMBER(MATCH(bhpc_data[category],$EC$9,0)*MATCH(bhpc_data[size],$EC$13,0)),MATCH(ROW(bhpc_data[sku]),ROW(bhpc_data[sku])),""),ROWS($A$15:A318)+$B$3))),IF($EC$13="",INDEX(bhpc_data[sku],SMALL(IF(ISNUMBER(MATCH(bhpc_data[category],$EC$9,0)*MATCH(bhpc_data[sex],$EC$11,0)),MATCH(ROW(bhpc_data[sku]),ROW(bhpc_data[sku])),""),ROWS($A$15:A318)+$B$3)),INDEX(bhpc_data[sku],SMALL(IF(ISNUMBER(MATCH(bhpc_data[category],$EC$9,0)*MATCH(bhpc_data[sex],$EC$11,0)*MATCH(bhpc_data[size],$EC$13,0)),MATCH(ROW(bhpc_data[sku]),ROW(bhpc_data[sku])),""),ROWS($A$15:A318)+$B$3))))),"")</f>
        <v/>
      </c>
      <c r="EF313" s="440" t="str" cm="1">
        <f t="array" ref="EF313">IFERROR(IF($EC$9="",IF($EC$11="",IF($EC$13="",INDEX(bhpc_data[description],SMALL(MATCH(ROW(bhpc_data[sku]),ROW(bhpc_data[sku])),ROWS($A$15:A318)+$B$3)),INDEX(bhpc_data[description],SMALL(IF(ISNUMBER(MATCH(bhpc_data[size],$EC$13,0)),MATCH(ROW(bhpc_data[sku]),ROW(bhpc_data[sku])),""),ROWS($A$15:A318)+$B$3))),IF($EC$13="",INDEX(bhpc_data[description],SMALL(IF(ISNUMBER(MATCH(bhpc_data[sex],$EC$11,0)),MATCH(ROW(bhpc_data[sku]),ROW(bhpc_data[sku])),""),ROWS($A$15:A318)+$B$3)),INDEX(bhpc_data[description],SMALL(IF(ISNUMBER(MATCH(bhpc_data[sex],$EC$11,0)*MATCH(bhpc_data[size],$EC$13,0)),MATCH(ROW(bhpc_data[sku]),ROW(bhpc_data[sku])),""),ROWS($A$15:A318)+$B$3)))),IF($EC$11="",IF($EC$13="",INDEX(bhpc_data[description],SMALL(IF(ISNUMBER(MATCH(bhpc_data[category],$EC$9,0)),MATCH(ROW(bhpc_data[sku]),ROW(bhpc_data[sku])),""),ROWS($A$15:A318)+$B$3)),INDEX(bhpc_data[description],SMALL(IF(ISNUMBER(MATCH(bhpc_data[category],$EC$9,0)*MATCH(bhpc_data[size],$EC$13,0)),MATCH(ROW(bhpc_data[sku]),ROW(bhpc_data[sku])),""),ROWS($A$15:A318)+$B$3))),IF($EC$13="",INDEX(bhpc_data[description],SMALL(IF(ISNUMBER(MATCH(bhpc_data[category],$EC$9,0)*MATCH(bhpc_data[sex],$EC$11,0)),MATCH(ROW(bhpc_data[sku]),ROW(bhpc_data[sku])),""),ROWS($A$15:A318)+$B$3)),INDEX(bhpc_data[description],SMALL(IF(ISNUMBER(MATCH(bhpc_data[category],$EC$9,0)*MATCH(bhpc_data[sex],$EC$11,0)*MATCH(bhpc_data[size],$EC$13,0)),MATCH(ROW(bhpc_data[sku]),ROW(bhpc_data[sku])),""),ROWS($A$15:A318)+$B$3))))),"")</f>
        <v/>
      </c>
      <c r="EG313" s="441" t="str">
        <f>IFERROR(IF('BHPC MANAGER'!$EE313="","",INDEX(inventory[ESISTENZA],MATCH('BHPC MANAGER'!$EE313,inventory[SKU],0))),0)</f>
        <v/>
      </c>
      <c r="EH313" s="442"/>
      <c r="EI313" s="442" t="str">
        <f t="shared" si="21"/>
        <v/>
      </c>
      <c r="EJ313" s="443"/>
      <c r="EK313" s="444" t="str">
        <f t="shared" si="22"/>
        <v/>
      </c>
    </row>
    <row r="314" spans="135:141" x14ac:dyDescent="0.35">
      <c r="EE314" s="445" t="str" cm="1">
        <f t="array" ref="EE314">IFERROR(IF($EC$9="",IF($EC$11="",IF($EC$13="",INDEX(bhpc_data[sku],SMALL(MATCH(ROW(bhpc_data[sku]),ROW(bhpc_data[sku])),ROWS($A$15:A319)+$B$3)),INDEX(bhpc_data[sku],SMALL(IF(ISNUMBER(MATCH(bhpc_data[size],$EC$13,0)),MATCH(ROW(bhpc_data[sku]),ROW(bhpc_data[sku])),""),ROWS($A$15:A319)+$B$3))),IF($EC$13="",INDEX(bhpc_data[sku],SMALL(IF(ISNUMBER(MATCH(bhpc_data[sex],$EC$11,0)),MATCH(ROW(bhpc_data[sku]),ROW(bhpc_data[sku])),""),ROWS($A$15:A319)+$B$3)),INDEX(bhpc_data[sku],SMALL(IF(ISNUMBER(MATCH(bhpc_data[sex],$EC$11,0)*MATCH(bhpc_data[size],$EC$13,0)),MATCH(ROW(bhpc_data[sku]),ROW(bhpc_data[sku])),""),ROWS($A$15:A319)+$B$3)))),IF($EC$11="",IF($EC$13="",INDEX(bhpc_data[sku],SMALL(IF(ISNUMBER(MATCH(bhpc_data[category],$EC$9,0)),MATCH(ROW(bhpc_data[sku]),ROW(bhpc_data[sku])),""),ROWS($A$15:A319)+$B$3)),INDEX(bhpc_data[sku],SMALL(IF(ISNUMBER(MATCH(bhpc_data[category],$EC$9,0)*MATCH(bhpc_data[size],$EC$13,0)),MATCH(ROW(bhpc_data[sku]),ROW(bhpc_data[sku])),""),ROWS($A$15:A319)+$B$3))),IF($EC$13="",INDEX(bhpc_data[sku],SMALL(IF(ISNUMBER(MATCH(bhpc_data[category],$EC$9,0)*MATCH(bhpc_data[sex],$EC$11,0)),MATCH(ROW(bhpc_data[sku]),ROW(bhpc_data[sku])),""),ROWS($A$15:A319)+$B$3)),INDEX(bhpc_data[sku],SMALL(IF(ISNUMBER(MATCH(bhpc_data[category],$EC$9,0)*MATCH(bhpc_data[sex],$EC$11,0)*MATCH(bhpc_data[size],$EC$13,0)),MATCH(ROW(bhpc_data[sku]),ROW(bhpc_data[sku])),""),ROWS($A$15:A319)+$B$3))))),"")</f>
        <v/>
      </c>
      <c r="EF314" s="446" t="str" cm="1">
        <f t="array" ref="EF314">IFERROR(IF($EC$9="",IF($EC$11="",IF($EC$13="",INDEX(bhpc_data[description],SMALL(MATCH(ROW(bhpc_data[sku]),ROW(bhpc_data[sku])),ROWS($A$15:A319)+$B$3)),INDEX(bhpc_data[description],SMALL(IF(ISNUMBER(MATCH(bhpc_data[size],$EC$13,0)),MATCH(ROW(bhpc_data[sku]),ROW(bhpc_data[sku])),""),ROWS($A$15:A319)+$B$3))),IF($EC$13="",INDEX(bhpc_data[description],SMALL(IF(ISNUMBER(MATCH(bhpc_data[sex],$EC$11,0)),MATCH(ROW(bhpc_data[sku]),ROW(bhpc_data[sku])),""),ROWS($A$15:A319)+$B$3)),INDEX(bhpc_data[description],SMALL(IF(ISNUMBER(MATCH(bhpc_data[sex],$EC$11,0)*MATCH(bhpc_data[size],$EC$13,0)),MATCH(ROW(bhpc_data[sku]),ROW(bhpc_data[sku])),""),ROWS($A$15:A319)+$B$3)))),IF($EC$11="",IF($EC$13="",INDEX(bhpc_data[description],SMALL(IF(ISNUMBER(MATCH(bhpc_data[category],$EC$9,0)),MATCH(ROW(bhpc_data[sku]),ROW(bhpc_data[sku])),""),ROWS($A$15:A319)+$B$3)),INDEX(bhpc_data[description],SMALL(IF(ISNUMBER(MATCH(bhpc_data[category],$EC$9,0)*MATCH(bhpc_data[size],$EC$13,0)),MATCH(ROW(bhpc_data[sku]),ROW(bhpc_data[sku])),""),ROWS($A$15:A319)+$B$3))),IF($EC$13="",INDEX(bhpc_data[description],SMALL(IF(ISNUMBER(MATCH(bhpc_data[category],$EC$9,0)*MATCH(bhpc_data[sex],$EC$11,0)),MATCH(ROW(bhpc_data[sku]),ROW(bhpc_data[sku])),""),ROWS($A$15:A319)+$B$3)),INDEX(bhpc_data[description],SMALL(IF(ISNUMBER(MATCH(bhpc_data[category],$EC$9,0)*MATCH(bhpc_data[sex],$EC$11,0)*MATCH(bhpc_data[size],$EC$13,0)),MATCH(ROW(bhpc_data[sku]),ROW(bhpc_data[sku])),""),ROWS($A$15:A319)+$B$3))))),"")</f>
        <v/>
      </c>
      <c r="EG314" s="447" t="str">
        <f>IFERROR(IF('BHPC MANAGER'!$EE314="","",INDEX(inventory[ESISTENZA],MATCH('BHPC MANAGER'!$EE314,inventory[SKU],0))),0)</f>
        <v/>
      </c>
      <c r="EH314" s="448"/>
      <c r="EI314" s="448" t="str">
        <f t="shared" si="21"/>
        <v/>
      </c>
      <c r="EJ314" s="449"/>
      <c r="EK314" s="450" t="str">
        <f t="shared" si="22"/>
        <v/>
      </c>
    </row>
    <row r="315" spans="135:141" x14ac:dyDescent="0.35">
      <c r="EE315" s="439" t="str" cm="1">
        <f t="array" ref="EE315">IFERROR(IF($EC$9="",IF($EC$11="",IF($EC$13="",INDEX(bhpc_data[sku],SMALL(MATCH(ROW(bhpc_data[sku]),ROW(bhpc_data[sku])),ROWS($A$15:A320)+$B$3)),INDEX(bhpc_data[sku],SMALL(IF(ISNUMBER(MATCH(bhpc_data[size],$EC$13,0)),MATCH(ROW(bhpc_data[sku]),ROW(bhpc_data[sku])),""),ROWS($A$15:A320)+$B$3))),IF($EC$13="",INDEX(bhpc_data[sku],SMALL(IF(ISNUMBER(MATCH(bhpc_data[sex],$EC$11,0)),MATCH(ROW(bhpc_data[sku]),ROW(bhpc_data[sku])),""),ROWS($A$15:A320)+$B$3)),INDEX(bhpc_data[sku],SMALL(IF(ISNUMBER(MATCH(bhpc_data[sex],$EC$11,0)*MATCH(bhpc_data[size],$EC$13,0)),MATCH(ROW(bhpc_data[sku]),ROW(bhpc_data[sku])),""),ROWS($A$15:A320)+$B$3)))),IF($EC$11="",IF($EC$13="",INDEX(bhpc_data[sku],SMALL(IF(ISNUMBER(MATCH(bhpc_data[category],$EC$9,0)),MATCH(ROW(bhpc_data[sku]),ROW(bhpc_data[sku])),""),ROWS($A$15:A320)+$B$3)),INDEX(bhpc_data[sku],SMALL(IF(ISNUMBER(MATCH(bhpc_data[category],$EC$9,0)*MATCH(bhpc_data[size],$EC$13,0)),MATCH(ROW(bhpc_data[sku]),ROW(bhpc_data[sku])),""),ROWS($A$15:A320)+$B$3))),IF($EC$13="",INDEX(bhpc_data[sku],SMALL(IF(ISNUMBER(MATCH(bhpc_data[category],$EC$9,0)*MATCH(bhpc_data[sex],$EC$11,0)),MATCH(ROW(bhpc_data[sku]),ROW(bhpc_data[sku])),""),ROWS($A$15:A320)+$B$3)),INDEX(bhpc_data[sku],SMALL(IF(ISNUMBER(MATCH(bhpc_data[category],$EC$9,0)*MATCH(bhpc_data[sex],$EC$11,0)*MATCH(bhpc_data[size],$EC$13,0)),MATCH(ROW(bhpc_data[sku]),ROW(bhpc_data[sku])),""),ROWS($A$15:A320)+$B$3))))),"")</f>
        <v/>
      </c>
      <c r="EF315" s="440" t="str" cm="1">
        <f t="array" ref="EF315">IFERROR(IF($EC$9="",IF($EC$11="",IF($EC$13="",INDEX(bhpc_data[description],SMALL(MATCH(ROW(bhpc_data[sku]),ROW(bhpc_data[sku])),ROWS($A$15:A320)+$B$3)),INDEX(bhpc_data[description],SMALL(IF(ISNUMBER(MATCH(bhpc_data[size],$EC$13,0)),MATCH(ROW(bhpc_data[sku]),ROW(bhpc_data[sku])),""),ROWS($A$15:A320)+$B$3))),IF($EC$13="",INDEX(bhpc_data[description],SMALL(IF(ISNUMBER(MATCH(bhpc_data[sex],$EC$11,0)),MATCH(ROW(bhpc_data[sku]),ROW(bhpc_data[sku])),""),ROWS($A$15:A320)+$B$3)),INDEX(bhpc_data[description],SMALL(IF(ISNUMBER(MATCH(bhpc_data[sex],$EC$11,0)*MATCH(bhpc_data[size],$EC$13,0)),MATCH(ROW(bhpc_data[sku]),ROW(bhpc_data[sku])),""),ROWS($A$15:A320)+$B$3)))),IF($EC$11="",IF($EC$13="",INDEX(bhpc_data[description],SMALL(IF(ISNUMBER(MATCH(bhpc_data[category],$EC$9,0)),MATCH(ROW(bhpc_data[sku]),ROW(bhpc_data[sku])),""),ROWS($A$15:A320)+$B$3)),INDEX(bhpc_data[description],SMALL(IF(ISNUMBER(MATCH(bhpc_data[category],$EC$9,0)*MATCH(bhpc_data[size],$EC$13,0)),MATCH(ROW(bhpc_data[sku]),ROW(bhpc_data[sku])),""),ROWS($A$15:A320)+$B$3))),IF($EC$13="",INDEX(bhpc_data[description],SMALL(IF(ISNUMBER(MATCH(bhpc_data[category],$EC$9,0)*MATCH(bhpc_data[sex],$EC$11,0)),MATCH(ROW(bhpc_data[sku]),ROW(bhpc_data[sku])),""),ROWS($A$15:A320)+$B$3)),INDEX(bhpc_data[description],SMALL(IF(ISNUMBER(MATCH(bhpc_data[category],$EC$9,0)*MATCH(bhpc_data[sex],$EC$11,0)*MATCH(bhpc_data[size],$EC$13,0)),MATCH(ROW(bhpc_data[sku]),ROW(bhpc_data[sku])),""),ROWS($A$15:A320)+$B$3))))),"")</f>
        <v/>
      </c>
      <c r="EG315" s="441" t="str">
        <f>IFERROR(IF('BHPC MANAGER'!$EE315="","",INDEX(inventory[ESISTENZA],MATCH('BHPC MANAGER'!$EE315,inventory[SKU],0))),0)</f>
        <v/>
      </c>
      <c r="EH315" s="442"/>
      <c r="EI315" s="442" t="str">
        <f t="shared" ref="EI315:EI378" si="23">IF(EE315="","",IFERROR(EG315+EH315,EG315))</f>
        <v/>
      </c>
      <c r="EJ315" s="443"/>
      <c r="EK315" s="444" t="str">
        <f t="shared" ref="EK315:EK378" si="24">IF(EE315="","",IFERROR(EI315+EJ315,EI315))</f>
        <v/>
      </c>
    </row>
    <row r="316" spans="135:141" x14ac:dyDescent="0.35">
      <c r="EE316" s="445" t="str" cm="1">
        <f t="array" ref="EE316">IFERROR(IF($EC$9="",IF($EC$11="",IF($EC$13="",INDEX(bhpc_data[sku],SMALL(MATCH(ROW(bhpc_data[sku]),ROW(bhpc_data[sku])),ROWS($A$15:A321)+$B$3)),INDEX(bhpc_data[sku],SMALL(IF(ISNUMBER(MATCH(bhpc_data[size],$EC$13,0)),MATCH(ROW(bhpc_data[sku]),ROW(bhpc_data[sku])),""),ROWS($A$15:A321)+$B$3))),IF($EC$13="",INDEX(bhpc_data[sku],SMALL(IF(ISNUMBER(MATCH(bhpc_data[sex],$EC$11,0)),MATCH(ROW(bhpc_data[sku]),ROW(bhpc_data[sku])),""),ROWS($A$15:A321)+$B$3)),INDEX(bhpc_data[sku],SMALL(IF(ISNUMBER(MATCH(bhpc_data[sex],$EC$11,0)*MATCH(bhpc_data[size],$EC$13,0)),MATCH(ROW(bhpc_data[sku]),ROW(bhpc_data[sku])),""),ROWS($A$15:A321)+$B$3)))),IF($EC$11="",IF($EC$13="",INDEX(bhpc_data[sku],SMALL(IF(ISNUMBER(MATCH(bhpc_data[category],$EC$9,0)),MATCH(ROW(bhpc_data[sku]),ROW(bhpc_data[sku])),""),ROWS($A$15:A321)+$B$3)),INDEX(bhpc_data[sku],SMALL(IF(ISNUMBER(MATCH(bhpc_data[category],$EC$9,0)*MATCH(bhpc_data[size],$EC$13,0)),MATCH(ROW(bhpc_data[sku]),ROW(bhpc_data[sku])),""),ROWS($A$15:A321)+$B$3))),IF($EC$13="",INDEX(bhpc_data[sku],SMALL(IF(ISNUMBER(MATCH(bhpc_data[category],$EC$9,0)*MATCH(bhpc_data[sex],$EC$11,0)),MATCH(ROW(bhpc_data[sku]),ROW(bhpc_data[sku])),""),ROWS($A$15:A321)+$B$3)),INDEX(bhpc_data[sku],SMALL(IF(ISNUMBER(MATCH(bhpc_data[category],$EC$9,0)*MATCH(bhpc_data[sex],$EC$11,0)*MATCH(bhpc_data[size],$EC$13,0)),MATCH(ROW(bhpc_data[sku]),ROW(bhpc_data[sku])),""),ROWS($A$15:A321)+$B$3))))),"")</f>
        <v/>
      </c>
      <c r="EF316" s="446" t="str" cm="1">
        <f t="array" ref="EF316">IFERROR(IF($EC$9="",IF($EC$11="",IF($EC$13="",INDEX(bhpc_data[description],SMALL(MATCH(ROW(bhpc_data[sku]),ROW(bhpc_data[sku])),ROWS($A$15:A321)+$B$3)),INDEX(bhpc_data[description],SMALL(IF(ISNUMBER(MATCH(bhpc_data[size],$EC$13,0)),MATCH(ROW(bhpc_data[sku]),ROW(bhpc_data[sku])),""),ROWS($A$15:A321)+$B$3))),IF($EC$13="",INDEX(bhpc_data[description],SMALL(IF(ISNUMBER(MATCH(bhpc_data[sex],$EC$11,0)),MATCH(ROW(bhpc_data[sku]),ROW(bhpc_data[sku])),""),ROWS($A$15:A321)+$B$3)),INDEX(bhpc_data[description],SMALL(IF(ISNUMBER(MATCH(bhpc_data[sex],$EC$11,0)*MATCH(bhpc_data[size],$EC$13,0)),MATCH(ROW(bhpc_data[sku]),ROW(bhpc_data[sku])),""),ROWS($A$15:A321)+$B$3)))),IF($EC$11="",IF($EC$13="",INDEX(bhpc_data[description],SMALL(IF(ISNUMBER(MATCH(bhpc_data[category],$EC$9,0)),MATCH(ROW(bhpc_data[sku]),ROW(bhpc_data[sku])),""),ROWS($A$15:A321)+$B$3)),INDEX(bhpc_data[description],SMALL(IF(ISNUMBER(MATCH(bhpc_data[category],$EC$9,0)*MATCH(bhpc_data[size],$EC$13,0)),MATCH(ROW(bhpc_data[sku]),ROW(bhpc_data[sku])),""),ROWS($A$15:A321)+$B$3))),IF($EC$13="",INDEX(bhpc_data[description],SMALL(IF(ISNUMBER(MATCH(bhpc_data[category],$EC$9,0)*MATCH(bhpc_data[sex],$EC$11,0)),MATCH(ROW(bhpc_data[sku]),ROW(bhpc_data[sku])),""),ROWS($A$15:A321)+$B$3)),INDEX(bhpc_data[description],SMALL(IF(ISNUMBER(MATCH(bhpc_data[category],$EC$9,0)*MATCH(bhpc_data[sex],$EC$11,0)*MATCH(bhpc_data[size],$EC$13,0)),MATCH(ROW(bhpc_data[sku]),ROW(bhpc_data[sku])),""),ROWS($A$15:A321)+$B$3))))),"")</f>
        <v/>
      </c>
      <c r="EG316" s="447" t="str">
        <f>IFERROR(IF('BHPC MANAGER'!$EE316="","",INDEX(inventory[ESISTENZA],MATCH('BHPC MANAGER'!$EE316,inventory[SKU],0))),0)</f>
        <v/>
      </c>
      <c r="EH316" s="448"/>
      <c r="EI316" s="448" t="str">
        <f t="shared" si="23"/>
        <v/>
      </c>
      <c r="EJ316" s="449"/>
      <c r="EK316" s="450" t="str">
        <f t="shared" si="24"/>
        <v/>
      </c>
    </row>
    <row r="317" spans="135:141" x14ac:dyDescent="0.35">
      <c r="EE317" s="439" t="str" cm="1">
        <f t="array" ref="EE317">IFERROR(IF($EC$9="",IF($EC$11="",IF($EC$13="",INDEX(bhpc_data[sku],SMALL(MATCH(ROW(bhpc_data[sku]),ROW(bhpc_data[sku])),ROWS($A$15:A322)+$B$3)),INDEX(bhpc_data[sku],SMALL(IF(ISNUMBER(MATCH(bhpc_data[size],$EC$13,0)),MATCH(ROW(bhpc_data[sku]),ROW(bhpc_data[sku])),""),ROWS($A$15:A322)+$B$3))),IF($EC$13="",INDEX(bhpc_data[sku],SMALL(IF(ISNUMBER(MATCH(bhpc_data[sex],$EC$11,0)),MATCH(ROW(bhpc_data[sku]),ROW(bhpc_data[sku])),""),ROWS($A$15:A322)+$B$3)),INDEX(bhpc_data[sku],SMALL(IF(ISNUMBER(MATCH(bhpc_data[sex],$EC$11,0)*MATCH(bhpc_data[size],$EC$13,0)),MATCH(ROW(bhpc_data[sku]),ROW(bhpc_data[sku])),""),ROWS($A$15:A322)+$B$3)))),IF($EC$11="",IF($EC$13="",INDEX(bhpc_data[sku],SMALL(IF(ISNUMBER(MATCH(bhpc_data[category],$EC$9,0)),MATCH(ROW(bhpc_data[sku]),ROW(bhpc_data[sku])),""),ROWS($A$15:A322)+$B$3)),INDEX(bhpc_data[sku],SMALL(IF(ISNUMBER(MATCH(bhpc_data[category],$EC$9,0)*MATCH(bhpc_data[size],$EC$13,0)),MATCH(ROW(bhpc_data[sku]),ROW(bhpc_data[sku])),""),ROWS($A$15:A322)+$B$3))),IF($EC$13="",INDEX(bhpc_data[sku],SMALL(IF(ISNUMBER(MATCH(bhpc_data[category],$EC$9,0)*MATCH(bhpc_data[sex],$EC$11,0)),MATCH(ROW(bhpc_data[sku]),ROW(bhpc_data[sku])),""),ROWS($A$15:A322)+$B$3)),INDEX(bhpc_data[sku],SMALL(IF(ISNUMBER(MATCH(bhpc_data[category],$EC$9,0)*MATCH(bhpc_data[sex],$EC$11,0)*MATCH(bhpc_data[size],$EC$13,0)),MATCH(ROW(bhpc_data[sku]),ROW(bhpc_data[sku])),""),ROWS($A$15:A322)+$B$3))))),"")</f>
        <v/>
      </c>
      <c r="EF317" s="440" t="str" cm="1">
        <f t="array" ref="EF317">IFERROR(IF($EC$9="",IF($EC$11="",IF($EC$13="",INDEX(bhpc_data[description],SMALL(MATCH(ROW(bhpc_data[sku]),ROW(bhpc_data[sku])),ROWS($A$15:A322)+$B$3)),INDEX(bhpc_data[description],SMALL(IF(ISNUMBER(MATCH(bhpc_data[size],$EC$13,0)),MATCH(ROW(bhpc_data[sku]),ROW(bhpc_data[sku])),""),ROWS($A$15:A322)+$B$3))),IF($EC$13="",INDEX(bhpc_data[description],SMALL(IF(ISNUMBER(MATCH(bhpc_data[sex],$EC$11,0)),MATCH(ROW(bhpc_data[sku]),ROW(bhpc_data[sku])),""),ROWS($A$15:A322)+$B$3)),INDEX(bhpc_data[description],SMALL(IF(ISNUMBER(MATCH(bhpc_data[sex],$EC$11,0)*MATCH(bhpc_data[size],$EC$13,0)),MATCH(ROW(bhpc_data[sku]),ROW(bhpc_data[sku])),""),ROWS($A$15:A322)+$B$3)))),IF($EC$11="",IF($EC$13="",INDEX(bhpc_data[description],SMALL(IF(ISNUMBER(MATCH(bhpc_data[category],$EC$9,0)),MATCH(ROW(bhpc_data[sku]),ROW(bhpc_data[sku])),""),ROWS($A$15:A322)+$B$3)),INDEX(bhpc_data[description],SMALL(IF(ISNUMBER(MATCH(bhpc_data[category],$EC$9,0)*MATCH(bhpc_data[size],$EC$13,0)),MATCH(ROW(bhpc_data[sku]),ROW(bhpc_data[sku])),""),ROWS($A$15:A322)+$B$3))),IF($EC$13="",INDEX(bhpc_data[description],SMALL(IF(ISNUMBER(MATCH(bhpc_data[category],$EC$9,0)*MATCH(bhpc_data[sex],$EC$11,0)),MATCH(ROW(bhpc_data[sku]),ROW(bhpc_data[sku])),""),ROWS($A$15:A322)+$B$3)),INDEX(bhpc_data[description],SMALL(IF(ISNUMBER(MATCH(bhpc_data[category],$EC$9,0)*MATCH(bhpc_data[sex],$EC$11,0)*MATCH(bhpc_data[size],$EC$13,0)),MATCH(ROW(bhpc_data[sku]),ROW(bhpc_data[sku])),""),ROWS($A$15:A322)+$B$3))))),"")</f>
        <v/>
      </c>
      <c r="EG317" s="441" t="str">
        <f>IFERROR(IF('BHPC MANAGER'!$EE317="","",INDEX(inventory[ESISTENZA],MATCH('BHPC MANAGER'!$EE317,inventory[SKU],0))),0)</f>
        <v/>
      </c>
      <c r="EH317" s="442"/>
      <c r="EI317" s="442" t="str">
        <f t="shared" si="23"/>
        <v/>
      </c>
      <c r="EJ317" s="443"/>
      <c r="EK317" s="444" t="str">
        <f t="shared" si="24"/>
        <v/>
      </c>
    </row>
    <row r="318" spans="135:141" x14ac:dyDescent="0.35">
      <c r="EE318" s="445" t="str" cm="1">
        <f t="array" ref="EE318">IFERROR(IF($EC$9="",IF($EC$11="",IF($EC$13="",INDEX(bhpc_data[sku],SMALL(MATCH(ROW(bhpc_data[sku]),ROW(bhpc_data[sku])),ROWS($A$15:A323)+$B$3)),INDEX(bhpc_data[sku],SMALL(IF(ISNUMBER(MATCH(bhpc_data[size],$EC$13,0)),MATCH(ROW(bhpc_data[sku]),ROW(bhpc_data[sku])),""),ROWS($A$15:A323)+$B$3))),IF($EC$13="",INDEX(bhpc_data[sku],SMALL(IF(ISNUMBER(MATCH(bhpc_data[sex],$EC$11,0)),MATCH(ROW(bhpc_data[sku]),ROW(bhpc_data[sku])),""),ROWS($A$15:A323)+$B$3)),INDEX(bhpc_data[sku],SMALL(IF(ISNUMBER(MATCH(bhpc_data[sex],$EC$11,0)*MATCH(bhpc_data[size],$EC$13,0)),MATCH(ROW(bhpc_data[sku]),ROW(bhpc_data[sku])),""),ROWS($A$15:A323)+$B$3)))),IF($EC$11="",IF($EC$13="",INDEX(bhpc_data[sku],SMALL(IF(ISNUMBER(MATCH(bhpc_data[category],$EC$9,0)),MATCH(ROW(bhpc_data[sku]),ROW(bhpc_data[sku])),""),ROWS($A$15:A323)+$B$3)),INDEX(bhpc_data[sku],SMALL(IF(ISNUMBER(MATCH(bhpc_data[category],$EC$9,0)*MATCH(bhpc_data[size],$EC$13,0)),MATCH(ROW(bhpc_data[sku]),ROW(bhpc_data[sku])),""),ROWS($A$15:A323)+$B$3))),IF($EC$13="",INDEX(bhpc_data[sku],SMALL(IF(ISNUMBER(MATCH(bhpc_data[category],$EC$9,0)*MATCH(bhpc_data[sex],$EC$11,0)),MATCH(ROW(bhpc_data[sku]),ROW(bhpc_data[sku])),""),ROWS($A$15:A323)+$B$3)),INDEX(bhpc_data[sku],SMALL(IF(ISNUMBER(MATCH(bhpc_data[category],$EC$9,0)*MATCH(bhpc_data[sex],$EC$11,0)*MATCH(bhpc_data[size],$EC$13,0)),MATCH(ROW(bhpc_data[sku]),ROW(bhpc_data[sku])),""),ROWS($A$15:A323)+$B$3))))),"")</f>
        <v/>
      </c>
      <c r="EF318" s="446" t="str" cm="1">
        <f t="array" ref="EF318">IFERROR(IF($EC$9="",IF($EC$11="",IF($EC$13="",INDEX(bhpc_data[description],SMALL(MATCH(ROW(bhpc_data[sku]),ROW(bhpc_data[sku])),ROWS($A$15:A323)+$B$3)),INDEX(bhpc_data[description],SMALL(IF(ISNUMBER(MATCH(bhpc_data[size],$EC$13,0)),MATCH(ROW(bhpc_data[sku]),ROW(bhpc_data[sku])),""),ROWS($A$15:A323)+$B$3))),IF($EC$13="",INDEX(bhpc_data[description],SMALL(IF(ISNUMBER(MATCH(bhpc_data[sex],$EC$11,0)),MATCH(ROW(bhpc_data[sku]),ROW(bhpc_data[sku])),""),ROWS($A$15:A323)+$B$3)),INDEX(bhpc_data[description],SMALL(IF(ISNUMBER(MATCH(bhpc_data[sex],$EC$11,0)*MATCH(bhpc_data[size],$EC$13,0)),MATCH(ROW(bhpc_data[sku]),ROW(bhpc_data[sku])),""),ROWS($A$15:A323)+$B$3)))),IF($EC$11="",IF($EC$13="",INDEX(bhpc_data[description],SMALL(IF(ISNUMBER(MATCH(bhpc_data[category],$EC$9,0)),MATCH(ROW(bhpc_data[sku]),ROW(bhpc_data[sku])),""),ROWS($A$15:A323)+$B$3)),INDEX(bhpc_data[description],SMALL(IF(ISNUMBER(MATCH(bhpc_data[category],$EC$9,0)*MATCH(bhpc_data[size],$EC$13,0)),MATCH(ROW(bhpc_data[sku]),ROW(bhpc_data[sku])),""),ROWS($A$15:A323)+$B$3))),IF($EC$13="",INDEX(bhpc_data[description],SMALL(IF(ISNUMBER(MATCH(bhpc_data[category],$EC$9,0)*MATCH(bhpc_data[sex],$EC$11,0)),MATCH(ROW(bhpc_data[sku]),ROW(bhpc_data[sku])),""),ROWS($A$15:A323)+$B$3)),INDEX(bhpc_data[description],SMALL(IF(ISNUMBER(MATCH(bhpc_data[category],$EC$9,0)*MATCH(bhpc_data[sex],$EC$11,0)*MATCH(bhpc_data[size],$EC$13,0)),MATCH(ROW(bhpc_data[sku]),ROW(bhpc_data[sku])),""),ROWS($A$15:A323)+$B$3))))),"")</f>
        <v/>
      </c>
      <c r="EG318" s="447" t="str">
        <f>IFERROR(IF('BHPC MANAGER'!$EE318="","",INDEX(inventory[ESISTENZA],MATCH('BHPC MANAGER'!$EE318,inventory[SKU],0))),0)</f>
        <v/>
      </c>
      <c r="EH318" s="448"/>
      <c r="EI318" s="448" t="str">
        <f t="shared" si="23"/>
        <v/>
      </c>
      <c r="EJ318" s="449"/>
      <c r="EK318" s="450" t="str">
        <f t="shared" si="24"/>
        <v/>
      </c>
    </row>
    <row r="319" spans="135:141" x14ac:dyDescent="0.35">
      <c r="EE319" s="439" t="str" cm="1">
        <f t="array" ref="EE319">IFERROR(IF($EC$9="",IF($EC$11="",IF($EC$13="",INDEX(bhpc_data[sku],SMALL(MATCH(ROW(bhpc_data[sku]),ROW(bhpc_data[sku])),ROWS($A$15:A324)+$B$3)),INDEX(bhpc_data[sku],SMALL(IF(ISNUMBER(MATCH(bhpc_data[size],$EC$13,0)),MATCH(ROW(bhpc_data[sku]),ROW(bhpc_data[sku])),""),ROWS($A$15:A324)+$B$3))),IF($EC$13="",INDEX(bhpc_data[sku],SMALL(IF(ISNUMBER(MATCH(bhpc_data[sex],$EC$11,0)),MATCH(ROW(bhpc_data[sku]),ROW(bhpc_data[sku])),""),ROWS($A$15:A324)+$B$3)),INDEX(bhpc_data[sku],SMALL(IF(ISNUMBER(MATCH(bhpc_data[sex],$EC$11,0)*MATCH(bhpc_data[size],$EC$13,0)),MATCH(ROW(bhpc_data[sku]),ROW(bhpc_data[sku])),""),ROWS($A$15:A324)+$B$3)))),IF($EC$11="",IF($EC$13="",INDEX(bhpc_data[sku],SMALL(IF(ISNUMBER(MATCH(bhpc_data[category],$EC$9,0)),MATCH(ROW(bhpc_data[sku]),ROW(bhpc_data[sku])),""),ROWS($A$15:A324)+$B$3)),INDEX(bhpc_data[sku],SMALL(IF(ISNUMBER(MATCH(bhpc_data[category],$EC$9,0)*MATCH(bhpc_data[size],$EC$13,0)),MATCH(ROW(bhpc_data[sku]),ROW(bhpc_data[sku])),""),ROWS($A$15:A324)+$B$3))),IF($EC$13="",INDEX(bhpc_data[sku],SMALL(IF(ISNUMBER(MATCH(bhpc_data[category],$EC$9,0)*MATCH(bhpc_data[sex],$EC$11,0)),MATCH(ROW(bhpc_data[sku]),ROW(bhpc_data[sku])),""),ROWS($A$15:A324)+$B$3)),INDEX(bhpc_data[sku],SMALL(IF(ISNUMBER(MATCH(bhpc_data[category],$EC$9,0)*MATCH(bhpc_data[sex],$EC$11,0)*MATCH(bhpc_data[size],$EC$13,0)),MATCH(ROW(bhpc_data[sku]),ROW(bhpc_data[sku])),""),ROWS($A$15:A324)+$B$3))))),"")</f>
        <v/>
      </c>
      <c r="EF319" s="440" t="str" cm="1">
        <f t="array" ref="EF319">IFERROR(IF($EC$9="",IF($EC$11="",IF($EC$13="",INDEX(bhpc_data[description],SMALL(MATCH(ROW(bhpc_data[sku]),ROW(bhpc_data[sku])),ROWS($A$15:A324)+$B$3)),INDEX(bhpc_data[description],SMALL(IF(ISNUMBER(MATCH(bhpc_data[size],$EC$13,0)),MATCH(ROW(bhpc_data[sku]),ROW(bhpc_data[sku])),""),ROWS($A$15:A324)+$B$3))),IF($EC$13="",INDEX(bhpc_data[description],SMALL(IF(ISNUMBER(MATCH(bhpc_data[sex],$EC$11,0)),MATCH(ROW(bhpc_data[sku]),ROW(bhpc_data[sku])),""),ROWS($A$15:A324)+$B$3)),INDEX(bhpc_data[description],SMALL(IF(ISNUMBER(MATCH(bhpc_data[sex],$EC$11,0)*MATCH(bhpc_data[size],$EC$13,0)),MATCH(ROW(bhpc_data[sku]),ROW(bhpc_data[sku])),""),ROWS($A$15:A324)+$B$3)))),IF($EC$11="",IF($EC$13="",INDEX(bhpc_data[description],SMALL(IF(ISNUMBER(MATCH(bhpc_data[category],$EC$9,0)),MATCH(ROW(bhpc_data[sku]),ROW(bhpc_data[sku])),""),ROWS($A$15:A324)+$B$3)),INDEX(bhpc_data[description],SMALL(IF(ISNUMBER(MATCH(bhpc_data[category],$EC$9,0)*MATCH(bhpc_data[size],$EC$13,0)),MATCH(ROW(bhpc_data[sku]),ROW(bhpc_data[sku])),""),ROWS($A$15:A324)+$B$3))),IF($EC$13="",INDEX(bhpc_data[description],SMALL(IF(ISNUMBER(MATCH(bhpc_data[category],$EC$9,0)*MATCH(bhpc_data[sex],$EC$11,0)),MATCH(ROW(bhpc_data[sku]),ROW(bhpc_data[sku])),""),ROWS($A$15:A324)+$B$3)),INDEX(bhpc_data[description],SMALL(IF(ISNUMBER(MATCH(bhpc_data[category],$EC$9,0)*MATCH(bhpc_data[sex],$EC$11,0)*MATCH(bhpc_data[size],$EC$13,0)),MATCH(ROW(bhpc_data[sku]),ROW(bhpc_data[sku])),""),ROWS($A$15:A324)+$B$3))))),"")</f>
        <v/>
      </c>
      <c r="EG319" s="441" t="str">
        <f>IFERROR(IF('BHPC MANAGER'!$EE319="","",INDEX(inventory[ESISTENZA],MATCH('BHPC MANAGER'!$EE319,inventory[SKU],0))),0)</f>
        <v/>
      </c>
      <c r="EH319" s="442"/>
      <c r="EI319" s="442" t="str">
        <f t="shared" si="23"/>
        <v/>
      </c>
      <c r="EJ319" s="443"/>
      <c r="EK319" s="444" t="str">
        <f t="shared" si="24"/>
        <v/>
      </c>
    </row>
    <row r="320" spans="135:141" x14ac:dyDescent="0.35">
      <c r="EE320" s="445" t="str" cm="1">
        <f t="array" ref="EE320">IFERROR(IF($EC$9="",IF($EC$11="",IF($EC$13="",INDEX(bhpc_data[sku],SMALL(MATCH(ROW(bhpc_data[sku]),ROW(bhpc_data[sku])),ROWS($A$15:A325)+$B$3)),INDEX(bhpc_data[sku],SMALL(IF(ISNUMBER(MATCH(bhpc_data[size],$EC$13,0)),MATCH(ROW(bhpc_data[sku]),ROW(bhpc_data[sku])),""),ROWS($A$15:A325)+$B$3))),IF($EC$13="",INDEX(bhpc_data[sku],SMALL(IF(ISNUMBER(MATCH(bhpc_data[sex],$EC$11,0)),MATCH(ROW(bhpc_data[sku]),ROW(bhpc_data[sku])),""),ROWS($A$15:A325)+$B$3)),INDEX(bhpc_data[sku],SMALL(IF(ISNUMBER(MATCH(bhpc_data[sex],$EC$11,0)*MATCH(bhpc_data[size],$EC$13,0)),MATCH(ROW(bhpc_data[sku]),ROW(bhpc_data[sku])),""),ROWS($A$15:A325)+$B$3)))),IF($EC$11="",IF($EC$13="",INDEX(bhpc_data[sku],SMALL(IF(ISNUMBER(MATCH(bhpc_data[category],$EC$9,0)),MATCH(ROW(bhpc_data[sku]),ROW(bhpc_data[sku])),""),ROWS($A$15:A325)+$B$3)),INDEX(bhpc_data[sku],SMALL(IF(ISNUMBER(MATCH(bhpc_data[category],$EC$9,0)*MATCH(bhpc_data[size],$EC$13,0)),MATCH(ROW(bhpc_data[sku]),ROW(bhpc_data[sku])),""),ROWS($A$15:A325)+$B$3))),IF($EC$13="",INDEX(bhpc_data[sku],SMALL(IF(ISNUMBER(MATCH(bhpc_data[category],$EC$9,0)*MATCH(bhpc_data[sex],$EC$11,0)),MATCH(ROW(bhpc_data[sku]),ROW(bhpc_data[sku])),""),ROWS($A$15:A325)+$B$3)),INDEX(bhpc_data[sku],SMALL(IF(ISNUMBER(MATCH(bhpc_data[category],$EC$9,0)*MATCH(bhpc_data[sex],$EC$11,0)*MATCH(bhpc_data[size],$EC$13,0)),MATCH(ROW(bhpc_data[sku]),ROW(bhpc_data[sku])),""),ROWS($A$15:A325)+$B$3))))),"")</f>
        <v/>
      </c>
      <c r="EF320" s="446" t="str" cm="1">
        <f t="array" ref="EF320">IFERROR(IF($EC$9="",IF($EC$11="",IF($EC$13="",INDEX(bhpc_data[description],SMALL(MATCH(ROW(bhpc_data[sku]),ROW(bhpc_data[sku])),ROWS($A$15:A325)+$B$3)),INDEX(bhpc_data[description],SMALL(IF(ISNUMBER(MATCH(bhpc_data[size],$EC$13,0)),MATCH(ROW(bhpc_data[sku]),ROW(bhpc_data[sku])),""),ROWS($A$15:A325)+$B$3))),IF($EC$13="",INDEX(bhpc_data[description],SMALL(IF(ISNUMBER(MATCH(bhpc_data[sex],$EC$11,0)),MATCH(ROW(bhpc_data[sku]),ROW(bhpc_data[sku])),""),ROWS($A$15:A325)+$B$3)),INDEX(bhpc_data[description],SMALL(IF(ISNUMBER(MATCH(bhpc_data[sex],$EC$11,0)*MATCH(bhpc_data[size],$EC$13,0)),MATCH(ROW(bhpc_data[sku]),ROW(bhpc_data[sku])),""),ROWS($A$15:A325)+$B$3)))),IF($EC$11="",IF($EC$13="",INDEX(bhpc_data[description],SMALL(IF(ISNUMBER(MATCH(bhpc_data[category],$EC$9,0)),MATCH(ROW(bhpc_data[sku]),ROW(bhpc_data[sku])),""),ROWS($A$15:A325)+$B$3)),INDEX(bhpc_data[description],SMALL(IF(ISNUMBER(MATCH(bhpc_data[category],$EC$9,0)*MATCH(bhpc_data[size],$EC$13,0)),MATCH(ROW(bhpc_data[sku]),ROW(bhpc_data[sku])),""),ROWS($A$15:A325)+$B$3))),IF($EC$13="",INDEX(bhpc_data[description],SMALL(IF(ISNUMBER(MATCH(bhpc_data[category],$EC$9,0)*MATCH(bhpc_data[sex],$EC$11,0)),MATCH(ROW(bhpc_data[sku]),ROW(bhpc_data[sku])),""),ROWS($A$15:A325)+$B$3)),INDEX(bhpc_data[description],SMALL(IF(ISNUMBER(MATCH(bhpc_data[category],$EC$9,0)*MATCH(bhpc_data[sex],$EC$11,0)*MATCH(bhpc_data[size],$EC$13,0)),MATCH(ROW(bhpc_data[sku]),ROW(bhpc_data[sku])),""),ROWS($A$15:A325)+$B$3))))),"")</f>
        <v/>
      </c>
      <c r="EG320" s="447" t="str">
        <f>IFERROR(IF('BHPC MANAGER'!$EE320="","",INDEX(inventory[ESISTENZA],MATCH('BHPC MANAGER'!$EE320,inventory[SKU],0))),0)</f>
        <v/>
      </c>
      <c r="EH320" s="448"/>
      <c r="EI320" s="448" t="str">
        <f t="shared" si="23"/>
        <v/>
      </c>
      <c r="EJ320" s="449"/>
      <c r="EK320" s="450" t="str">
        <f t="shared" si="24"/>
        <v/>
      </c>
    </row>
    <row r="321" spans="135:141" x14ac:dyDescent="0.35">
      <c r="EE321" s="439" t="str" cm="1">
        <f t="array" ref="EE321">IFERROR(IF($EC$9="",IF($EC$11="",IF($EC$13="",INDEX(bhpc_data[sku],SMALL(MATCH(ROW(bhpc_data[sku]),ROW(bhpc_data[sku])),ROWS($A$15:A326)+$B$3)),INDEX(bhpc_data[sku],SMALL(IF(ISNUMBER(MATCH(bhpc_data[size],$EC$13,0)),MATCH(ROW(bhpc_data[sku]),ROW(bhpc_data[sku])),""),ROWS($A$15:A326)+$B$3))),IF($EC$13="",INDEX(bhpc_data[sku],SMALL(IF(ISNUMBER(MATCH(bhpc_data[sex],$EC$11,0)),MATCH(ROW(bhpc_data[sku]),ROW(bhpc_data[sku])),""),ROWS($A$15:A326)+$B$3)),INDEX(bhpc_data[sku],SMALL(IF(ISNUMBER(MATCH(bhpc_data[sex],$EC$11,0)*MATCH(bhpc_data[size],$EC$13,0)),MATCH(ROW(bhpc_data[sku]),ROW(bhpc_data[sku])),""),ROWS($A$15:A326)+$B$3)))),IF($EC$11="",IF($EC$13="",INDEX(bhpc_data[sku],SMALL(IF(ISNUMBER(MATCH(bhpc_data[category],$EC$9,0)),MATCH(ROW(bhpc_data[sku]),ROW(bhpc_data[sku])),""),ROWS($A$15:A326)+$B$3)),INDEX(bhpc_data[sku],SMALL(IF(ISNUMBER(MATCH(bhpc_data[category],$EC$9,0)*MATCH(bhpc_data[size],$EC$13,0)),MATCH(ROW(bhpc_data[sku]),ROW(bhpc_data[sku])),""),ROWS($A$15:A326)+$B$3))),IF($EC$13="",INDEX(bhpc_data[sku],SMALL(IF(ISNUMBER(MATCH(bhpc_data[category],$EC$9,0)*MATCH(bhpc_data[sex],$EC$11,0)),MATCH(ROW(bhpc_data[sku]),ROW(bhpc_data[sku])),""),ROWS($A$15:A326)+$B$3)),INDEX(bhpc_data[sku],SMALL(IF(ISNUMBER(MATCH(bhpc_data[category],$EC$9,0)*MATCH(bhpc_data[sex],$EC$11,0)*MATCH(bhpc_data[size],$EC$13,0)),MATCH(ROW(bhpc_data[sku]),ROW(bhpc_data[sku])),""),ROWS($A$15:A326)+$B$3))))),"")</f>
        <v/>
      </c>
      <c r="EF321" s="440" t="str" cm="1">
        <f t="array" ref="EF321">IFERROR(IF($EC$9="",IF($EC$11="",IF($EC$13="",INDEX(bhpc_data[description],SMALL(MATCH(ROW(bhpc_data[sku]),ROW(bhpc_data[sku])),ROWS($A$15:A326)+$B$3)),INDEX(bhpc_data[description],SMALL(IF(ISNUMBER(MATCH(bhpc_data[size],$EC$13,0)),MATCH(ROW(bhpc_data[sku]),ROW(bhpc_data[sku])),""),ROWS($A$15:A326)+$B$3))),IF($EC$13="",INDEX(bhpc_data[description],SMALL(IF(ISNUMBER(MATCH(bhpc_data[sex],$EC$11,0)),MATCH(ROW(bhpc_data[sku]),ROW(bhpc_data[sku])),""),ROWS($A$15:A326)+$B$3)),INDEX(bhpc_data[description],SMALL(IF(ISNUMBER(MATCH(bhpc_data[sex],$EC$11,0)*MATCH(bhpc_data[size],$EC$13,0)),MATCH(ROW(bhpc_data[sku]),ROW(bhpc_data[sku])),""),ROWS($A$15:A326)+$B$3)))),IF($EC$11="",IF($EC$13="",INDEX(bhpc_data[description],SMALL(IF(ISNUMBER(MATCH(bhpc_data[category],$EC$9,0)),MATCH(ROW(bhpc_data[sku]),ROW(bhpc_data[sku])),""),ROWS($A$15:A326)+$B$3)),INDEX(bhpc_data[description],SMALL(IF(ISNUMBER(MATCH(bhpc_data[category],$EC$9,0)*MATCH(bhpc_data[size],$EC$13,0)),MATCH(ROW(bhpc_data[sku]),ROW(bhpc_data[sku])),""),ROWS($A$15:A326)+$B$3))),IF($EC$13="",INDEX(bhpc_data[description],SMALL(IF(ISNUMBER(MATCH(bhpc_data[category],$EC$9,0)*MATCH(bhpc_data[sex],$EC$11,0)),MATCH(ROW(bhpc_data[sku]),ROW(bhpc_data[sku])),""),ROWS($A$15:A326)+$B$3)),INDEX(bhpc_data[description],SMALL(IF(ISNUMBER(MATCH(bhpc_data[category],$EC$9,0)*MATCH(bhpc_data[sex],$EC$11,0)*MATCH(bhpc_data[size],$EC$13,0)),MATCH(ROW(bhpc_data[sku]),ROW(bhpc_data[sku])),""),ROWS($A$15:A326)+$B$3))))),"")</f>
        <v/>
      </c>
      <c r="EG321" s="441" t="str">
        <f>IFERROR(IF('BHPC MANAGER'!$EE321="","",INDEX(inventory[ESISTENZA],MATCH('BHPC MANAGER'!$EE321,inventory[SKU],0))),0)</f>
        <v/>
      </c>
      <c r="EH321" s="442"/>
      <c r="EI321" s="442" t="str">
        <f t="shared" si="23"/>
        <v/>
      </c>
      <c r="EJ321" s="443"/>
      <c r="EK321" s="444" t="str">
        <f t="shared" si="24"/>
        <v/>
      </c>
    </row>
    <row r="322" spans="135:141" x14ac:dyDescent="0.35">
      <c r="EE322" s="445" t="str" cm="1">
        <f t="array" ref="EE322">IFERROR(IF($EC$9="",IF($EC$11="",IF($EC$13="",INDEX(bhpc_data[sku],SMALL(MATCH(ROW(bhpc_data[sku]),ROW(bhpc_data[sku])),ROWS($A$15:A327)+$B$3)),INDEX(bhpc_data[sku],SMALL(IF(ISNUMBER(MATCH(bhpc_data[size],$EC$13,0)),MATCH(ROW(bhpc_data[sku]),ROW(bhpc_data[sku])),""),ROWS($A$15:A327)+$B$3))),IF($EC$13="",INDEX(bhpc_data[sku],SMALL(IF(ISNUMBER(MATCH(bhpc_data[sex],$EC$11,0)),MATCH(ROW(bhpc_data[sku]),ROW(bhpc_data[sku])),""),ROWS($A$15:A327)+$B$3)),INDEX(bhpc_data[sku],SMALL(IF(ISNUMBER(MATCH(bhpc_data[sex],$EC$11,0)*MATCH(bhpc_data[size],$EC$13,0)),MATCH(ROW(bhpc_data[sku]),ROW(bhpc_data[sku])),""),ROWS($A$15:A327)+$B$3)))),IF($EC$11="",IF($EC$13="",INDEX(bhpc_data[sku],SMALL(IF(ISNUMBER(MATCH(bhpc_data[category],$EC$9,0)),MATCH(ROW(bhpc_data[sku]),ROW(bhpc_data[sku])),""),ROWS($A$15:A327)+$B$3)),INDEX(bhpc_data[sku],SMALL(IF(ISNUMBER(MATCH(bhpc_data[category],$EC$9,0)*MATCH(bhpc_data[size],$EC$13,0)),MATCH(ROW(bhpc_data[sku]),ROW(bhpc_data[sku])),""),ROWS($A$15:A327)+$B$3))),IF($EC$13="",INDEX(bhpc_data[sku],SMALL(IF(ISNUMBER(MATCH(bhpc_data[category],$EC$9,0)*MATCH(bhpc_data[sex],$EC$11,0)),MATCH(ROW(bhpc_data[sku]),ROW(bhpc_data[sku])),""),ROWS($A$15:A327)+$B$3)),INDEX(bhpc_data[sku],SMALL(IF(ISNUMBER(MATCH(bhpc_data[category],$EC$9,0)*MATCH(bhpc_data[sex],$EC$11,0)*MATCH(bhpc_data[size],$EC$13,0)),MATCH(ROW(bhpc_data[sku]),ROW(bhpc_data[sku])),""),ROWS($A$15:A327)+$B$3))))),"")</f>
        <v/>
      </c>
      <c r="EF322" s="446" t="str" cm="1">
        <f t="array" ref="EF322">IFERROR(IF($EC$9="",IF($EC$11="",IF($EC$13="",INDEX(bhpc_data[description],SMALL(MATCH(ROW(bhpc_data[sku]),ROW(bhpc_data[sku])),ROWS($A$15:A327)+$B$3)),INDEX(bhpc_data[description],SMALL(IF(ISNUMBER(MATCH(bhpc_data[size],$EC$13,0)),MATCH(ROW(bhpc_data[sku]),ROW(bhpc_data[sku])),""),ROWS($A$15:A327)+$B$3))),IF($EC$13="",INDEX(bhpc_data[description],SMALL(IF(ISNUMBER(MATCH(bhpc_data[sex],$EC$11,0)),MATCH(ROW(bhpc_data[sku]),ROW(bhpc_data[sku])),""),ROWS($A$15:A327)+$B$3)),INDEX(bhpc_data[description],SMALL(IF(ISNUMBER(MATCH(bhpc_data[sex],$EC$11,0)*MATCH(bhpc_data[size],$EC$13,0)),MATCH(ROW(bhpc_data[sku]),ROW(bhpc_data[sku])),""),ROWS($A$15:A327)+$B$3)))),IF($EC$11="",IF($EC$13="",INDEX(bhpc_data[description],SMALL(IF(ISNUMBER(MATCH(bhpc_data[category],$EC$9,0)),MATCH(ROW(bhpc_data[sku]),ROW(bhpc_data[sku])),""),ROWS($A$15:A327)+$B$3)),INDEX(bhpc_data[description],SMALL(IF(ISNUMBER(MATCH(bhpc_data[category],$EC$9,0)*MATCH(bhpc_data[size],$EC$13,0)),MATCH(ROW(bhpc_data[sku]),ROW(bhpc_data[sku])),""),ROWS($A$15:A327)+$B$3))),IF($EC$13="",INDEX(bhpc_data[description],SMALL(IF(ISNUMBER(MATCH(bhpc_data[category],$EC$9,0)*MATCH(bhpc_data[sex],$EC$11,0)),MATCH(ROW(bhpc_data[sku]),ROW(bhpc_data[sku])),""),ROWS($A$15:A327)+$B$3)),INDEX(bhpc_data[description],SMALL(IF(ISNUMBER(MATCH(bhpc_data[category],$EC$9,0)*MATCH(bhpc_data[sex],$EC$11,0)*MATCH(bhpc_data[size],$EC$13,0)),MATCH(ROW(bhpc_data[sku]),ROW(bhpc_data[sku])),""),ROWS($A$15:A327)+$B$3))))),"")</f>
        <v/>
      </c>
      <c r="EG322" s="447" t="str">
        <f>IFERROR(IF('BHPC MANAGER'!$EE322="","",INDEX(inventory[ESISTENZA],MATCH('BHPC MANAGER'!$EE322,inventory[SKU],0))),0)</f>
        <v/>
      </c>
      <c r="EH322" s="448"/>
      <c r="EI322" s="448" t="str">
        <f t="shared" si="23"/>
        <v/>
      </c>
      <c r="EJ322" s="449"/>
      <c r="EK322" s="450" t="str">
        <f t="shared" si="24"/>
        <v/>
      </c>
    </row>
    <row r="323" spans="135:141" x14ac:dyDescent="0.35">
      <c r="EE323" s="439" t="str" cm="1">
        <f t="array" ref="EE323">IFERROR(IF($EC$9="",IF($EC$11="",IF($EC$13="",INDEX(bhpc_data[sku],SMALL(MATCH(ROW(bhpc_data[sku]),ROW(bhpc_data[sku])),ROWS($A$15:A328)+$B$3)),INDEX(bhpc_data[sku],SMALL(IF(ISNUMBER(MATCH(bhpc_data[size],$EC$13,0)),MATCH(ROW(bhpc_data[sku]),ROW(bhpc_data[sku])),""),ROWS($A$15:A328)+$B$3))),IF($EC$13="",INDEX(bhpc_data[sku],SMALL(IF(ISNUMBER(MATCH(bhpc_data[sex],$EC$11,0)),MATCH(ROW(bhpc_data[sku]),ROW(bhpc_data[sku])),""),ROWS($A$15:A328)+$B$3)),INDEX(bhpc_data[sku],SMALL(IF(ISNUMBER(MATCH(bhpc_data[sex],$EC$11,0)*MATCH(bhpc_data[size],$EC$13,0)),MATCH(ROW(bhpc_data[sku]),ROW(bhpc_data[sku])),""),ROWS($A$15:A328)+$B$3)))),IF($EC$11="",IF($EC$13="",INDEX(bhpc_data[sku],SMALL(IF(ISNUMBER(MATCH(bhpc_data[category],$EC$9,0)),MATCH(ROW(bhpc_data[sku]),ROW(bhpc_data[sku])),""),ROWS($A$15:A328)+$B$3)),INDEX(bhpc_data[sku],SMALL(IF(ISNUMBER(MATCH(bhpc_data[category],$EC$9,0)*MATCH(bhpc_data[size],$EC$13,0)),MATCH(ROW(bhpc_data[sku]),ROW(bhpc_data[sku])),""),ROWS($A$15:A328)+$B$3))),IF($EC$13="",INDEX(bhpc_data[sku],SMALL(IF(ISNUMBER(MATCH(bhpc_data[category],$EC$9,0)*MATCH(bhpc_data[sex],$EC$11,0)),MATCH(ROW(bhpc_data[sku]),ROW(bhpc_data[sku])),""),ROWS($A$15:A328)+$B$3)),INDEX(bhpc_data[sku],SMALL(IF(ISNUMBER(MATCH(bhpc_data[category],$EC$9,0)*MATCH(bhpc_data[sex],$EC$11,0)*MATCH(bhpc_data[size],$EC$13,0)),MATCH(ROW(bhpc_data[sku]),ROW(bhpc_data[sku])),""),ROWS($A$15:A328)+$B$3))))),"")</f>
        <v/>
      </c>
      <c r="EF323" s="440" t="str" cm="1">
        <f t="array" ref="EF323">IFERROR(IF($EC$9="",IF($EC$11="",IF($EC$13="",INDEX(bhpc_data[description],SMALL(MATCH(ROW(bhpc_data[sku]),ROW(bhpc_data[sku])),ROWS($A$15:A328)+$B$3)),INDEX(bhpc_data[description],SMALL(IF(ISNUMBER(MATCH(bhpc_data[size],$EC$13,0)),MATCH(ROW(bhpc_data[sku]),ROW(bhpc_data[sku])),""),ROWS($A$15:A328)+$B$3))),IF($EC$13="",INDEX(bhpc_data[description],SMALL(IF(ISNUMBER(MATCH(bhpc_data[sex],$EC$11,0)),MATCH(ROW(bhpc_data[sku]),ROW(bhpc_data[sku])),""),ROWS($A$15:A328)+$B$3)),INDEX(bhpc_data[description],SMALL(IF(ISNUMBER(MATCH(bhpc_data[sex],$EC$11,0)*MATCH(bhpc_data[size],$EC$13,0)),MATCH(ROW(bhpc_data[sku]),ROW(bhpc_data[sku])),""),ROWS($A$15:A328)+$B$3)))),IF($EC$11="",IF($EC$13="",INDEX(bhpc_data[description],SMALL(IF(ISNUMBER(MATCH(bhpc_data[category],$EC$9,0)),MATCH(ROW(bhpc_data[sku]),ROW(bhpc_data[sku])),""),ROWS($A$15:A328)+$B$3)),INDEX(bhpc_data[description],SMALL(IF(ISNUMBER(MATCH(bhpc_data[category],$EC$9,0)*MATCH(bhpc_data[size],$EC$13,0)),MATCH(ROW(bhpc_data[sku]),ROW(bhpc_data[sku])),""),ROWS($A$15:A328)+$B$3))),IF($EC$13="",INDEX(bhpc_data[description],SMALL(IF(ISNUMBER(MATCH(bhpc_data[category],$EC$9,0)*MATCH(bhpc_data[sex],$EC$11,0)),MATCH(ROW(bhpc_data[sku]),ROW(bhpc_data[sku])),""),ROWS($A$15:A328)+$B$3)),INDEX(bhpc_data[description],SMALL(IF(ISNUMBER(MATCH(bhpc_data[category],$EC$9,0)*MATCH(bhpc_data[sex],$EC$11,0)*MATCH(bhpc_data[size],$EC$13,0)),MATCH(ROW(bhpc_data[sku]),ROW(bhpc_data[sku])),""),ROWS($A$15:A328)+$B$3))))),"")</f>
        <v/>
      </c>
      <c r="EG323" s="441" t="str">
        <f>IFERROR(IF('BHPC MANAGER'!$EE323="","",INDEX(inventory[ESISTENZA],MATCH('BHPC MANAGER'!$EE323,inventory[SKU],0))),0)</f>
        <v/>
      </c>
      <c r="EH323" s="442"/>
      <c r="EI323" s="442" t="str">
        <f t="shared" si="23"/>
        <v/>
      </c>
      <c r="EJ323" s="443"/>
      <c r="EK323" s="444" t="str">
        <f t="shared" si="24"/>
        <v/>
      </c>
    </row>
    <row r="324" spans="135:141" x14ac:dyDescent="0.35">
      <c r="EE324" s="445" t="str" cm="1">
        <f t="array" ref="EE324">IFERROR(IF($EC$9="",IF($EC$11="",IF($EC$13="",INDEX(bhpc_data[sku],SMALL(MATCH(ROW(bhpc_data[sku]),ROW(bhpc_data[sku])),ROWS($A$15:A329)+$B$3)),INDEX(bhpc_data[sku],SMALL(IF(ISNUMBER(MATCH(bhpc_data[size],$EC$13,0)),MATCH(ROW(bhpc_data[sku]),ROW(bhpc_data[sku])),""),ROWS($A$15:A329)+$B$3))),IF($EC$13="",INDEX(bhpc_data[sku],SMALL(IF(ISNUMBER(MATCH(bhpc_data[sex],$EC$11,0)),MATCH(ROW(bhpc_data[sku]),ROW(bhpc_data[sku])),""),ROWS($A$15:A329)+$B$3)),INDEX(bhpc_data[sku],SMALL(IF(ISNUMBER(MATCH(bhpc_data[sex],$EC$11,0)*MATCH(bhpc_data[size],$EC$13,0)),MATCH(ROW(bhpc_data[sku]),ROW(bhpc_data[sku])),""),ROWS($A$15:A329)+$B$3)))),IF($EC$11="",IF($EC$13="",INDEX(bhpc_data[sku],SMALL(IF(ISNUMBER(MATCH(bhpc_data[category],$EC$9,0)),MATCH(ROW(bhpc_data[sku]),ROW(bhpc_data[sku])),""),ROWS($A$15:A329)+$B$3)),INDEX(bhpc_data[sku],SMALL(IF(ISNUMBER(MATCH(bhpc_data[category],$EC$9,0)*MATCH(bhpc_data[size],$EC$13,0)),MATCH(ROW(bhpc_data[sku]),ROW(bhpc_data[sku])),""),ROWS($A$15:A329)+$B$3))),IF($EC$13="",INDEX(bhpc_data[sku],SMALL(IF(ISNUMBER(MATCH(bhpc_data[category],$EC$9,0)*MATCH(bhpc_data[sex],$EC$11,0)),MATCH(ROW(bhpc_data[sku]),ROW(bhpc_data[sku])),""),ROWS($A$15:A329)+$B$3)),INDEX(bhpc_data[sku],SMALL(IF(ISNUMBER(MATCH(bhpc_data[category],$EC$9,0)*MATCH(bhpc_data[sex],$EC$11,0)*MATCH(bhpc_data[size],$EC$13,0)),MATCH(ROW(bhpc_data[sku]),ROW(bhpc_data[sku])),""),ROWS($A$15:A329)+$B$3))))),"")</f>
        <v/>
      </c>
      <c r="EF324" s="446" t="str" cm="1">
        <f t="array" ref="EF324">IFERROR(IF($EC$9="",IF($EC$11="",IF($EC$13="",INDEX(bhpc_data[description],SMALL(MATCH(ROW(bhpc_data[sku]),ROW(bhpc_data[sku])),ROWS($A$15:A329)+$B$3)),INDEX(bhpc_data[description],SMALL(IF(ISNUMBER(MATCH(bhpc_data[size],$EC$13,0)),MATCH(ROW(bhpc_data[sku]),ROW(bhpc_data[sku])),""),ROWS($A$15:A329)+$B$3))),IF($EC$13="",INDEX(bhpc_data[description],SMALL(IF(ISNUMBER(MATCH(bhpc_data[sex],$EC$11,0)),MATCH(ROW(bhpc_data[sku]),ROW(bhpc_data[sku])),""),ROWS($A$15:A329)+$B$3)),INDEX(bhpc_data[description],SMALL(IF(ISNUMBER(MATCH(bhpc_data[sex],$EC$11,0)*MATCH(bhpc_data[size],$EC$13,0)),MATCH(ROW(bhpc_data[sku]),ROW(bhpc_data[sku])),""),ROWS($A$15:A329)+$B$3)))),IF($EC$11="",IF($EC$13="",INDEX(bhpc_data[description],SMALL(IF(ISNUMBER(MATCH(bhpc_data[category],$EC$9,0)),MATCH(ROW(bhpc_data[sku]),ROW(bhpc_data[sku])),""),ROWS($A$15:A329)+$B$3)),INDEX(bhpc_data[description],SMALL(IF(ISNUMBER(MATCH(bhpc_data[category],$EC$9,0)*MATCH(bhpc_data[size],$EC$13,0)),MATCH(ROW(bhpc_data[sku]),ROW(bhpc_data[sku])),""),ROWS($A$15:A329)+$B$3))),IF($EC$13="",INDEX(bhpc_data[description],SMALL(IF(ISNUMBER(MATCH(bhpc_data[category],$EC$9,0)*MATCH(bhpc_data[sex],$EC$11,0)),MATCH(ROW(bhpc_data[sku]),ROW(bhpc_data[sku])),""),ROWS($A$15:A329)+$B$3)),INDEX(bhpc_data[description],SMALL(IF(ISNUMBER(MATCH(bhpc_data[category],$EC$9,0)*MATCH(bhpc_data[sex],$EC$11,0)*MATCH(bhpc_data[size],$EC$13,0)),MATCH(ROW(bhpc_data[sku]),ROW(bhpc_data[sku])),""),ROWS($A$15:A329)+$B$3))))),"")</f>
        <v/>
      </c>
      <c r="EG324" s="447" t="str">
        <f>IFERROR(IF('BHPC MANAGER'!$EE324="","",INDEX(inventory[ESISTENZA],MATCH('BHPC MANAGER'!$EE324,inventory[SKU],0))),0)</f>
        <v/>
      </c>
      <c r="EH324" s="448"/>
      <c r="EI324" s="448" t="str">
        <f t="shared" si="23"/>
        <v/>
      </c>
      <c r="EJ324" s="449"/>
      <c r="EK324" s="450" t="str">
        <f t="shared" si="24"/>
        <v/>
      </c>
    </row>
    <row r="325" spans="135:141" x14ac:dyDescent="0.35">
      <c r="EE325" s="439" t="str" cm="1">
        <f t="array" ref="EE325">IFERROR(IF($EC$9="",IF($EC$11="",IF($EC$13="",INDEX(bhpc_data[sku],SMALL(MATCH(ROW(bhpc_data[sku]),ROW(bhpc_data[sku])),ROWS($A$15:A330)+$B$3)),INDEX(bhpc_data[sku],SMALL(IF(ISNUMBER(MATCH(bhpc_data[size],$EC$13,0)),MATCH(ROW(bhpc_data[sku]),ROW(bhpc_data[sku])),""),ROWS($A$15:A330)+$B$3))),IF($EC$13="",INDEX(bhpc_data[sku],SMALL(IF(ISNUMBER(MATCH(bhpc_data[sex],$EC$11,0)),MATCH(ROW(bhpc_data[sku]),ROW(bhpc_data[sku])),""),ROWS($A$15:A330)+$B$3)),INDEX(bhpc_data[sku],SMALL(IF(ISNUMBER(MATCH(bhpc_data[sex],$EC$11,0)*MATCH(bhpc_data[size],$EC$13,0)),MATCH(ROW(bhpc_data[sku]),ROW(bhpc_data[sku])),""),ROWS($A$15:A330)+$B$3)))),IF($EC$11="",IF($EC$13="",INDEX(bhpc_data[sku],SMALL(IF(ISNUMBER(MATCH(bhpc_data[category],$EC$9,0)),MATCH(ROW(bhpc_data[sku]),ROW(bhpc_data[sku])),""),ROWS($A$15:A330)+$B$3)),INDEX(bhpc_data[sku],SMALL(IF(ISNUMBER(MATCH(bhpc_data[category],$EC$9,0)*MATCH(bhpc_data[size],$EC$13,0)),MATCH(ROW(bhpc_data[sku]),ROW(bhpc_data[sku])),""),ROWS($A$15:A330)+$B$3))),IF($EC$13="",INDEX(bhpc_data[sku],SMALL(IF(ISNUMBER(MATCH(bhpc_data[category],$EC$9,0)*MATCH(bhpc_data[sex],$EC$11,0)),MATCH(ROW(bhpc_data[sku]),ROW(bhpc_data[sku])),""),ROWS($A$15:A330)+$B$3)),INDEX(bhpc_data[sku],SMALL(IF(ISNUMBER(MATCH(bhpc_data[category],$EC$9,0)*MATCH(bhpc_data[sex],$EC$11,0)*MATCH(bhpc_data[size],$EC$13,0)),MATCH(ROW(bhpc_data[sku]),ROW(bhpc_data[sku])),""),ROWS($A$15:A330)+$B$3))))),"")</f>
        <v/>
      </c>
      <c r="EF325" s="440" t="str" cm="1">
        <f t="array" ref="EF325">IFERROR(IF($EC$9="",IF($EC$11="",IF($EC$13="",INDEX(bhpc_data[description],SMALL(MATCH(ROW(bhpc_data[sku]),ROW(bhpc_data[sku])),ROWS($A$15:A330)+$B$3)),INDEX(bhpc_data[description],SMALL(IF(ISNUMBER(MATCH(bhpc_data[size],$EC$13,0)),MATCH(ROW(bhpc_data[sku]),ROW(bhpc_data[sku])),""),ROWS($A$15:A330)+$B$3))),IF($EC$13="",INDEX(bhpc_data[description],SMALL(IF(ISNUMBER(MATCH(bhpc_data[sex],$EC$11,0)),MATCH(ROW(bhpc_data[sku]),ROW(bhpc_data[sku])),""),ROWS($A$15:A330)+$B$3)),INDEX(bhpc_data[description],SMALL(IF(ISNUMBER(MATCH(bhpc_data[sex],$EC$11,0)*MATCH(bhpc_data[size],$EC$13,0)),MATCH(ROW(bhpc_data[sku]),ROW(bhpc_data[sku])),""),ROWS($A$15:A330)+$B$3)))),IF($EC$11="",IF($EC$13="",INDEX(bhpc_data[description],SMALL(IF(ISNUMBER(MATCH(bhpc_data[category],$EC$9,0)),MATCH(ROW(bhpc_data[sku]),ROW(bhpc_data[sku])),""),ROWS($A$15:A330)+$B$3)),INDEX(bhpc_data[description],SMALL(IF(ISNUMBER(MATCH(bhpc_data[category],$EC$9,0)*MATCH(bhpc_data[size],$EC$13,0)),MATCH(ROW(bhpc_data[sku]),ROW(bhpc_data[sku])),""),ROWS($A$15:A330)+$B$3))),IF($EC$13="",INDEX(bhpc_data[description],SMALL(IF(ISNUMBER(MATCH(bhpc_data[category],$EC$9,0)*MATCH(bhpc_data[sex],$EC$11,0)),MATCH(ROW(bhpc_data[sku]),ROW(bhpc_data[sku])),""),ROWS($A$15:A330)+$B$3)),INDEX(bhpc_data[description],SMALL(IF(ISNUMBER(MATCH(bhpc_data[category],$EC$9,0)*MATCH(bhpc_data[sex],$EC$11,0)*MATCH(bhpc_data[size],$EC$13,0)),MATCH(ROW(bhpc_data[sku]),ROW(bhpc_data[sku])),""),ROWS($A$15:A330)+$B$3))))),"")</f>
        <v/>
      </c>
      <c r="EG325" s="441" t="str">
        <f>IFERROR(IF('BHPC MANAGER'!$EE325="","",INDEX(inventory[ESISTENZA],MATCH('BHPC MANAGER'!$EE325,inventory[SKU],0))),0)</f>
        <v/>
      </c>
      <c r="EH325" s="442"/>
      <c r="EI325" s="442" t="str">
        <f t="shared" si="23"/>
        <v/>
      </c>
      <c r="EJ325" s="443"/>
      <c r="EK325" s="444" t="str">
        <f t="shared" si="24"/>
        <v/>
      </c>
    </row>
    <row r="326" spans="135:141" x14ac:dyDescent="0.35">
      <c r="EE326" s="445" t="str" cm="1">
        <f t="array" ref="EE326">IFERROR(IF($EC$9="",IF($EC$11="",IF($EC$13="",INDEX(bhpc_data[sku],SMALL(MATCH(ROW(bhpc_data[sku]),ROW(bhpc_data[sku])),ROWS($A$15:A331)+$B$3)),INDEX(bhpc_data[sku],SMALL(IF(ISNUMBER(MATCH(bhpc_data[size],$EC$13,0)),MATCH(ROW(bhpc_data[sku]),ROW(bhpc_data[sku])),""),ROWS($A$15:A331)+$B$3))),IF($EC$13="",INDEX(bhpc_data[sku],SMALL(IF(ISNUMBER(MATCH(bhpc_data[sex],$EC$11,0)),MATCH(ROW(bhpc_data[sku]),ROW(bhpc_data[sku])),""),ROWS($A$15:A331)+$B$3)),INDEX(bhpc_data[sku],SMALL(IF(ISNUMBER(MATCH(bhpc_data[sex],$EC$11,0)*MATCH(bhpc_data[size],$EC$13,0)),MATCH(ROW(bhpc_data[sku]),ROW(bhpc_data[sku])),""),ROWS($A$15:A331)+$B$3)))),IF($EC$11="",IF($EC$13="",INDEX(bhpc_data[sku],SMALL(IF(ISNUMBER(MATCH(bhpc_data[category],$EC$9,0)),MATCH(ROW(bhpc_data[sku]),ROW(bhpc_data[sku])),""),ROWS($A$15:A331)+$B$3)),INDEX(bhpc_data[sku],SMALL(IF(ISNUMBER(MATCH(bhpc_data[category],$EC$9,0)*MATCH(bhpc_data[size],$EC$13,0)),MATCH(ROW(bhpc_data[sku]),ROW(bhpc_data[sku])),""),ROWS($A$15:A331)+$B$3))),IF($EC$13="",INDEX(bhpc_data[sku],SMALL(IF(ISNUMBER(MATCH(bhpc_data[category],$EC$9,0)*MATCH(bhpc_data[sex],$EC$11,0)),MATCH(ROW(bhpc_data[sku]),ROW(bhpc_data[sku])),""),ROWS($A$15:A331)+$B$3)),INDEX(bhpc_data[sku],SMALL(IF(ISNUMBER(MATCH(bhpc_data[category],$EC$9,0)*MATCH(bhpc_data[sex],$EC$11,0)*MATCH(bhpc_data[size],$EC$13,0)),MATCH(ROW(bhpc_data[sku]),ROW(bhpc_data[sku])),""),ROWS($A$15:A331)+$B$3))))),"")</f>
        <v/>
      </c>
      <c r="EF326" s="446" t="str" cm="1">
        <f t="array" ref="EF326">IFERROR(IF($EC$9="",IF($EC$11="",IF($EC$13="",INDEX(bhpc_data[description],SMALL(MATCH(ROW(bhpc_data[sku]),ROW(bhpc_data[sku])),ROWS($A$15:A331)+$B$3)),INDEX(bhpc_data[description],SMALL(IF(ISNUMBER(MATCH(bhpc_data[size],$EC$13,0)),MATCH(ROW(bhpc_data[sku]),ROW(bhpc_data[sku])),""),ROWS($A$15:A331)+$B$3))),IF($EC$13="",INDEX(bhpc_data[description],SMALL(IF(ISNUMBER(MATCH(bhpc_data[sex],$EC$11,0)),MATCH(ROW(bhpc_data[sku]),ROW(bhpc_data[sku])),""),ROWS($A$15:A331)+$B$3)),INDEX(bhpc_data[description],SMALL(IF(ISNUMBER(MATCH(bhpc_data[sex],$EC$11,0)*MATCH(bhpc_data[size],$EC$13,0)),MATCH(ROW(bhpc_data[sku]),ROW(bhpc_data[sku])),""),ROWS($A$15:A331)+$B$3)))),IF($EC$11="",IF($EC$13="",INDEX(bhpc_data[description],SMALL(IF(ISNUMBER(MATCH(bhpc_data[category],$EC$9,0)),MATCH(ROW(bhpc_data[sku]),ROW(bhpc_data[sku])),""),ROWS($A$15:A331)+$B$3)),INDEX(bhpc_data[description],SMALL(IF(ISNUMBER(MATCH(bhpc_data[category],$EC$9,0)*MATCH(bhpc_data[size],$EC$13,0)),MATCH(ROW(bhpc_data[sku]),ROW(bhpc_data[sku])),""),ROWS($A$15:A331)+$B$3))),IF($EC$13="",INDEX(bhpc_data[description],SMALL(IF(ISNUMBER(MATCH(bhpc_data[category],$EC$9,0)*MATCH(bhpc_data[sex],$EC$11,0)),MATCH(ROW(bhpc_data[sku]),ROW(bhpc_data[sku])),""),ROWS($A$15:A331)+$B$3)),INDEX(bhpc_data[description],SMALL(IF(ISNUMBER(MATCH(bhpc_data[category],$EC$9,0)*MATCH(bhpc_data[sex],$EC$11,0)*MATCH(bhpc_data[size],$EC$13,0)),MATCH(ROW(bhpc_data[sku]),ROW(bhpc_data[sku])),""),ROWS($A$15:A331)+$B$3))))),"")</f>
        <v/>
      </c>
      <c r="EG326" s="447" t="str">
        <f>IFERROR(IF('BHPC MANAGER'!$EE326="","",INDEX(inventory[ESISTENZA],MATCH('BHPC MANAGER'!$EE326,inventory[SKU],0))),0)</f>
        <v/>
      </c>
      <c r="EH326" s="448"/>
      <c r="EI326" s="448" t="str">
        <f t="shared" si="23"/>
        <v/>
      </c>
      <c r="EJ326" s="449"/>
      <c r="EK326" s="450" t="str">
        <f t="shared" si="24"/>
        <v/>
      </c>
    </row>
    <row r="327" spans="135:141" x14ac:dyDescent="0.35">
      <c r="EE327" s="439" t="str" cm="1">
        <f t="array" ref="EE327">IFERROR(IF($EC$9="",IF($EC$11="",IF($EC$13="",INDEX(bhpc_data[sku],SMALL(MATCH(ROW(bhpc_data[sku]),ROW(bhpc_data[sku])),ROWS($A$15:A332)+$B$3)),INDEX(bhpc_data[sku],SMALL(IF(ISNUMBER(MATCH(bhpc_data[size],$EC$13,0)),MATCH(ROW(bhpc_data[sku]),ROW(bhpc_data[sku])),""),ROWS($A$15:A332)+$B$3))),IF($EC$13="",INDEX(bhpc_data[sku],SMALL(IF(ISNUMBER(MATCH(bhpc_data[sex],$EC$11,0)),MATCH(ROW(bhpc_data[sku]),ROW(bhpc_data[sku])),""),ROWS($A$15:A332)+$B$3)),INDEX(bhpc_data[sku],SMALL(IF(ISNUMBER(MATCH(bhpc_data[sex],$EC$11,0)*MATCH(bhpc_data[size],$EC$13,0)),MATCH(ROW(bhpc_data[sku]),ROW(bhpc_data[sku])),""),ROWS($A$15:A332)+$B$3)))),IF($EC$11="",IF($EC$13="",INDEX(bhpc_data[sku],SMALL(IF(ISNUMBER(MATCH(bhpc_data[category],$EC$9,0)),MATCH(ROW(bhpc_data[sku]),ROW(bhpc_data[sku])),""),ROWS($A$15:A332)+$B$3)),INDEX(bhpc_data[sku],SMALL(IF(ISNUMBER(MATCH(bhpc_data[category],$EC$9,0)*MATCH(bhpc_data[size],$EC$13,0)),MATCH(ROW(bhpc_data[sku]),ROW(bhpc_data[sku])),""),ROWS($A$15:A332)+$B$3))),IF($EC$13="",INDEX(bhpc_data[sku],SMALL(IF(ISNUMBER(MATCH(bhpc_data[category],$EC$9,0)*MATCH(bhpc_data[sex],$EC$11,0)),MATCH(ROW(bhpc_data[sku]),ROW(bhpc_data[sku])),""),ROWS($A$15:A332)+$B$3)),INDEX(bhpc_data[sku],SMALL(IF(ISNUMBER(MATCH(bhpc_data[category],$EC$9,0)*MATCH(bhpc_data[sex],$EC$11,0)*MATCH(bhpc_data[size],$EC$13,0)),MATCH(ROW(bhpc_data[sku]),ROW(bhpc_data[sku])),""),ROWS($A$15:A332)+$B$3))))),"")</f>
        <v/>
      </c>
      <c r="EF327" s="440" t="str" cm="1">
        <f t="array" ref="EF327">IFERROR(IF($EC$9="",IF($EC$11="",IF($EC$13="",INDEX(bhpc_data[description],SMALL(MATCH(ROW(bhpc_data[sku]),ROW(bhpc_data[sku])),ROWS($A$15:A332)+$B$3)),INDEX(bhpc_data[description],SMALL(IF(ISNUMBER(MATCH(bhpc_data[size],$EC$13,0)),MATCH(ROW(bhpc_data[sku]),ROW(bhpc_data[sku])),""),ROWS($A$15:A332)+$B$3))),IF($EC$13="",INDEX(bhpc_data[description],SMALL(IF(ISNUMBER(MATCH(bhpc_data[sex],$EC$11,0)),MATCH(ROW(bhpc_data[sku]),ROW(bhpc_data[sku])),""),ROWS($A$15:A332)+$B$3)),INDEX(bhpc_data[description],SMALL(IF(ISNUMBER(MATCH(bhpc_data[sex],$EC$11,0)*MATCH(bhpc_data[size],$EC$13,0)),MATCH(ROW(bhpc_data[sku]),ROW(bhpc_data[sku])),""),ROWS($A$15:A332)+$B$3)))),IF($EC$11="",IF($EC$13="",INDEX(bhpc_data[description],SMALL(IF(ISNUMBER(MATCH(bhpc_data[category],$EC$9,0)),MATCH(ROW(bhpc_data[sku]),ROW(bhpc_data[sku])),""),ROWS($A$15:A332)+$B$3)),INDEX(bhpc_data[description],SMALL(IF(ISNUMBER(MATCH(bhpc_data[category],$EC$9,0)*MATCH(bhpc_data[size],$EC$13,0)),MATCH(ROW(bhpc_data[sku]),ROW(bhpc_data[sku])),""),ROWS($A$15:A332)+$B$3))),IF($EC$13="",INDEX(bhpc_data[description],SMALL(IF(ISNUMBER(MATCH(bhpc_data[category],$EC$9,0)*MATCH(bhpc_data[sex],$EC$11,0)),MATCH(ROW(bhpc_data[sku]),ROW(bhpc_data[sku])),""),ROWS($A$15:A332)+$B$3)),INDEX(bhpc_data[description],SMALL(IF(ISNUMBER(MATCH(bhpc_data[category],$EC$9,0)*MATCH(bhpc_data[sex],$EC$11,0)*MATCH(bhpc_data[size],$EC$13,0)),MATCH(ROW(bhpc_data[sku]),ROW(bhpc_data[sku])),""),ROWS($A$15:A332)+$B$3))))),"")</f>
        <v/>
      </c>
      <c r="EG327" s="441" t="str">
        <f>IFERROR(IF('BHPC MANAGER'!$EE327="","",INDEX(inventory[ESISTENZA],MATCH('BHPC MANAGER'!$EE327,inventory[SKU],0))),0)</f>
        <v/>
      </c>
      <c r="EH327" s="442"/>
      <c r="EI327" s="442" t="str">
        <f t="shared" si="23"/>
        <v/>
      </c>
      <c r="EJ327" s="443"/>
      <c r="EK327" s="444" t="str">
        <f t="shared" si="24"/>
        <v/>
      </c>
    </row>
    <row r="328" spans="135:141" x14ac:dyDescent="0.35">
      <c r="EE328" s="445" t="str" cm="1">
        <f t="array" ref="EE328">IFERROR(IF($EC$9="",IF($EC$11="",IF($EC$13="",INDEX(bhpc_data[sku],SMALL(MATCH(ROW(bhpc_data[sku]),ROW(bhpc_data[sku])),ROWS($A$15:A333)+$B$3)),INDEX(bhpc_data[sku],SMALL(IF(ISNUMBER(MATCH(bhpc_data[size],$EC$13,0)),MATCH(ROW(bhpc_data[sku]),ROW(bhpc_data[sku])),""),ROWS($A$15:A333)+$B$3))),IF($EC$13="",INDEX(bhpc_data[sku],SMALL(IF(ISNUMBER(MATCH(bhpc_data[sex],$EC$11,0)),MATCH(ROW(bhpc_data[sku]),ROW(bhpc_data[sku])),""),ROWS($A$15:A333)+$B$3)),INDEX(bhpc_data[sku],SMALL(IF(ISNUMBER(MATCH(bhpc_data[sex],$EC$11,0)*MATCH(bhpc_data[size],$EC$13,0)),MATCH(ROW(bhpc_data[sku]),ROW(bhpc_data[sku])),""),ROWS($A$15:A333)+$B$3)))),IF($EC$11="",IF($EC$13="",INDEX(bhpc_data[sku],SMALL(IF(ISNUMBER(MATCH(bhpc_data[category],$EC$9,0)),MATCH(ROW(bhpc_data[sku]),ROW(bhpc_data[sku])),""),ROWS($A$15:A333)+$B$3)),INDEX(bhpc_data[sku],SMALL(IF(ISNUMBER(MATCH(bhpc_data[category],$EC$9,0)*MATCH(bhpc_data[size],$EC$13,0)),MATCH(ROW(bhpc_data[sku]),ROW(bhpc_data[sku])),""),ROWS($A$15:A333)+$B$3))),IF($EC$13="",INDEX(bhpc_data[sku],SMALL(IF(ISNUMBER(MATCH(bhpc_data[category],$EC$9,0)*MATCH(bhpc_data[sex],$EC$11,0)),MATCH(ROW(bhpc_data[sku]),ROW(bhpc_data[sku])),""),ROWS($A$15:A333)+$B$3)),INDEX(bhpc_data[sku],SMALL(IF(ISNUMBER(MATCH(bhpc_data[category],$EC$9,0)*MATCH(bhpc_data[sex],$EC$11,0)*MATCH(bhpc_data[size],$EC$13,0)),MATCH(ROW(bhpc_data[sku]),ROW(bhpc_data[sku])),""),ROWS($A$15:A333)+$B$3))))),"")</f>
        <v/>
      </c>
      <c r="EF328" s="446" t="str" cm="1">
        <f t="array" ref="EF328">IFERROR(IF($EC$9="",IF($EC$11="",IF($EC$13="",INDEX(bhpc_data[description],SMALL(MATCH(ROW(bhpc_data[sku]),ROW(bhpc_data[sku])),ROWS($A$15:A333)+$B$3)),INDEX(bhpc_data[description],SMALL(IF(ISNUMBER(MATCH(bhpc_data[size],$EC$13,0)),MATCH(ROW(bhpc_data[sku]),ROW(bhpc_data[sku])),""),ROWS($A$15:A333)+$B$3))),IF($EC$13="",INDEX(bhpc_data[description],SMALL(IF(ISNUMBER(MATCH(bhpc_data[sex],$EC$11,0)),MATCH(ROW(bhpc_data[sku]),ROW(bhpc_data[sku])),""),ROWS($A$15:A333)+$B$3)),INDEX(bhpc_data[description],SMALL(IF(ISNUMBER(MATCH(bhpc_data[sex],$EC$11,0)*MATCH(bhpc_data[size],$EC$13,0)),MATCH(ROW(bhpc_data[sku]),ROW(bhpc_data[sku])),""),ROWS($A$15:A333)+$B$3)))),IF($EC$11="",IF($EC$13="",INDEX(bhpc_data[description],SMALL(IF(ISNUMBER(MATCH(bhpc_data[category],$EC$9,0)),MATCH(ROW(bhpc_data[sku]),ROW(bhpc_data[sku])),""),ROWS($A$15:A333)+$B$3)),INDEX(bhpc_data[description],SMALL(IF(ISNUMBER(MATCH(bhpc_data[category],$EC$9,0)*MATCH(bhpc_data[size],$EC$13,0)),MATCH(ROW(bhpc_data[sku]),ROW(bhpc_data[sku])),""),ROWS($A$15:A333)+$B$3))),IF($EC$13="",INDEX(bhpc_data[description],SMALL(IF(ISNUMBER(MATCH(bhpc_data[category],$EC$9,0)*MATCH(bhpc_data[sex],$EC$11,0)),MATCH(ROW(bhpc_data[sku]),ROW(bhpc_data[sku])),""),ROWS($A$15:A333)+$B$3)),INDEX(bhpc_data[description],SMALL(IF(ISNUMBER(MATCH(bhpc_data[category],$EC$9,0)*MATCH(bhpc_data[sex],$EC$11,0)*MATCH(bhpc_data[size],$EC$13,0)),MATCH(ROW(bhpc_data[sku]),ROW(bhpc_data[sku])),""),ROWS($A$15:A333)+$B$3))))),"")</f>
        <v/>
      </c>
      <c r="EG328" s="447" t="str">
        <f>IFERROR(IF('BHPC MANAGER'!$EE328="","",INDEX(inventory[ESISTENZA],MATCH('BHPC MANAGER'!$EE328,inventory[SKU],0))),0)</f>
        <v/>
      </c>
      <c r="EH328" s="448"/>
      <c r="EI328" s="448" t="str">
        <f t="shared" si="23"/>
        <v/>
      </c>
      <c r="EJ328" s="449"/>
      <c r="EK328" s="450" t="str">
        <f t="shared" si="24"/>
        <v/>
      </c>
    </row>
    <row r="329" spans="135:141" x14ac:dyDescent="0.35">
      <c r="EE329" s="439" t="str" cm="1">
        <f t="array" ref="EE329">IFERROR(IF($EC$9="",IF($EC$11="",IF($EC$13="",INDEX(bhpc_data[sku],SMALL(MATCH(ROW(bhpc_data[sku]),ROW(bhpc_data[sku])),ROWS($A$15:A334)+$B$3)),INDEX(bhpc_data[sku],SMALL(IF(ISNUMBER(MATCH(bhpc_data[size],$EC$13,0)),MATCH(ROW(bhpc_data[sku]),ROW(bhpc_data[sku])),""),ROWS($A$15:A334)+$B$3))),IF($EC$13="",INDEX(bhpc_data[sku],SMALL(IF(ISNUMBER(MATCH(bhpc_data[sex],$EC$11,0)),MATCH(ROW(bhpc_data[sku]),ROW(bhpc_data[sku])),""),ROWS($A$15:A334)+$B$3)),INDEX(bhpc_data[sku],SMALL(IF(ISNUMBER(MATCH(bhpc_data[sex],$EC$11,0)*MATCH(bhpc_data[size],$EC$13,0)),MATCH(ROW(bhpc_data[sku]),ROW(bhpc_data[sku])),""),ROWS($A$15:A334)+$B$3)))),IF($EC$11="",IF($EC$13="",INDEX(bhpc_data[sku],SMALL(IF(ISNUMBER(MATCH(bhpc_data[category],$EC$9,0)),MATCH(ROW(bhpc_data[sku]),ROW(bhpc_data[sku])),""),ROWS($A$15:A334)+$B$3)),INDEX(bhpc_data[sku],SMALL(IF(ISNUMBER(MATCH(bhpc_data[category],$EC$9,0)*MATCH(bhpc_data[size],$EC$13,0)),MATCH(ROW(bhpc_data[sku]),ROW(bhpc_data[sku])),""),ROWS($A$15:A334)+$B$3))),IF($EC$13="",INDEX(bhpc_data[sku],SMALL(IF(ISNUMBER(MATCH(bhpc_data[category],$EC$9,0)*MATCH(bhpc_data[sex],$EC$11,0)),MATCH(ROW(bhpc_data[sku]),ROW(bhpc_data[sku])),""),ROWS($A$15:A334)+$B$3)),INDEX(bhpc_data[sku],SMALL(IF(ISNUMBER(MATCH(bhpc_data[category],$EC$9,0)*MATCH(bhpc_data[sex],$EC$11,0)*MATCH(bhpc_data[size],$EC$13,0)),MATCH(ROW(bhpc_data[sku]),ROW(bhpc_data[sku])),""),ROWS($A$15:A334)+$B$3))))),"")</f>
        <v/>
      </c>
      <c r="EF329" s="440" t="str" cm="1">
        <f t="array" ref="EF329">IFERROR(IF($EC$9="",IF($EC$11="",IF($EC$13="",INDEX(bhpc_data[description],SMALL(MATCH(ROW(bhpc_data[sku]),ROW(bhpc_data[sku])),ROWS($A$15:A334)+$B$3)),INDEX(bhpc_data[description],SMALL(IF(ISNUMBER(MATCH(bhpc_data[size],$EC$13,0)),MATCH(ROW(bhpc_data[sku]),ROW(bhpc_data[sku])),""),ROWS($A$15:A334)+$B$3))),IF($EC$13="",INDEX(bhpc_data[description],SMALL(IF(ISNUMBER(MATCH(bhpc_data[sex],$EC$11,0)),MATCH(ROW(bhpc_data[sku]),ROW(bhpc_data[sku])),""),ROWS($A$15:A334)+$B$3)),INDEX(bhpc_data[description],SMALL(IF(ISNUMBER(MATCH(bhpc_data[sex],$EC$11,0)*MATCH(bhpc_data[size],$EC$13,0)),MATCH(ROW(bhpc_data[sku]),ROW(bhpc_data[sku])),""),ROWS($A$15:A334)+$B$3)))),IF($EC$11="",IF($EC$13="",INDEX(bhpc_data[description],SMALL(IF(ISNUMBER(MATCH(bhpc_data[category],$EC$9,0)),MATCH(ROW(bhpc_data[sku]),ROW(bhpc_data[sku])),""),ROWS($A$15:A334)+$B$3)),INDEX(bhpc_data[description],SMALL(IF(ISNUMBER(MATCH(bhpc_data[category],$EC$9,0)*MATCH(bhpc_data[size],$EC$13,0)),MATCH(ROW(bhpc_data[sku]),ROW(bhpc_data[sku])),""),ROWS($A$15:A334)+$B$3))),IF($EC$13="",INDEX(bhpc_data[description],SMALL(IF(ISNUMBER(MATCH(bhpc_data[category],$EC$9,0)*MATCH(bhpc_data[sex],$EC$11,0)),MATCH(ROW(bhpc_data[sku]),ROW(bhpc_data[sku])),""),ROWS($A$15:A334)+$B$3)),INDEX(bhpc_data[description],SMALL(IF(ISNUMBER(MATCH(bhpc_data[category],$EC$9,0)*MATCH(bhpc_data[sex],$EC$11,0)*MATCH(bhpc_data[size],$EC$13,0)),MATCH(ROW(bhpc_data[sku]),ROW(bhpc_data[sku])),""),ROWS($A$15:A334)+$B$3))))),"")</f>
        <v/>
      </c>
      <c r="EG329" s="441" t="str">
        <f>IFERROR(IF('BHPC MANAGER'!$EE329="","",INDEX(inventory[ESISTENZA],MATCH('BHPC MANAGER'!$EE329,inventory[SKU],0))),0)</f>
        <v/>
      </c>
      <c r="EH329" s="442"/>
      <c r="EI329" s="442" t="str">
        <f t="shared" si="23"/>
        <v/>
      </c>
      <c r="EJ329" s="443"/>
      <c r="EK329" s="444" t="str">
        <f t="shared" si="24"/>
        <v/>
      </c>
    </row>
    <row r="330" spans="135:141" x14ac:dyDescent="0.35">
      <c r="EE330" s="445" t="str" cm="1">
        <f t="array" ref="EE330">IFERROR(IF($EC$9="",IF($EC$11="",IF($EC$13="",INDEX(bhpc_data[sku],SMALL(MATCH(ROW(bhpc_data[sku]),ROW(bhpc_data[sku])),ROWS($A$15:A335)+$B$3)),INDEX(bhpc_data[sku],SMALL(IF(ISNUMBER(MATCH(bhpc_data[size],$EC$13,0)),MATCH(ROW(bhpc_data[sku]),ROW(bhpc_data[sku])),""),ROWS($A$15:A335)+$B$3))),IF($EC$13="",INDEX(bhpc_data[sku],SMALL(IF(ISNUMBER(MATCH(bhpc_data[sex],$EC$11,0)),MATCH(ROW(bhpc_data[sku]),ROW(bhpc_data[sku])),""),ROWS($A$15:A335)+$B$3)),INDEX(bhpc_data[sku],SMALL(IF(ISNUMBER(MATCH(bhpc_data[sex],$EC$11,0)*MATCH(bhpc_data[size],$EC$13,0)),MATCH(ROW(bhpc_data[sku]),ROW(bhpc_data[sku])),""),ROWS($A$15:A335)+$B$3)))),IF($EC$11="",IF($EC$13="",INDEX(bhpc_data[sku],SMALL(IF(ISNUMBER(MATCH(bhpc_data[category],$EC$9,0)),MATCH(ROW(bhpc_data[sku]),ROW(bhpc_data[sku])),""),ROWS($A$15:A335)+$B$3)),INDEX(bhpc_data[sku],SMALL(IF(ISNUMBER(MATCH(bhpc_data[category],$EC$9,0)*MATCH(bhpc_data[size],$EC$13,0)),MATCH(ROW(bhpc_data[sku]),ROW(bhpc_data[sku])),""),ROWS($A$15:A335)+$B$3))),IF($EC$13="",INDEX(bhpc_data[sku],SMALL(IF(ISNUMBER(MATCH(bhpc_data[category],$EC$9,0)*MATCH(bhpc_data[sex],$EC$11,0)),MATCH(ROW(bhpc_data[sku]),ROW(bhpc_data[sku])),""),ROWS($A$15:A335)+$B$3)),INDEX(bhpc_data[sku],SMALL(IF(ISNUMBER(MATCH(bhpc_data[category],$EC$9,0)*MATCH(bhpc_data[sex],$EC$11,0)*MATCH(bhpc_data[size],$EC$13,0)),MATCH(ROW(bhpc_data[sku]),ROW(bhpc_data[sku])),""),ROWS($A$15:A335)+$B$3))))),"")</f>
        <v/>
      </c>
      <c r="EF330" s="446" t="str" cm="1">
        <f t="array" ref="EF330">IFERROR(IF($EC$9="",IF($EC$11="",IF($EC$13="",INDEX(bhpc_data[description],SMALL(MATCH(ROW(bhpc_data[sku]),ROW(bhpc_data[sku])),ROWS($A$15:A335)+$B$3)),INDEX(bhpc_data[description],SMALL(IF(ISNUMBER(MATCH(bhpc_data[size],$EC$13,0)),MATCH(ROW(bhpc_data[sku]),ROW(bhpc_data[sku])),""),ROWS($A$15:A335)+$B$3))),IF($EC$13="",INDEX(bhpc_data[description],SMALL(IF(ISNUMBER(MATCH(bhpc_data[sex],$EC$11,0)),MATCH(ROW(bhpc_data[sku]),ROW(bhpc_data[sku])),""),ROWS($A$15:A335)+$B$3)),INDEX(bhpc_data[description],SMALL(IF(ISNUMBER(MATCH(bhpc_data[sex],$EC$11,0)*MATCH(bhpc_data[size],$EC$13,0)),MATCH(ROW(bhpc_data[sku]),ROW(bhpc_data[sku])),""),ROWS($A$15:A335)+$B$3)))),IF($EC$11="",IF($EC$13="",INDEX(bhpc_data[description],SMALL(IF(ISNUMBER(MATCH(bhpc_data[category],$EC$9,0)),MATCH(ROW(bhpc_data[sku]),ROW(bhpc_data[sku])),""),ROWS($A$15:A335)+$B$3)),INDEX(bhpc_data[description],SMALL(IF(ISNUMBER(MATCH(bhpc_data[category],$EC$9,0)*MATCH(bhpc_data[size],$EC$13,0)),MATCH(ROW(bhpc_data[sku]),ROW(bhpc_data[sku])),""),ROWS($A$15:A335)+$B$3))),IF($EC$13="",INDEX(bhpc_data[description],SMALL(IF(ISNUMBER(MATCH(bhpc_data[category],$EC$9,0)*MATCH(bhpc_data[sex],$EC$11,0)),MATCH(ROW(bhpc_data[sku]),ROW(bhpc_data[sku])),""),ROWS($A$15:A335)+$B$3)),INDEX(bhpc_data[description],SMALL(IF(ISNUMBER(MATCH(bhpc_data[category],$EC$9,0)*MATCH(bhpc_data[sex],$EC$11,0)*MATCH(bhpc_data[size],$EC$13,0)),MATCH(ROW(bhpc_data[sku]),ROW(bhpc_data[sku])),""),ROWS($A$15:A335)+$B$3))))),"")</f>
        <v/>
      </c>
      <c r="EG330" s="447" t="str">
        <f>IFERROR(IF('BHPC MANAGER'!$EE330="","",INDEX(inventory[ESISTENZA],MATCH('BHPC MANAGER'!$EE330,inventory[SKU],0))),0)</f>
        <v/>
      </c>
      <c r="EH330" s="448"/>
      <c r="EI330" s="448" t="str">
        <f t="shared" si="23"/>
        <v/>
      </c>
      <c r="EJ330" s="449"/>
      <c r="EK330" s="450" t="str">
        <f t="shared" si="24"/>
        <v/>
      </c>
    </row>
    <row r="331" spans="135:141" x14ac:dyDescent="0.35">
      <c r="EE331" s="439" t="str" cm="1">
        <f t="array" ref="EE331">IFERROR(IF($EC$9="",IF($EC$11="",IF($EC$13="",INDEX(bhpc_data[sku],SMALL(MATCH(ROW(bhpc_data[sku]),ROW(bhpc_data[sku])),ROWS($A$15:A336)+$B$3)),INDEX(bhpc_data[sku],SMALL(IF(ISNUMBER(MATCH(bhpc_data[size],$EC$13,0)),MATCH(ROW(bhpc_data[sku]),ROW(bhpc_data[sku])),""),ROWS($A$15:A336)+$B$3))),IF($EC$13="",INDEX(bhpc_data[sku],SMALL(IF(ISNUMBER(MATCH(bhpc_data[sex],$EC$11,0)),MATCH(ROW(bhpc_data[sku]),ROW(bhpc_data[sku])),""),ROWS($A$15:A336)+$B$3)),INDEX(bhpc_data[sku],SMALL(IF(ISNUMBER(MATCH(bhpc_data[sex],$EC$11,0)*MATCH(bhpc_data[size],$EC$13,0)),MATCH(ROW(bhpc_data[sku]),ROW(bhpc_data[sku])),""),ROWS($A$15:A336)+$B$3)))),IF($EC$11="",IF($EC$13="",INDEX(bhpc_data[sku],SMALL(IF(ISNUMBER(MATCH(bhpc_data[category],$EC$9,0)),MATCH(ROW(bhpc_data[sku]),ROW(bhpc_data[sku])),""),ROWS($A$15:A336)+$B$3)),INDEX(bhpc_data[sku],SMALL(IF(ISNUMBER(MATCH(bhpc_data[category],$EC$9,0)*MATCH(bhpc_data[size],$EC$13,0)),MATCH(ROW(bhpc_data[sku]),ROW(bhpc_data[sku])),""),ROWS($A$15:A336)+$B$3))),IF($EC$13="",INDEX(bhpc_data[sku],SMALL(IF(ISNUMBER(MATCH(bhpc_data[category],$EC$9,0)*MATCH(bhpc_data[sex],$EC$11,0)),MATCH(ROW(bhpc_data[sku]),ROW(bhpc_data[sku])),""),ROWS($A$15:A336)+$B$3)),INDEX(bhpc_data[sku],SMALL(IF(ISNUMBER(MATCH(bhpc_data[category],$EC$9,0)*MATCH(bhpc_data[sex],$EC$11,0)*MATCH(bhpc_data[size],$EC$13,0)),MATCH(ROW(bhpc_data[sku]),ROW(bhpc_data[sku])),""),ROWS($A$15:A336)+$B$3))))),"")</f>
        <v/>
      </c>
      <c r="EF331" s="440" t="str" cm="1">
        <f t="array" ref="EF331">IFERROR(IF($EC$9="",IF($EC$11="",IF($EC$13="",INDEX(bhpc_data[description],SMALL(MATCH(ROW(bhpc_data[sku]),ROW(bhpc_data[sku])),ROWS($A$15:A336)+$B$3)),INDEX(bhpc_data[description],SMALL(IF(ISNUMBER(MATCH(bhpc_data[size],$EC$13,0)),MATCH(ROW(bhpc_data[sku]),ROW(bhpc_data[sku])),""),ROWS($A$15:A336)+$B$3))),IF($EC$13="",INDEX(bhpc_data[description],SMALL(IF(ISNUMBER(MATCH(bhpc_data[sex],$EC$11,0)),MATCH(ROW(bhpc_data[sku]),ROW(bhpc_data[sku])),""),ROWS($A$15:A336)+$B$3)),INDEX(bhpc_data[description],SMALL(IF(ISNUMBER(MATCH(bhpc_data[sex],$EC$11,0)*MATCH(bhpc_data[size],$EC$13,0)),MATCH(ROW(bhpc_data[sku]),ROW(bhpc_data[sku])),""),ROWS($A$15:A336)+$B$3)))),IF($EC$11="",IF($EC$13="",INDEX(bhpc_data[description],SMALL(IF(ISNUMBER(MATCH(bhpc_data[category],$EC$9,0)),MATCH(ROW(bhpc_data[sku]),ROW(bhpc_data[sku])),""),ROWS($A$15:A336)+$B$3)),INDEX(bhpc_data[description],SMALL(IF(ISNUMBER(MATCH(bhpc_data[category],$EC$9,0)*MATCH(bhpc_data[size],$EC$13,0)),MATCH(ROW(bhpc_data[sku]),ROW(bhpc_data[sku])),""),ROWS($A$15:A336)+$B$3))),IF($EC$13="",INDEX(bhpc_data[description],SMALL(IF(ISNUMBER(MATCH(bhpc_data[category],$EC$9,0)*MATCH(bhpc_data[sex],$EC$11,0)),MATCH(ROW(bhpc_data[sku]),ROW(bhpc_data[sku])),""),ROWS($A$15:A336)+$B$3)),INDEX(bhpc_data[description],SMALL(IF(ISNUMBER(MATCH(bhpc_data[category],$EC$9,0)*MATCH(bhpc_data[sex],$EC$11,0)*MATCH(bhpc_data[size],$EC$13,0)),MATCH(ROW(bhpc_data[sku]),ROW(bhpc_data[sku])),""),ROWS($A$15:A336)+$B$3))))),"")</f>
        <v/>
      </c>
      <c r="EG331" s="441" t="str">
        <f>IFERROR(IF('BHPC MANAGER'!$EE331="","",INDEX(inventory[ESISTENZA],MATCH('BHPC MANAGER'!$EE331,inventory[SKU],0))),0)</f>
        <v/>
      </c>
      <c r="EH331" s="442"/>
      <c r="EI331" s="442" t="str">
        <f t="shared" si="23"/>
        <v/>
      </c>
      <c r="EJ331" s="443"/>
      <c r="EK331" s="444" t="str">
        <f t="shared" si="24"/>
        <v/>
      </c>
    </row>
    <row r="332" spans="135:141" x14ac:dyDescent="0.35">
      <c r="EE332" s="445" t="str" cm="1">
        <f t="array" ref="EE332">IFERROR(IF($EC$9="",IF($EC$11="",IF($EC$13="",INDEX(bhpc_data[sku],SMALL(MATCH(ROW(bhpc_data[sku]),ROW(bhpc_data[sku])),ROWS($A$15:A337)+$B$3)),INDEX(bhpc_data[sku],SMALL(IF(ISNUMBER(MATCH(bhpc_data[size],$EC$13,0)),MATCH(ROW(bhpc_data[sku]),ROW(bhpc_data[sku])),""),ROWS($A$15:A337)+$B$3))),IF($EC$13="",INDEX(bhpc_data[sku],SMALL(IF(ISNUMBER(MATCH(bhpc_data[sex],$EC$11,0)),MATCH(ROW(bhpc_data[sku]),ROW(bhpc_data[sku])),""),ROWS($A$15:A337)+$B$3)),INDEX(bhpc_data[sku],SMALL(IF(ISNUMBER(MATCH(bhpc_data[sex],$EC$11,0)*MATCH(bhpc_data[size],$EC$13,0)),MATCH(ROW(bhpc_data[sku]),ROW(bhpc_data[sku])),""),ROWS($A$15:A337)+$B$3)))),IF($EC$11="",IF($EC$13="",INDEX(bhpc_data[sku],SMALL(IF(ISNUMBER(MATCH(bhpc_data[category],$EC$9,0)),MATCH(ROW(bhpc_data[sku]),ROW(bhpc_data[sku])),""),ROWS($A$15:A337)+$B$3)),INDEX(bhpc_data[sku],SMALL(IF(ISNUMBER(MATCH(bhpc_data[category],$EC$9,0)*MATCH(bhpc_data[size],$EC$13,0)),MATCH(ROW(bhpc_data[sku]),ROW(bhpc_data[sku])),""),ROWS($A$15:A337)+$B$3))),IF($EC$13="",INDEX(bhpc_data[sku],SMALL(IF(ISNUMBER(MATCH(bhpc_data[category],$EC$9,0)*MATCH(bhpc_data[sex],$EC$11,0)),MATCH(ROW(bhpc_data[sku]),ROW(bhpc_data[sku])),""),ROWS($A$15:A337)+$B$3)),INDEX(bhpc_data[sku],SMALL(IF(ISNUMBER(MATCH(bhpc_data[category],$EC$9,0)*MATCH(bhpc_data[sex],$EC$11,0)*MATCH(bhpc_data[size],$EC$13,0)),MATCH(ROW(bhpc_data[sku]),ROW(bhpc_data[sku])),""),ROWS($A$15:A337)+$B$3))))),"")</f>
        <v/>
      </c>
      <c r="EF332" s="446" t="str" cm="1">
        <f t="array" ref="EF332">IFERROR(IF($EC$9="",IF($EC$11="",IF($EC$13="",INDEX(bhpc_data[description],SMALL(MATCH(ROW(bhpc_data[sku]),ROW(bhpc_data[sku])),ROWS($A$15:A337)+$B$3)),INDEX(bhpc_data[description],SMALL(IF(ISNUMBER(MATCH(bhpc_data[size],$EC$13,0)),MATCH(ROW(bhpc_data[sku]),ROW(bhpc_data[sku])),""),ROWS($A$15:A337)+$B$3))),IF($EC$13="",INDEX(bhpc_data[description],SMALL(IF(ISNUMBER(MATCH(bhpc_data[sex],$EC$11,0)),MATCH(ROW(bhpc_data[sku]),ROW(bhpc_data[sku])),""),ROWS($A$15:A337)+$B$3)),INDEX(bhpc_data[description],SMALL(IF(ISNUMBER(MATCH(bhpc_data[sex],$EC$11,0)*MATCH(bhpc_data[size],$EC$13,0)),MATCH(ROW(bhpc_data[sku]),ROW(bhpc_data[sku])),""),ROWS($A$15:A337)+$B$3)))),IF($EC$11="",IF($EC$13="",INDEX(bhpc_data[description],SMALL(IF(ISNUMBER(MATCH(bhpc_data[category],$EC$9,0)),MATCH(ROW(bhpc_data[sku]),ROW(bhpc_data[sku])),""),ROWS($A$15:A337)+$B$3)),INDEX(bhpc_data[description],SMALL(IF(ISNUMBER(MATCH(bhpc_data[category],$EC$9,0)*MATCH(bhpc_data[size],$EC$13,0)),MATCH(ROW(bhpc_data[sku]),ROW(bhpc_data[sku])),""),ROWS($A$15:A337)+$B$3))),IF($EC$13="",INDEX(bhpc_data[description],SMALL(IF(ISNUMBER(MATCH(bhpc_data[category],$EC$9,0)*MATCH(bhpc_data[sex],$EC$11,0)),MATCH(ROW(bhpc_data[sku]),ROW(bhpc_data[sku])),""),ROWS($A$15:A337)+$B$3)),INDEX(bhpc_data[description],SMALL(IF(ISNUMBER(MATCH(bhpc_data[category],$EC$9,0)*MATCH(bhpc_data[sex],$EC$11,0)*MATCH(bhpc_data[size],$EC$13,0)),MATCH(ROW(bhpc_data[sku]),ROW(bhpc_data[sku])),""),ROWS($A$15:A337)+$B$3))))),"")</f>
        <v/>
      </c>
      <c r="EG332" s="447" t="str">
        <f>IFERROR(IF('BHPC MANAGER'!$EE332="","",INDEX(inventory[ESISTENZA],MATCH('BHPC MANAGER'!$EE332,inventory[SKU],0))),0)</f>
        <v/>
      </c>
      <c r="EH332" s="448"/>
      <c r="EI332" s="448" t="str">
        <f t="shared" si="23"/>
        <v/>
      </c>
      <c r="EJ332" s="449"/>
      <c r="EK332" s="450" t="str">
        <f t="shared" si="24"/>
        <v/>
      </c>
    </row>
    <row r="333" spans="135:141" x14ac:dyDescent="0.35">
      <c r="EE333" s="439" t="str" cm="1">
        <f t="array" ref="EE333">IFERROR(IF($EC$9="",IF($EC$11="",IF($EC$13="",INDEX(bhpc_data[sku],SMALL(MATCH(ROW(bhpc_data[sku]),ROW(bhpc_data[sku])),ROWS($A$15:A338)+$B$3)),INDEX(bhpc_data[sku],SMALL(IF(ISNUMBER(MATCH(bhpc_data[size],$EC$13,0)),MATCH(ROW(bhpc_data[sku]),ROW(bhpc_data[sku])),""),ROWS($A$15:A338)+$B$3))),IF($EC$13="",INDEX(bhpc_data[sku],SMALL(IF(ISNUMBER(MATCH(bhpc_data[sex],$EC$11,0)),MATCH(ROW(bhpc_data[sku]),ROW(bhpc_data[sku])),""),ROWS($A$15:A338)+$B$3)),INDEX(bhpc_data[sku],SMALL(IF(ISNUMBER(MATCH(bhpc_data[sex],$EC$11,0)*MATCH(bhpc_data[size],$EC$13,0)),MATCH(ROW(bhpc_data[sku]),ROW(bhpc_data[sku])),""),ROWS($A$15:A338)+$B$3)))),IF($EC$11="",IF($EC$13="",INDEX(bhpc_data[sku],SMALL(IF(ISNUMBER(MATCH(bhpc_data[category],$EC$9,0)),MATCH(ROW(bhpc_data[sku]),ROW(bhpc_data[sku])),""),ROWS($A$15:A338)+$B$3)),INDEX(bhpc_data[sku],SMALL(IF(ISNUMBER(MATCH(bhpc_data[category],$EC$9,0)*MATCH(bhpc_data[size],$EC$13,0)),MATCH(ROW(bhpc_data[sku]),ROW(bhpc_data[sku])),""),ROWS($A$15:A338)+$B$3))),IF($EC$13="",INDEX(bhpc_data[sku],SMALL(IF(ISNUMBER(MATCH(bhpc_data[category],$EC$9,0)*MATCH(bhpc_data[sex],$EC$11,0)),MATCH(ROW(bhpc_data[sku]),ROW(bhpc_data[sku])),""),ROWS($A$15:A338)+$B$3)),INDEX(bhpc_data[sku],SMALL(IF(ISNUMBER(MATCH(bhpc_data[category],$EC$9,0)*MATCH(bhpc_data[sex],$EC$11,0)*MATCH(bhpc_data[size],$EC$13,0)),MATCH(ROW(bhpc_data[sku]),ROW(bhpc_data[sku])),""),ROWS($A$15:A338)+$B$3))))),"")</f>
        <v/>
      </c>
      <c r="EF333" s="440" t="str" cm="1">
        <f t="array" ref="EF333">IFERROR(IF($EC$9="",IF($EC$11="",IF($EC$13="",INDEX(bhpc_data[description],SMALL(MATCH(ROW(bhpc_data[sku]),ROW(bhpc_data[sku])),ROWS($A$15:A338)+$B$3)),INDEX(bhpc_data[description],SMALL(IF(ISNUMBER(MATCH(bhpc_data[size],$EC$13,0)),MATCH(ROW(bhpc_data[sku]),ROW(bhpc_data[sku])),""),ROWS($A$15:A338)+$B$3))),IF($EC$13="",INDEX(bhpc_data[description],SMALL(IF(ISNUMBER(MATCH(bhpc_data[sex],$EC$11,0)),MATCH(ROW(bhpc_data[sku]),ROW(bhpc_data[sku])),""),ROWS($A$15:A338)+$B$3)),INDEX(bhpc_data[description],SMALL(IF(ISNUMBER(MATCH(bhpc_data[sex],$EC$11,0)*MATCH(bhpc_data[size],$EC$13,0)),MATCH(ROW(bhpc_data[sku]),ROW(bhpc_data[sku])),""),ROWS($A$15:A338)+$B$3)))),IF($EC$11="",IF($EC$13="",INDEX(bhpc_data[description],SMALL(IF(ISNUMBER(MATCH(bhpc_data[category],$EC$9,0)),MATCH(ROW(bhpc_data[sku]),ROW(bhpc_data[sku])),""),ROWS($A$15:A338)+$B$3)),INDEX(bhpc_data[description],SMALL(IF(ISNUMBER(MATCH(bhpc_data[category],$EC$9,0)*MATCH(bhpc_data[size],$EC$13,0)),MATCH(ROW(bhpc_data[sku]),ROW(bhpc_data[sku])),""),ROWS($A$15:A338)+$B$3))),IF($EC$13="",INDEX(bhpc_data[description],SMALL(IF(ISNUMBER(MATCH(bhpc_data[category],$EC$9,0)*MATCH(bhpc_data[sex],$EC$11,0)),MATCH(ROW(bhpc_data[sku]),ROW(bhpc_data[sku])),""),ROWS($A$15:A338)+$B$3)),INDEX(bhpc_data[description],SMALL(IF(ISNUMBER(MATCH(bhpc_data[category],$EC$9,0)*MATCH(bhpc_data[sex],$EC$11,0)*MATCH(bhpc_data[size],$EC$13,0)),MATCH(ROW(bhpc_data[sku]),ROW(bhpc_data[sku])),""),ROWS($A$15:A338)+$B$3))))),"")</f>
        <v/>
      </c>
      <c r="EG333" s="441" t="str">
        <f>IFERROR(IF('BHPC MANAGER'!$EE333="","",INDEX(inventory[ESISTENZA],MATCH('BHPC MANAGER'!$EE333,inventory[SKU],0))),0)</f>
        <v/>
      </c>
      <c r="EH333" s="442"/>
      <c r="EI333" s="442" t="str">
        <f t="shared" si="23"/>
        <v/>
      </c>
      <c r="EJ333" s="443"/>
      <c r="EK333" s="444" t="str">
        <f t="shared" si="24"/>
        <v/>
      </c>
    </row>
    <row r="334" spans="135:141" x14ac:dyDescent="0.35">
      <c r="EE334" s="445" t="str" cm="1">
        <f t="array" ref="EE334">IFERROR(IF($EC$9="",IF($EC$11="",IF($EC$13="",INDEX(bhpc_data[sku],SMALL(MATCH(ROW(bhpc_data[sku]),ROW(bhpc_data[sku])),ROWS($A$15:A339)+$B$3)),INDEX(bhpc_data[sku],SMALL(IF(ISNUMBER(MATCH(bhpc_data[size],$EC$13,0)),MATCH(ROW(bhpc_data[sku]),ROW(bhpc_data[sku])),""),ROWS($A$15:A339)+$B$3))),IF($EC$13="",INDEX(bhpc_data[sku],SMALL(IF(ISNUMBER(MATCH(bhpc_data[sex],$EC$11,0)),MATCH(ROW(bhpc_data[sku]),ROW(bhpc_data[sku])),""),ROWS($A$15:A339)+$B$3)),INDEX(bhpc_data[sku],SMALL(IF(ISNUMBER(MATCH(bhpc_data[sex],$EC$11,0)*MATCH(bhpc_data[size],$EC$13,0)),MATCH(ROW(bhpc_data[sku]),ROW(bhpc_data[sku])),""),ROWS($A$15:A339)+$B$3)))),IF($EC$11="",IF($EC$13="",INDEX(bhpc_data[sku],SMALL(IF(ISNUMBER(MATCH(bhpc_data[category],$EC$9,0)),MATCH(ROW(bhpc_data[sku]),ROW(bhpc_data[sku])),""),ROWS($A$15:A339)+$B$3)),INDEX(bhpc_data[sku],SMALL(IF(ISNUMBER(MATCH(bhpc_data[category],$EC$9,0)*MATCH(bhpc_data[size],$EC$13,0)),MATCH(ROW(bhpc_data[sku]),ROW(bhpc_data[sku])),""),ROWS($A$15:A339)+$B$3))),IF($EC$13="",INDEX(bhpc_data[sku],SMALL(IF(ISNUMBER(MATCH(bhpc_data[category],$EC$9,0)*MATCH(bhpc_data[sex],$EC$11,0)),MATCH(ROW(bhpc_data[sku]),ROW(bhpc_data[sku])),""),ROWS($A$15:A339)+$B$3)),INDEX(bhpc_data[sku],SMALL(IF(ISNUMBER(MATCH(bhpc_data[category],$EC$9,0)*MATCH(bhpc_data[sex],$EC$11,0)*MATCH(bhpc_data[size],$EC$13,0)),MATCH(ROW(bhpc_data[sku]),ROW(bhpc_data[sku])),""),ROWS($A$15:A339)+$B$3))))),"")</f>
        <v/>
      </c>
      <c r="EF334" s="446" t="str" cm="1">
        <f t="array" ref="EF334">IFERROR(IF($EC$9="",IF($EC$11="",IF($EC$13="",INDEX(bhpc_data[description],SMALL(MATCH(ROW(bhpc_data[sku]),ROW(bhpc_data[sku])),ROWS($A$15:A339)+$B$3)),INDEX(bhpc_data[description],SMALL(IF(ISNUMBER(MATCH(bhpc_data[size],$EC$13,0)),MATCH(ROW(bhpc_data[sku]),ROW(bhpc_data[sku])),""),ROWS($A$15:A339)+$B$3))),IF($EC$13="",INDEX(bhpc_data[description],SMALL(IF(ISNUMBER(MATCH(bhpc_data[sex],$EC$11,0)),MATCH(ROW(bhpc_data[sku]),ROW(bhpc_data[sku])),""),ROWS($A$15:A339)+$B$3)),INDEX(bhpc_data[description],SMALL(IF(ISNUMBER(MATCH(bhpc_data[sex],$EC$11,0)*MATCH(bhpc_data[size],$EC$13,0)),MATCH(ROW(bhpc_data[sku]),ROW(bhpc_data[sku])),""),ROWS($A$15:A339)+$B$3)))),IF($EC$11="",IF($EC$13="",INDEX(bhpc_data[description],SMALL(IF(ISNUMBER(MATCH(bhpc_data[category],$EC$9,0)),MATCH(ROW(bhpc_data[sku]),ROW(bhpc_data[sku])),""),ROWS($A$15:A339)+$B$3)),INDEX(bhpc_data[description],SMALL(IF(ISNUMBER(MATCH(bhpc_data[category],$EC$9,0)*MATCH(bhpc_data[size],$EC$13,0)),MATCH(ROW(bhpc_data[sku]),ROW(bhpc_data[sku])),""),ROWS($A$15:A339)+$B$3))),IF($EC$13="",INDEX(bhpc_data[description],SMALL(IF(ISNUMBER(MATCH(bhpc_data[category],$EC$9,0)*MATCH(bhpc_data[sex],$EC$11,0)),MATCH(ROW(bhpc_data[sku]),ROW(bhpc_data[sku])),""),ROWS($A$15:A339)+$B$3)),INDEX(bhpc_data[description],SMALL(IF(ISNUMBER(MATCH(bhpc_data[category],$EC$9,0)*MATCH(bhpc_data[sex],$EC$11,0)*MATCH(bhpc_data[size],$EC$13,0)),MATCH(ROW(bhpc_data[sku]),ROW(bhpc_data[sku])),""),ROWS($A$15:A339)+$B$3))))),"")</f>
        <v/>
      </c>
      <c r="EG334" s="447" t="str">
        <f>IFERROR(IF('BHPC MANAGER'!$EE334="","",INDEX(inventory[ESISTENZA],MATCH('BHPC MANAGER'!$EE334,inventory[SKU],0))),0)</f>
        <v/>
      </c>
      <c r="EH334" s="448"/>
      <c r="EI334" s="448" t="str">
        <f t="shared" si="23"/>
        <v/>
      </c>
      <c r="EJ334" s="449"/>
      <c r="EK334" s="450" t="str">
        <f t="shared" si="24"/>
        <v/>
      </c>
    </row>
    <row r="335" spans="135:141" x14ac:dyDescent="0.35">
      <c r="EE335" s="439" t="str" cm="1">
        <f t="array" ref="EE335">IFERROR(IF($EC$9="",IF($EC$11="",IF($EC$13="",INDEX(bhpc_data[sku],SMALL(MATCH(ROW(bhpc_data[sku]),ROW(bhpc_data[sku])),ROWS($A$15:A340)+$B$3)),INDEX(bhpc_data[sku],SMALL(IF(ISNUMBER(MATCH(bhpc_data[size],$EC$13,0)),MATCH(ROW(bhpc_data[sku]),ROW(bhpc_data[sku])),""),ROWS($A$15:A340)+$B$3))),IF($EC$13="",INDEX(bhpc_data[sku],SMALL(IF(ISNUMBER(MATCH(bhpc_data[sex],$EC$11,0)),MATCH(ROW(bhpc_data[sku]),ROW(bhpc_data[sku])),""),ROWS($A$15:A340)+$B$3)),INDEX(bhpc_data[sku],SMALL(IF(ISNUMBER(MATCH(bhpc_data[sex],$EC$11,0)*MATCH(bhpc_data[size],$EC$13,0)),MATCH(ROW(bhpc_data[sku]),ROW(bhpc_data[sku])),""),ROWS($A$15:A340)+$B$3)))),IF($EC$11="",IF($EC$13="",INDEX(bhpc_data[sku],SMALL(IF(ISNUMBER(MATCH(bhpc_data[category],$EC$9,0)),MATCH(ROW(bhpc_data[sku]),ROW(bhpc_data[sku])),""),ROWS($A$15:A340)+$B$3)),INDEX(bhpc_data[sku],SMALL(IF(ISNUMBER(MATCH(bhpc_data[category],$EC$9,0)*MATCH(bhpc_data[size],$EC$13,0)),MATCH(ROW(bhpc_data[sku]),ROW(bhpc_data[sku])),""),ROWS($A$15:A340)+$B$3))),IF($EC$13="",INDEX(bhpc_data[sku],SMALL(IF(ISNUMBER(MATCH(bhpc_data[category],$EC$9,0)*MATCH(bhpc_data[sex],$EC$11,0)),MATCH(ROW(bhpc_data[sku]),ROW(bhpc_data[sku])),""),ROWS($A$15:A340)+$B$3)),INDEX(bhpc_data[sku],SMALL(IF(ISNUMBER(MATCH(bhpc_data[category],$EC$9,0)*MATCH(bhpc_data[sex],$EC$11,0)*MATCH(bhpc_data[size],$EC$13,0)),MATCH(ROW(bhpc_data[sku]),ROW(bhpc_data[sku])),""),ROWS($A$15:A340)+$B$3))))),"")</f>
        <v/>
      </c>
      <c r="EF335" s="440" t="str" cm="1">
        <f t="array" ref="EF335">IFERROR(IF($EC$9="",IF($EC$11="",IF($EC$13="",INDEX(bhpc_data[description],SMALL(MATCH(ROW(bhpc_data[sku]),ROW(bhpc_data[sku])),ROWS($A$15:A340)+$B$3)),INDEX(bhpc_data[description],SMALL(IF(ISNUMBER(MATCH(bhpc_data[size],$EC$13,0)),MATCH(ROW(bhpc_data[sku]),ROW(bhpc_data[sku])),""),ROWS($A$15:A340)+$B$3))),IF($EC$13="",INDEX(bhpc_data[description],SMALL(IF(ISNUMBER(MATCH(bhpc_data[sex],$EC$11,0)),MATCH(ROW(bhpc_data[sku]),ROW(bhpc_data[sku])),""),ROWS($A$15:A340)+$B$3)),INDEX(bhpc_data[description],SMALL(IF(ISNUMBER(MATCH(bhpc_data[sex],$EC$11,0)*MATCH(bhpc_data[size],$EC$13,0)),MATCH(ROW(bhpc_data[sku]),ROW(bhpc_data[sku])),""),ROWS($A$15:A340)+$B$3)))),IF($EC$11="",IF($EC$13="",INDEX(bhpc_data[description],SMALL(IF(ISNUMBER(MATCH(bhpc_data[category],$EC$9,0)),MATCH(ROW(bhpc_data[sku]),ROW(bhpc_data[sku])),""),ROWS($A$15:A340)+$B$3)),INDEX(bhpc_data[description],SMALL(IF(ISNUMBER(MATCH(bhpc_data[category],$EC$9,0)*MATCH(bhpc_data[size],$EC$13,0)),MATCH(ROW(bhpc_data[sku]),ROW(bhpc_data[sku])),""),ROWS($A$15:A340)+$B$3))),IF($EC$13="",INDEX(bhpc_data[description],SMALL(IF(ISNUMBER(MATCH(bhpc_data[category],$EC$9,0)*MATCH(bhpc_data[sex],$EC$11,0)),MATCH(ROW(bhpc_data[sku]),ROW(bhpc_data[sku])),""),ROWS($A$15:A340)+$B$3)),INDEX(bhpc_data[description],SMALL(IF(ISNUMBER(MATCH(bhpc_data[category],$EC$9,0)*MATCH(bhpc_data[sex],$EC$11,0)*MATCH(bhpc_data[size],$EC$13,0)),MATCH(ROW(bhpc_data[sku]),ROW(bhpc_data[sku])),""),ROWS($A$15:A340)+$B$3))))),"")</f>
        <v/>
      </c>
      <c r="EG335" s="441" t="str">
        <f>IFERROR(IF('BHPC MANAGER'!$EE335="","",INDEX(inventory[ESISTENZA],MATCH('BHPC MANAGER'!$EE335,inventory[SKU],0))),0)</f>
        <v/>
      </c>
      <c r="EH335" s="442"/>
      <c r="EI335" s="442" t="str">
        <f t="shared" si="23"/>
        <v/>
      </c>
      <c r="EJ335" s="443"/>
      <c r="EK335" s="444" t="str">
        <f t="shared" si="24"/>
        <v/>
      </c>
    </row>
    <row r="336" spans="135:141" x14ac:dyDescent="0.35">
      <c r="EE336" s="445" t="str" cm="1">
        <f t="array" ref="EE336">IFERROR(IF($EC$9="",IF($EC$11="",IF($EC$13="",INDEX(bhpc_data[sku],SMALL(MATCH(ROW(bhpc_data[sku]),ROW(bhpc_data[sku])),ROWS($A$15:A341)+$B$3)),INDEX(bhpc_data[sku],SMALL(IF(ISNUMBER(MATCH(bhpc_data[size],$EC$13,0)),MATCH(ROW(bhpc_data[sku]),ROW(bhpc_data[sku])),""),ROWS($A$15:A341)+$B$3))),IF($EC$13="",INDEX(bhpc_data[sku],SMALL(IF(ISNUMBER(MATCH(bhpc_data[sex],$EC$11,0)),MATCH(ROW(bhpc_data[sku]),ROW(bhpc_data[sku])),""),ROWS($A$15:A341)+$B$3)),INDEX(bhpc_data[sku],SMALL(IF(ISNUMBER(MATCH(bhpc_data[sex],$EC$11,0)*MATCH(bhpc_data[size],$EC$13,0)),MATCH(ROW(bhpc_data[sku]),ROW(bhpc_data[sku])),""),ROWS($A$15:A341)+$B$3)))),IF($EC$11="",IF($EC$13="",INDEX(bhpc_data[sku],SMALL(IF(ISNUMBER(MATCH(bhpc_data[category],$EC$9,0)),MATCH(ROW(bhpc_data[sku]),ROW(bhpc_data[sku])),""),ROWS($A$15:A341)+$B$3)),INDEX(bhpc_data[sku],SMALL(IF(ISNUMBER(MATCH(bhpc_data[category],$EC$9,0)*MATCH(bhpc_data[size],$EC$13,0)),MATCH(ROW(bhpc_data[sku]),ROW(bhpc_data[sku])),""),ROWS($A$15:A341)+$B$3))),IF($EC$13="",INDEX(bhpc_data[sku],SMALL(IF(ISNUMBER(MATCH(bhpc_data[category],$EC$9,0)*MATCH(bhpc_data[sex],$EC$11,0)),MATCH(ROW(bhpc_data[sku]),ROW(bhpc_data[sku])),""),ROWS($A$15:A341)+$B$3)),INDEX(bhpc_data[sku],SMALL(IF(ISNUMBER(MATCH(bhpc_data[category],$EC$9,0)*MATCH(bhpc_data[sex],$EC$11,0)*MATCH(bhpc_data[size],$EC$13,0)),MATCH(ROW(bhpc_data[sku]),ROW(bhpc_data[sku])),""),ROWS($A$15:A341)+$B$3))))),"")</f>
        <v/>
      </c>
      <c r="EF336" s="446" t="str" cm="1">
        <f t="array" ref="EF336">IFERROR(IF($EC$9="",IF($EC$11="",IF($EC$13="",INDEX(bhpc_data[description],SMALL(MATCH(ROW(bhpc_data[sku]),ROW(bhpc_data[sku])),ROWS($A$15:A341)+$B$3)),INDEX(bhpc_data[description],SMALL(IF(ISNUMBER(MATCH(bhpc_data[size],$EC$13,0)),MATCH(ROW(bhpc_data[sku]),ROW(bhpc_data[sku])),""),ROWS($A$15:A341)+$B$3))),IF($EC$13="",INDEX(bhpc_data[description],SMALL(IF(ISNUMBER(MATCH(bhpc_data[sex],$EC$11,0)),MATCH(ROW(bhpc_data[sku]),ROW(bhpc_data[sku])),""),ROWS($A$15:A341)+$B$3)),INDEX(bhpc_data[description],SMALL(IF(ISNUMBER(MATCH(bhpc_data[sex],$EC$11,0)*MATCH(bhpc_data[size],$EC$13,0)),MATCH(ROW(bhpc_data[sku]),ROW(bhpc_data[sku])),""),ROWS($A$15:A341)+$B$3)))),IF($EC$11="",IF($EC$13="",INDEX(bhpc_data[description],SMALL(IF(ISNUMBER(MATCH(bhpc_data[category],$EC$9,0)),MATCH(ROW(bhpc_data[sku]),ROW(bhpc_data[sku])),""),ROWS($A$15:A341)+$B$3)),INDEX(bhpc_data[description],SMALL(IF(ISNUMBER(MATCH(bhpc_data[category],$EC$9,0)*MATCH(bhpc_data[size],$EC$13,0)),MATCH(ROW(bhpc_data[sku]),ROW(bhpc_data[sku])),""),ROWS($A$15:A341)+$B$3))),IF($EC$13="",INDEX(bhpc_data[description],SMALL(IF(ISNUMBER(MATCH(bhpc_data[category],$EC$9,0)*MATCH(bhpc_data[sex],$EC$11,0)),MATCH(ROW(bhpc_data[sku]),ROW(bhpc_data[sku])),""),ROWS($A$15:A341)+$B$3)),INDEX(bhpc_data[description],SMALL(IF(ISNUMBER(MATCH(bhpc_data[category],$EC$9,0)*MATCH(bhpc_data[sex],$EC$11,0)*MATCH(bhpc_data[size],$EC$13,0)),MATCH(ROW(bhpc_data[sku]),ROW(bhpc_data[sku])),""),ROWS($A$15:A341)+$B$3))))),"")</f>
        <v/>
      </c>
      <c r="EG336" s="447" t="str">
        <f>IFERROR(IF('BHPC MANAGER'!$EE336="","",INDEX(inventory[ESISTENZA],MATCH('BHPC MANAGER'!$EE336,inventory[SKU],0))),0)</f>
        <v/>
      </c>
      <c r="EH336" s="448"/>
      <c r="EI336" s="448" t="str">
        <f t="shared" si="23"/>
        <v/>
      </c>
      <c r="EJ336" s="449"/>
      <c r="EK336" s="450" t="str">
        <f t="shared" si="24"/>
        <v/>
      </c>
    </row>
    <row r="337" spans="135:141" x14ac:dyDescent="0.35">
      <c r="EE337" s="439" t="str" cm="1">
        <f t="array" ref="EE337">IFERROR(IF($EC$9="",IF($EC$11="",IF($EC$13="",INDEX(bhpc_data[sku],SMALL(MATCH(ROW(bhpc_data[sku]),ROW(bhpc_data[sku])),ROWS($A$15:A342)+$B$3)),INDEX(bhpc_data[sku],SMALL(IF(ISNUMBER(MATCH(bhpc_data[size],$EC$13,0)),MATCH(ROW(bhpc_data[sku]),ROW(bhpc_data[sku])),""),ROWS($A$15:A342)+$B$3))),IF($EC$13="",INDEX(bhpc_data[sku],SMALL(IF(ISNUMBER(MATCH(bhpc_data[sex],$EC$11,0)),MATCH(ROW(bhpc_data[sku]),ROW(bhpc_data[sku])),""),ROWS($A$15:A342)+$B$3)),INDEX(bhpc_data[sku],SMALL(IF(ISNUMBER(MATCH(bhpc_data[sex],$EC$11,0)*MATCH(bhpc_data[size],$EC$13,0)),MATCH(ROW(bhpc_data[sku]),ROW(bhpc_data[sku])),""),ROWS($A$15:A342)+$B$3)))),IF($EC$11="",IF($EC$13="",INDEX(bhpc_data[sku],SMALL(IF(ISNUMBER(MATCH(bhpc_data[category],$EC$9,0)),MATCH(ROW(bhpc_data[sku]),ROW(bhpc_data[sku])),""),ROWS($A$15:A342)+$B$3)),INDEX(bhpc_data[sku],SMALL(IF(ISNUMBER(MATCH(bhpc_data[category],$EC$9,0)*MATCH(bhpc_data[size],$EC$13,0)),MATCH(ROW(bhpc_data[sku]),ROW(bhpc_data[sku])),""),ROWS($A$15:A342)+$B$3))),IF($EC$13="",INDEX(bhpc_data[sku],SMALL(IF(ISNUMBER(MATCH(bhpc_data[category],$EC$9,0)*MATCH(bhpc_data[sex],$EC$11,0)),MATCH(ROW(bhpc_data[sku]),ROW(bhpc_data[sku])),""),ROWS($A$15:A342)+$B$3)),INDEX(bhpc_data[sku],SMALL(IF(ISNUMBER(MATCH(bhpc_data[category],$EC$9,0)*MATCH(bhpc_data[sex],$EC$11,0)*MATCH(bhpc_data[size],$EC$13,0)),MATCH(ROW(bhpc_data[sku]),ROW(bhpc_data[sku])),""),ROWS($A$15:A342)+$B$3))))),"")</f>
        <v/>
      </c>
      <c r="EF337" s="440" t="str" cm="1">
        <f t="array" ref="EF337">IFERROR(IF($EC$9="",IF($EC$11="",IF($EC$13="",INDEX(bhpc_data[description],SMALL(MATCH(ROW(bhpc_data[sku]),ROW(bhpc_data[sku])),ROWS($A$15:A342)+$B$3)),INDEX(bhpc_data[description],SMALL(IF(ISNUMBER(MATCH(bhpc_data[size],$EC$13,0)),MATCH(ROW(bhpc_data[sku]),ROW(bhpc_data[sku])),""),ROWS($A$15:A342)+$B$3))),IF($EC$13="",INDEX(bhpc_data[description],SMALL(IF(ISNUMBER(MATCH(bhpc_data[sex],$EC$11,0)),MATCH(ROW(bhpc_data[sku]),ROW(bhpc_data[sku])),""),ROWS($A$15:A342)+$B$3)),INDEX(bhpc_data[description],SMALL(IF(ISNUMBER(MATCH(bhpc_data[sex],$EC$11,0)*MATCH(bhpc_data[size],$EC$13,0)),MATCH(ROW(bhpc_data[sku]),ROW(bhpc_data[sku])),""),ROWS($A$15:A342)+$B$3)))),IF($EC$11="",IF($EC$13="",INDEX(bhpc_data[description],SMALL(IF(ISNUMBER(MATCH(bhpc_data[category],$EC$9,0)),MATCH(ROW(bhpc_data[sku]),ROW(bhpc_data[sku])),""),ROWS($A$15:A342)+$B$3)),INDEX(bhpc_data[description],SMALL(IF(ISNUMBER(MATCH(bhpc_data[category],$EC$9,0)*MATCH(bhpc_data[size],$EC$13,0)),MATCH(ROW(bhpc_data[sku]),ROW(bhpc_data[sku])),""),ROWS($A$15:A342)+$B$3))),IF($EC$13="",INDEX(bhpc_data[description],SMALL(IF(ISNUMBER(MATCH(bhpc_data[category],$EC$9,0)*MATCH(bhpc_data[sex],$EC$11,0)),MATCH(ROW(bhpc_data[sku]),ROW(bhpc_data[sku])),""),ROWS($A$15:A342)+$B$3)),INDEX(bhpc_data[description],SMALL(IF(ISNUMBER(MATCH(bhpc_data[category],$EC$9,0)*MATCH(bhpc_data[sex],$EC$11,0)*MATCH(bhpc_data[size],$EC$13,0)),MATCH(ROW(bhpc_data[sku]),ROW(bhpc_data[sku])),""),ROWS($A$15:A342)+$B$3))))),"")</f>
        <v/>
      </c>
      <c r="EG337" s="441" t="str">
        <f>IFERROR(IF('BHPC MANAGER'!$EE337="","",INDEX(inventory[ESISTENZA],MATCH('BHPC MANAGER'!$EE337,inventory[SKU],0))),0)</f>
        <v/>
      </c>
      <c r="EH337" s="442"/>
      <c r="EI337" s="442" t="str">
        <f t="shared" si="23"/>
        <v/>
      </c>
      <c r="EJ337" s="443"/>
      <c r="EK337" s="444" t="str">
        <f t="shared" si="24"/>
        <v/>
      </c>
    </row>
    <row r="338" spans="135:141" x14ac:dyDescent="0.35">
      <c r="EE338" s="445" t="str" cm="1">
        <f t="array" ref="EE338">IFERROR(IF($EC$9="",IF($EC$11="",IF($EC$13="",INDEX(bhpc_data[sku],SMALL(MATCH(ROW(bhpc_data[sku]),ROW(bhpc_data[sku])),ROWS($A$15:A343)+$B$3)),INDEX(bhpc_data[sku],SMALL(IF(ISNUMBER(MATCH(bhpc_data[size],$EC$13,0)),MATCH(ROW(bhpc_data[sku]),ROW(bhpc_data[sku])),""),ROWS($A$15:A343)+$B$3))),IF($EC$13="",INDEX(bhpc_data[sku],SMALL(IF(ISNUMBER(MATCH(bhpc_data[sex],$EC$11,0)),MATCH(ROW(bhpc_data[sku]),ROW(bhpc_data[sku])),""),ROWS($A$15:A343)+$B$3)),INDEX(bhpc_data[sku],SMALL(IF(ISNUMBER(MATCH(bhpc_data[sex],$EC$11,0)*MATCH(bhpc_data[size],$EC$13,0)),MATCH(ROW(bhpc_data[sku]),ROW(bhpc_data[sku])),""),ROWS($A$15:A343)+$B$3)))),IF($EC$11="",IF($EC$13="",INDEX(bhpc_data[sku],SMALL(IF(ISNUMBER(MATCH(bhpc_data[category],$EC$9,0)),MATCH(ROW(bhpc_data[sku]),ROW(bhpc_data[sku])),""),ROWS($A$15:A343)+$B$3)),INDEX(bhpc_data[sku],SMALL(IF(ISNUMBER(MATCH(bhpc_data[category],$EC$9,0)*MATCH(bhpc_data[size],$EC$13,0)),MATCH(ROW(bhpc_data[sku]),ROW(bhpc_data[sku])),""),ROWS($A$15:A343)+$B$3))),IF($EC$13="",INDEX(bhpc_data[sku],SMALL(IF(ISNUMBER(MATCH(bhpc_data[category],$EC$9,0)*MATCH(bhpc_data[sex],$EC$11,0)),MATCH(ROW(bhpc_data[sku]),ROW(bhpc_data[sku])),""),ROWS($A$15:A343)+$B$3)),INDEX(bhpc_data[sku],SMALL(IF(ISNUMBER(MATCH(bhpc_data[category],$EC$9,0)*MATCH(bhpc_data[sex],$EC$11,0)*MATCH(bhpc_data[size],$EC$13,0)),MATCH(ROW(bhpc_data[sku]),ROW(bhpc_data[sku])),""),ROWS($A$15:A343)+$B$3))))),"")</f>
        <v/>
      </c>
      <c r="EF338" s="446" t="str" cm="1">
        <f t="array" ref="EF338">IFERROR(IF($EC$9="",IF($EC$11="",IF($EC$13="",INDEX(bhpc_data[description],SMALL(MATCH(ROW(bhpc_data[sku]),ROW(bhpc_data[sku])),ROWS($A$15:A343)+$B$3)),INDEX(bhpc_data[description],SMALL(IF(ISNUMBER(MATCH(bhpc_data[size],$EC$13,0)),MATCH(ROW(bhpc_data[sku]),ROW(bhpc_data[sku])),""),ROWS($A$15:A343)+$B$3))),IF($EC$13="",INDEX(bhpc_data[description],SMALL(IF(ISNUMBER(MATCH(bhpc_data[sex],$EC$11,0)),MATCH(ROW(bhpc_data[sku]),ROW(bhpc_data[sku])),""),ROWS($A$15:A343)+$B$3)),INDEX(bhpc_data[description],SMALL(IF(ISNUMBER(MATCH(bhpc_data[sex],$EC$11,0)*MATCH(bhpc_data[size],$EC$13,0)),MATCH(ROW(bhpc_data[sku]),ROW(bhpc_data[sku])),""),ROWS($A$15:A343)+$B$3)))),IF($EC$11="",IF($EC$13="",INDEX(bhpc_data[description],SMALL(IF(ISNUMBER(MATCH(bhpc_data[category],$EC$9,0)),MATCH(ROW(bhpc_data[sku]),ROW(bhpc_data[sku])),""),ROWS($A$15:A343)+$B$3)),INDEX(bhpc_data[description],SMALL(IF(ISNUMBER(MATCH(bhpc_data[category],$EC$9,0)*MATCH(bhpc_data[size],$EC$13,0)),MATCH(ROW(bhpc_data[sku]),ROW(bhpc_data[sku])),""),ROWS($A$15:A343)+$B$3))),IF($EC$13="",INDEX(bhpc_data[description],SMALL(IF(ISNUMBER(MATCH(bhpc_data[category],$EC$9,0)*MATCH(bhpc_data[sex],$EC$11,0)),MATCH(ROW(bhpc_data[sku]),ROW(bhpc_data[sku])),""),ROWS($A$15:A343)+$B$3)),INDEX(bhpc_data[description],SMALL(IF(ISNUMBER(MATCH(bhpc_data[category],$EC$9,0)*MATCH(bhpc_data[sex],$EC$11,0)*MATCH(bhpc_data[size],$EC$13,0)),MATCH(ROW(bhpc_data[sku]),ROW(bhpc_data[sku])),""),ROWS($A$15:A343)+$B$3))))),"")</f>
        <v/>
      </c>
      <c r="EG338" s="447" t="str">
        <f>IFERROR(IF('BHPC MANAGER'!$EE338="","",INDEX(inventory[ESISTENZA],MATCH('BHPC MANAGER'!$EE338,inventory[SKU],0))),0)</f>
        <v/>
      </c>
      <c r="EH338" s="448"/>
      <c r="EI338" s="448" t="str">
        <f t="shared" si="23"/>
        <v/>
      </c>
      <c r="EJ338" s="449"/>
      <c r="EK338" s="450" t="str">
        <f t="shared" si="24"/>
        <v/>
      </c>
    </row>
    <row r="339" spans="135:141" x14ac:dyDescent="0.35">
      <c r="EE339" s="439" t="str" cm="1">
        <f t="array" ref="EE339">IFERROR(IF($EC$9="",IF($EC$11="",IF($EC$13="",INDEX(bhpc_data[sku],SMALL(MATCH(ROW(bhpc_data[sku]),ROW(bhpc_data[sku])),ROWS($A$15:A344)+$B$3)),INDEX(bhpc_data[sku],SMALL(IF(ISNUMBER(MATCH(bhpc_data[size],$EC$13,0)),MATCH(ROW(bhpc_data[sku]),ROW(bhpc_data[sku])),""),ROWS($A$15:A344)+$B$3))),IF($EC$13="",INDEX(bhpc_data[sku],SMALL(IF(ISNUMBER(MATCH(bhpc_data[sex],$EC$11,0)),MATCH(ROW(bhpc_data[sku]),ROW(bhpc_data[sku])),""),ROWS($A$15:A344)+$B$3)),INDEX(bhpc_data[sku],SMALL(IF(ISNUMBER(MATCH(bhpc_data[sex],$EC$11,0)*MATCH(bhpc_data[size],$EC$13,0)),MATCH(ROW(bhpc_data[sku]),ROW(bhpc_data[sku])),""),ROWS($A$15:A344)+$B$3)))),IF($EC$11="",IF($EC$13="",INDEX(bhpc_data[sku],SMALL(IF(ISNUMBER(MATCH(bhpc_data[category],$EC$9,0)),MATCH(ROW(bhpc_data[sku]),ROW(bhpc_data[sku])),""),ROWS($A$15:A344)+$B$3)),INDEX(bhpc_data[sku],SMALL(IF(ISNUMBER(MATCH(bhpc_data[category],$EC$9,0)*MATCH(bhpc_data[size],$EC$13,0)),MATCH(ROW(bhpc_data[sku]),ROW(bhpc_data[sku])),""),ROWS($A$15:A344)+$B$3))),IF($EC$13="",INDEX(bhpc_data[sku],SMALL(IF(ISNUMBER(MATCH(bhpc_data[category],$EC$9,0)*MATCH(bhpc_data[sex],$EC$11,0)),MATCH(ROW(bhpc_data[sku]),ROW(bhpc_data[sku])),""),ROWS($A$15:A344)+$B$3)),INDEX(bhpc_data[sku],SMALL(IF(ISNUMBER(MATCH(bhpc_data[category],$EC$9,0)*MATCH(bhpc_data[sex],$EC$11,0)*MATCH(bhpc_data[size],$EC$13,0)),MATCH(ROW(bhpc_data[sku]),ROW(bhpc_data[sku])),""),ROWS($A$15:A344)+$B$3))))),"")</f>
        <v/>
      </c>
      <c r="EF339" s="440" t="str" cm="1">
        <f t="array" ref="EF339">IFERROR(IF($EC$9="",IF($EC$11="",IF($EC$13="",INDEX(bhpc_data[description],SMALL(MATCH(ROW(bhpc_data[sku]),ROW(bhpc_data[sku])),ROWS($A$15:A344)+$B$3)),INDEX(bhpc_data[description],SMALL(IF(ISNUMBER(MATCH(bhpc_data[size],$EC$13,0)),MATCH(ROW(bhpc_data[sku]),ROW(bhpc_data[sku])),""),ROWS($A$15:A344)+$B$3))),IF($EC$13="",INDEX(bhpc_data[description],SMALL(IF(ISNUMBER(MATCH(bhpc_data[sex],$EC$11,0)),MATCH(ROW(bhpc_data[sku]),ROW(bhpc_data[sku])),""),ROWS($A$15:A344)+$B$3)),INDEX(bhpc_data[description],SMALL(IF(ISNUMBER(MATCH(bhpc_data[sex],$EC$11,0)*MATCH(bhpc_data[size],$EC$13,0)),MATCH(ROW(bhpc_data[sku]),ROW(bhpc_data[sku])),""),ROWS($A$15:A344)+$B$3)))),IF($EC$11="",IF($EC$13="",INDEX(bhpc_data[description],SMALL(IF(ISNUMBER(MATCH(bhpc_data[category],$EC$9,0)),MATCH(ROW(bhpc_data[sku]),ROW(bhpc_data[sku])),""),ROWS($A$15:A344)+$B$3)),INDEX(bhpc_data[description],SMALL(IF(ISNUMBER(MATCH(bhpc_data[category],$EC$9,0)*MATCH(bhpc_data[size],$EC$13,0)),MATCH(ROW(bhpc_data[sku]),ROW(bhpc_data[sku])),""),ROWS($A$15:A344)+$B$3))),IF($EC$13="",INDEX(bhpc_data[description],SMALL(IF(ISNUMBER(MATCH(bhpc_data[category],$EC$9,0)*MATCH(bhpc_data[sex],$EC$11,0)),MATCH(ROW(bhpc_data[sku]),ROW(bhpc_data[sku])),""),ROWS($A$15:A344)+$B$3)),INDEX(bhpc_data[description],SMALL(IF(ISNUMBER(MATCH(bhpc_data[category],$EC$9,0)*MATCH(bhpc_data[sex],$EC$11,0)*MATCH(bhpc_data[size],$EC$13,0)),MATCH(ROW(bhpc_data[sku]),ROW(bhpc_data[sku])),""),ROWS($A$15:A344)+$B$3))))),"")</f>
        <v/>
      </c>
      <c r="EG339" s="441" t="str">
        <f>IFERROR(IF('BHPC MANAGER'!$EE339="","",INDEX(inventory[ESISTENZA],MATCH('BHPC MANAGER'!$EE339,inventory[SKU],0))),0)</f>
        <v/>
      </c>
      <c r="EH339" s="442"/>
      <c r="EI339" s="442" t="str">
        <f t="shared" si="23"/>
        <v/>
      </c>
      <c r="EJ339" s="443"/>
      <c r="EK339" s="444" t="str">
        <f t="shared" si="24"/>
        <v/>
      </c>
    </row>
    <row r="340" spans="135:141" x14ac:dyDescent="0.35">
      <c r="EE340" s="445" t="str" cm="1">
        <f t="array" ref="EE340">IFERROR(IF($EC$9="",IF($EC$11="",IF($EC$13="",INDEX(bhpc_data[sku],SMALL(MATCH(ROW(bhpc_data[sku]),ROW(bhpc_data[sku])),ROWS($A$15:A345)+$B$3)),INDEX(bhpc_data[sku],SMALL(IF(ISNUMBER(MATCH(bhpc_data[size],$EC$13,0)),MATCH(ROW(bhpc_data[sku]),ROW(bhpc_data[sku])),""),ROWS($A$15:A345)+$B$3))),IF($EC$13="",INDEX(bhpc_data[sku],SMALL(IF(ISNUMBER(MATCH(bhpc_data[sex],$EC$11,0)),MATCH(ROW(bhpc_data[sku]),ROW(bhpc_data[sku])),""),ROWS($A$15:A345)+$B$3)),INDEX(bhpc_data[sku],SMALL(IF(ISNUMBER(MATCH(bhpc_data[sex],$EC$11,0)*MATCH(bhpc_data[size],$EC$13,0)),MATCH(ROW(bhpc_data[sku]),ROW(bhpc_data[sku])),""),ROWS($A$15:A345)+$B$3)))),IF($EC$11="",IF($EC$13="",INDEX(bhpc_data[sku],SMALL(IF(ISNUMBER(MATCH(bhpc_data[category],$EC$9,0)),MATCH(ROW(bhpc_data[sku]),ROW(bhpc_data[sku])),""),ROWS($A$15:A345)+$B$3)),INDEX(bhpc_data[sku],SMALL(IF(ISNUMBER(MATCH(bhpc_data[category],$EC$9,0)*MATCH(bhpc_data[size],$EC$13,0)),MATCH(ROW(bhpc_data[sku]),ROW(bhpc_data[sku])),""),ROWS($A$15:A345)+$B$3))),IF($EC$13="",INDEX(bhpc_data[sku],SMALL(IF(ISNUMBER(MATCH(bhpc_data[category],$EC$9,0)*MATCH(bhpc_data[sex],$EC$11,0)),MATCH(ROW(bhpc_data[sku]),ROW(bhpc_data[sku])),""),ROWS($A$15:A345)+$B$3)),INDEX(bhpc_data[sku],SMALL(IF(ISNUMBER(MATCH(bhpc_data[category],$EC$9,0)*MATCH(bhpc_data[sex],$EC$11,0)*MATCH(bhpc_data[size],$EC$13,0)),MATCH(ROW(bhpc_data[sku]),ROW(bhpc_data[sku])),""),ROWS($A$15:A345)+$B$3))))),"")</f>
        <v/>
      </c>
      <c r="EF340" s="446" t="str" cm="1">
        <f t="array" ref="EF340">IFERROR(IF($EC$9="",IF($EC$11="",IF($EC$13="",INDEX(bhpc_data[description],SMALL(MATCH(ROW(bhpc_data[sku]),ROW(bhpc_data[sku])),ROWS($A$15:A345)+$B$3)),INDEX(bhpc_data[description],SMALL(IF(ISNUMBER(MATCH(bhpc_data[size],$EC$13,0)),MATCH(ROW(bhpc_data[sku]),ROW(bhpc_data[sku])),""),ROWS($A$15:A345)+$B$3))),IF($EC$13="",INDEX(bhpc_data[description],SMALL(IF(ISNUMBER(MATCH(bhpc_data[sex],$EC$11,0)),MATCH(ROW(bhpc_data[sku]),ROW(bhpc_data[sku])),""),ROWS($A$15:A345)+$B$3)),INDEX(bhpc_data[description],SMALL(IF(ISNUMBER(MATCH(bhpc_data[sex],$EC$11,0)*MATCH(bhpc_data[size],$EC$13,0)),MATCH(ROW(bhpc_data[sku]),ROW(bhpc_data[sku])),""),ROWS($A$15:A345)+$B$3)))),IF($EC$11="",IF($EC$13="",INDEX(bhpc_data[description],SMALL(IF(ISNUMBER(MATCH(bhpc_data[category],$EC$9,0)),MATCH(ROW(bhpc_data[sku]),ROW(bhpc_data[sku])),""),ROWS($A$15:A345)+$B$3)),INDEX(bhpc_data[description],SMALL(IF(ISNUMBER(MATCH(bhpc_data[category],$EC$9,0)*MATCH(bhpc_data[size],$EC$13,0)),MATCH(ROW(bhpc_data[sku]),ROW(bhpc_data[sku])),""),ROWS($A$15:A345)+$B$3))),IF($EC$13="",INDEX(bhpc_data[description],SMALL(IF(ISNUMBER(MATCH(bhpc_data[category],$EC$9,0)*MATCH(bhpc_data[sex],$EC$11,0)),MATCH(ROW(bhpc_data[sku]),ROW(bhpc_data[sku])),""),ROWS($A$15:A345)+$B$3)),INDEX(bhpc_data[description],SMALL(IF(ISNUMBER(MATCH(bhpc_data[category],$EC$9,0)*MATCH(bhpc_data[sex],$EC$11,0)*MATCH(bhpc_data[size],$EC$13,0)),MATCH(ROW(bhpc_data[sku]),ROW(bhpc_data[sku])),""),ROWS($A$15:A345)+$B$3))))),"")</f>
        <v/>
      </c>
      <c r="EG340" s="447" t="str">
        <f>IFERROR(IF('BHPC MANAGER'!$EE340="","",INDEX(inventory[ESISTENZA],MATCH('BHPC MANAGER'!$EE340,inventory[SKU],0))),0)</f>
        <v/>
      </c>
      <c r="EH340" s="448"/>
      <c r="EI340" s="448" t="str">
        <f t="shared" si="23"/>
        <v/>
      </c>
      <c r="EJ340" s="449"/>
      <c r="EK340" s="450" t="str">
        <f t="shared" si="24"/>
        <v/>
      </c>
    </row>
    <row r="341" spans="135:141" x14ac:dyDescent="0.35">
      <c r="EE341" s="439" t="str" cm="1">
        <f t="array" ref="EE341">IFERROR(IF($EC$9="",IF($EC$11="",IF($EC$13="",INDEX(bhpc_data[sku],SMALL(MATCH(ROW(bhpc_data[sku]),ROW(bhpc_data[sku])),ROWS($A$15:A346)+$B$3)),INDEX(bhpc_data[sku],SMALL(IF(ISNUMBER(MATCH(bhpc_data[size],$EC$13,0)),MATCH(ROW(bhpc_data[sku]),ROW(bhpc_data[sku])),""),ROWS($A$15:A346)+$B$3))),IF($EC$13="",INDEX(bhpc_data[sku],SMALL(IF(ISNUMBER(MATCH(bhpc_data[sex],$EC$11,0)),MATCH(ROW(bhpc_data[sku]),ROW(bhpc_data[sku])),""),ROWS($A$15:A346)+$B$3)),INDEX(bhpc_data[sku],SMALL(IF(ISNUMBER(MATCH(bhpc_data[sex],$EC$11,0)*MATCH(bhpc_data[size],$EC$13,0)),MATCH(ROW(bhpc_data[sku]),ROW(bhpc_data[sku])),""),ROWS($A$15:A346)+$B$3)))),IF($EC$11="",IF($EC$13="",INDEX(bhpc_data[sku],SMALL(IF(ISNUMBER(MATCH(bhpc_data[category],$EC$9,0)),MATCH(ROW(bhpc_data[sku]),ROW(bhpc_data[sku])),""),ROWS($A$15:A346)+$B$3)),INDEX(bhpc_data[sku],SMALL(IF(ISNUMBER(MATCH(bhpc_data[category],$EC$9,0)*MATCH(bhpc_data[size],$EC$13,0)),MATCH(ROW(bhpc_data[sku]),ROW(bhpc_data[sku])),""),ROWS($A$15:A346)+$B$3))),IF($EC$13="",INDEX(bhpc_data[sku],SMALL(IF(ISNUMBER(MATCH(bhpc_data[category],$EC$9,0)*MATCH(bhpc_data[sex],$EC$11,0)),MATCH(ROW(bhpc_data[sku]),ROW(bhpc_data[sku])),""),ROWS($A$15:A346)+$B$3)),INDEX(bhpc_data[sku],SMALL(IF(ISNUMBER(MATCH(bhpc_data[category],$EC$9,0)*MATCH(bhpc_data[sex],$EC$11,0)*MATCH(bhpc_data[size],$EC$13,0)),MATCH(ROW(bhpc_data[sku]),ROW(bhpc_data[sku])),""),ROWS($A$15:A346)+$B$3))))),"")</f>
        <v/>
      </c>
      <c r="EF341" s="440" t="str" cm="1">
        <f t="array" ref="EF341">IFERROR(IF($EC$9="",IF($EC$11="",IF($EC$13="",INDEX(bhpc_data[description],SMALL(MATCH(ROW(bhpc_data[sku]),ROW(bhpc_data[sku])),ROWS($A$15:A346)+$B$3)),INDEX(bhpc_data[description],SMALL(IF(ISNUMBER(MATCH(bhpc_data[size],$EC$13,0)),MATCH(ROW(bhpc_data[sku]),ROW(bhpc_data[sku])),""),ROWS($A$15:A346)+$B$3))),IF($EC$13="",INDEX(bhpc_data[description],SMALL(IF(ISNUMBER(MATCH(bhpc_data[sex],$EC$11,0)),MATCH(ROW(bhpc_data[sku]),ROW(bhpc_data[sku])),""),ROWS($A$15:A346)+$B$3)),INDEX(bhpc_data[description],SMALL(IF(ISNUMBER(MATCH(bhpc_data[sex],$EC$11,0)*MATCH(bhpc_data[size],$EC$13,0)),MATCH(ROW(bhpc_data[sku]),ROW(bhpc_data[sku])),""),ROWS($A$15:A346)+$B$3)))),IF($EC$11="",IF($EC$13="",INDEX(bhpc_data[description],SMALL(IF(ISNUMBER(MATCH(bhpc_data[category],$EC$9,0)),MATCH(ROW(bhpc_data[sku]),ROW(bhpc_data[sku])),""),ROWS($A$15:A346)+$B$3)),INDEX(bhpc_data[description],SMALL(IF(ISNUMBER(MATCH(bhpc_data[category],$EC$9,0)*MATCH(bhpc_data[size],$EC$13,0)),MATCH(ROW(bhpc_data[sku]),ROW(bhpc_data[sku])),""),ROWS($A$15:A346)+$B$3))),IF($EC$13="",INDEX(bhpc_data[description],SMALL(IF(ISNUMBER(MATCH(bhpc_data[category],$EC$9,0)*MATCH(bhpc_data[sex],$EC$11,0)),MATCH(ROW(bhpc_data[sku]),ROW(bhpc_data[sku])),""),ROWS($A$15:A346)+$B$3)),INDEX(bhpc_data[description],SMALL(IF(ISNUMBER(MATCH(bhpc_data[category],$EC$9,0)*MATCH(bhpc_data[sex],$EC$11,0)*MATCH(bhpc_data[size],$EC$13,0)),MATCH(ROW(bhpc_data[sku]),ROW(bhpc_data[sku])),""),ROWS($A$15:A346)+$B$3))))),"")</f>
        <v/>
      </c>
      <c r="EG341" s="441" t="str">
        <f>IFERROR(IF('BHPC MANAGER'!$EE341="","",INDEX(inventory[ESISTENZA],MATCH('BHPC MANAGER'!$EE341,inventory[SKU],0))),0)</f>
        <v/>
      </c>
      <c r="EH341" s="442"/>
      <c r="EI341" s="442" t="str">
        <f t="shared" si="23"/>
        <v/>
      </c>
      <c r="EJ341" s="443"/>
      <c r="EK341" s="444" t="str">
        <f t="shared" si="24"/>
        <v/>
      </c>
    </row>
    <row r="342" spans="135:141" x14ac:dyDescent="0.35">
      <c r="EE342" s="445" t="str" cm="1">
        <f t="array" ref="EE342">IFERROR(IF($EC$9="",IF($EC$11="",IF($EC$13="",INDEX(bhpc_data[sku],SMALL(MATCH(ROW(bhpc_data[sku]),ROW(bhpc_data[sku])),ROWS($A$15:A347)+$B$3)),INDEX(bhpc_data[sku],SMALL(IF(ISNUMBER(MATCH(bhpc_data[size],$EC$13,0)),MATCH(ROW(bhpc_data[sku]),ROW(bhpc_data[sku])),""),ROWS($A$15:A347)+$B$3))),IF($EC$13="",INDEX(bhpc_data[sku],SMALL(IF(ISNUMBER(MATCH(bhpc_data[sex],$EC$11,0)),MATCH(ROW(bhpc_data[sku]),ROW(bhpc_data[sku])),""),ROWS($A$15:A347)+$B$3)),INDEX(bhpc_data[sku],SMALL(IF(ISNUMBER(MATCH(bhpc_data[sex],$EC$11,0)*MATCH(bhpc_data[size],$EC$13,0)),MATCH(ROW(bhpc_data[sku]),ROW(bhpc_data[sku])),""),ROWS($A$15:A347)+$B$3)))),IF($EC$11="",IF($EC$13="",INDEX(bhpc_data[sku],SMALL(IF(ISNUMBER(MATCH(bhpc_data[category],$EC$9,0)),MATCH(ROW(bhpc_data[sku]),ROW(bhpc_data[sku])),""),ROWS($A$15:A347)+$B$3)),INDEX(bhpc_data[sku],SMALL(IF(ISNUMBER(MATCH(bhpc_data[category],$EC$9,0)*MATCH(bhpc_data[size],$EC$13,0)),MATCH(ROW(bhpc_data[sku]),ROW(bhpc_data[sku])),""),ROWS($A$15:A347)+$B$3))),IF($EC$13="",INDEX(bhpc_data[sku],SMALL(IF(ISNUMBER(MATCH(bhpc_data[category],$EC$9,0)*MATCH(bhpc_data[sex],$EC$11,0)),MATCH(ROW(bhpc_data[sku]),ROW(bhpc_data[sku])),""),ROWS($A$15:A347)+$B$3)),INDEX(bhpc_data[sku],SMALL(IF(ISNUMBER(MATCH(bhpc_data[category],$EC$9,0)*MATCH(bhpc_data[sex],$EC$11,0)*MATCH(bhpc_data[size],$EC$13,0)),MATCH(ROW(bhpc_data[sku]),ROW(bhpc_data[sku])),""),ROWS($A$15:A347)+$B$3))))),"")</f>
        <v/>
      </c>
      <c r="EF342" s="446" t="str" cm="1">
        <f t="array" ref="EF342">IFERROR(IF($EC$9="",IF($EC$11="",IF($EC$13="",INDEX(bhpc_data[description],SMALL(MATCH(ROW(bhpc_data[sku]),ROW(bhpc_data[sku])),ROWS($A$15:A347)+$B$3)),INDEX(bhpc_data[description],SMALL(IF(ISNUMBER(MATCH(bhpc_data[size],$EC$13,0)),MATCH(ROW(bhpc_data[sku]),ROW(bhpc_data[sku])),""),ROWS($A$15:A347)+$B$3))),IF($EC$13="",INDEX(bhpc_data[description],SMALL(IF(ISNUMBER(MATCH(bhpc_data[sex],$EC$11,0)),MATCH(ROW(bhpc_data[sku]),ROW(bhpc_data[sku])),""),ROWS($A$15:A347)+$B$3)),INDEX(bhpc_data[description],SMALL(IF(ISNUMBER(MATCH(bhpc_data[sex],$EC$11,0)*MATCH(bhpc_data[size],$EC$13,0)),MATCH(ROW(bhpc_data[sku]),ROW(bhpc_data[sku])),""),ROWS($A$15:A347)+$B$3)))),IF($EC$11="",IF($EC$13="",INDEX(bhpc_data[description],SMALL(IF(ISNUMBER(MATCH(bhpc_data[category],$EC$9,0)),MATCH(ROW(bhpc_data[sku]),ROW(bhpc_data[sku])),""),ROWS($A$15:A347)+$B$3)),INDEX(bhpc_data[description],SMALL(IF(ISNUMBER(MATCH(bhpc_data[category],$EC$9,0)*MATCH(bhpc_data[size],$EC$13,0)),MATCH(ROW(bhpc_data[sku]),ROW(bhpc_data[sku])),""),ROWS($A$15:A347)+$B$3))),IF($EC$13="",INDEX(bhpc_data[description],SMALL(IF(ISNUMBER(MATCH(bhpc_data[category],$EC$9,0)*MATCH(bhpc_data[sex],$EC$11,0)),MATCH(ROW(bhpc_data[sku]),ROW(bhpc_data[sku])),""),ROWS($A$15:A347)+$B$3)),INDEX(bhpc_data[description],SMALL(IF(ISNUMBER(MATCH(bhpc_data[category],$EC$9,0)*MATCH(bhpc_data[sex],$EC$11,0)*MATCH(bhpc_data[size],$EC$13,0)),MATCH(ROW(bhpc_data[sku]),ROW(bhpc_data[sku])),""),ROWS($A$15:A347)+$B$3))))),"")</f>
        <v/>
      </c>
      <c r="EG342" s="447" t="str">
        <f>IFERROR(IF('BHPC MANAGER'!$EE342="","",INDEX(inventory[ESISTENZA],MATCH('BHPC MANAGER'!$EE342,inventory[SKU],0))),0)</f>
        <v/>
      </c>
      <c r="EH342" s="448"/>
      <c r="EI342" s="448" t="str">
        <f t="shared" si="23"/>
        <v/>
      </c>
      <c r="EJ342" s="449"/>
      <c r="EK342" s="450" t="str">
        <f t="shared" si="24"/>
        <v/>
      </c>
    </row>
    <row r="343" spans="135:141" x14ac:dyDescent="0.35">
      <c r="EE343" s="439" t="str" cm="1">
        <f t="array" ref="EE343">IFERROR(IF($EC$9="",IF($EC$11="",IF($EC$13="",INDEX(bhpc_data[sku],SMALL(MATCH(ROW(bhpc_data[sku]),ROW(bhpc_data[sku])),ROWS($A$15:A348)+$B$3)),INDEX(bhpc_data[sku],SMALL(IF(ISNUMBER(MATCH(bhpc_data[size],$EC$13,0)),MATCH(ROW(bhpc_data[sku]),ROW(bhpc_data[sku])),""),ROWS($A$15:A348)+$B$3))),IF($EC$13="",INDEX(bhpc_data[sku],SMALL(IF(ISNUMBER(MATCH(bhpc_data[sex],$EC$11,0)),MATCH(ROW(bhpc_data[sku]),ROW(bhpc_data[sku])),""),ROWS($A$15:A348)+$B$3)),INDEX(bhpc_data[sku],SMALL(IF(ISNUMBER(MATCH(bhpc_data[sex],$EC$11,0)*MATCH(bhpc_data[size],$EC$13,0)),MATCH(ROW(bhpc_data[sku]),ROW(bhpc_data[sku])),""),ROWS($A$15:A348)+$B$3)))),IF($EC$11="",IF($EC$13="",INDEX(bhpc_data[sku],SMALL(IF(ISNUMBER(MATCH(bhpc_data[category],$EC$9,0)),MATCH(ROW(bhpc_data[sku]),ROW(bhpc_data[sku])),""),ROWS($A$15:A348)+$B$3)),INDEX(bhpc_data[sku],SMALL(IF(ISNUMBER(MATCH(bhpc_data[category],$EC$9,0)*MATCH(bhpc_data[size],$EC$13,0)),MATCH(ROW(bhpc_data[sku]),ROW(bhpc_data[sku])),""),ROWS($A$15:A348)+$B$3))),IF($EC$13="",INDEX(bhpc_data[sku],SMALL(IF(ISNUMBER(MATCH(bhpc_data[category],$EC$9,0)*MATCH(bhpc_data[sex],$EC$11,0)),MATCH(ROW(bhpc_data[sku]),ROW(bhpc_data[sku])),""),ROWS($A$15:A348)+$B$3)),INDEX(bhpc_data[sku],SMALL(IF(ISNUMBER(MATCH(bhpc_data[category],$EC$9,0)*MATCH(bhpc_data[sex],$EC$11,0)*MATCH(bhpc_data[size],$EC$13,0)),MATCH(ROW(bhpc_data[sku]),ROW(bhpc_data[sku])),""),ROWS($A$15:A348)+$B$3))))),"")</f>
        <v/>
      </c>
      <c r="EF343" s="440" t="str" cm="1">
        <f t="array" ref="EF343">IFERROR(IF($EC$9="",IF($EC$11="",IF($EC$13="",INDEX(bhpc_data[description],SMALL(MATCH(ROW(bhpc_data[sku]),ROW(bhpc_data[sku])),ROWS($A$15:A348)+$B$3)),INDEX(bhpc_data[description],SMALL(IF(ISNUMBER(MATCH(bhpc_data[size],$EC$13,0)),MATCH(ROW(bhpc_data[sku]),ROW(bhpc_data[sku])),""),ROWS($A$15:A348)+$B$3))),IF($EC$13="",INDEX(bhpc_data[description],SMALL(IF(ISNUMBER(MATCH(bhpc_data[sex],$EC$11,0)),MATCH(ROW(bhpc_data[sku]),ROW(bhpc_data[sku])),""),ROWS($A$15:A348)+$B$3)),INDEX(bhpc_data[description],SMALL(IF(ISNUMBER(MATCH(bhpc_data[sex],$EC$11,0)*MATCH(bhpc_data[size],$EC$13,0)),MATCH(ROW(bhpc_data[sku]),ROW(bhpc_data[sku])),""),ROWS($A$15:A348)+$B$3)))),IF($EC$11="",IF($EC$13="",INDEX(bhpc_data[description],SMALL(IF(ISNUMBER(MATCH(bhpc_data[category],$EC$9,0)),MATCH(ROW(bhpc_data[sku]),ROW(bhpc_data[sku])),""),ROWS($A$15:A348)+$B$3)),INDEX(bhpc_data[description],SMALL(IF(ISNUMBER(MATCH(bhpc_data[category],$EC$9,0)*MATCH(bhpc_data[size],$EC$13,0)),MATCH(ROW(bhpc_data[sku]),ROW(bhpc_data[sku])),""),ROWS($A$15:A348)+$B$3))),IF($EC$13="",INDEX(bhpc_data[description],SMALL(IF(ISNUMBER(MATCH(bhpc_data[category],$EC$9,0)*MATCH(bhpc_data[sex],$EC$11,0)),MATCH(ROW(bhpc_data[sku]),ROW(bhpc_data[sku])),""),ROWS($A$15:A348)+$B$3)),INDEX(bhpc_data[description],SMALL(IF(ISNUMBER(MATCH(bhpc_data[category],$EC$9,0)*MATCH(bhpc_data[sex],$EC$11,0)*MATCH(bhpc_data[size],$EC$13,0)),MATCH(ROW(bhpc_data[sku]),ROW(bhpc_data[sku])),""),ROWS($A$15:A348)+$B$3))))),"")</f>
        <v/>
      </c>
      <c r="EG343" s="441" t="str">
        <f>IFERROR(IF('BHPC MANAGER'!$EE343="","",INDEX(inventory[ESISTENZA],MATCH('BHPC MANAGER'!$EE343,inventory[SKU],0))),0)</f>
        <v/>
      </c>
      <c r="EH343" s="442"/>
      <c r="EI343" s="442" t="str">
        <f t="shared" si="23"/>
        <v/>
      </c>
      <c r="EJ343" s="443"/>
      <c r="EK343" s="444" t="str">
        <f t="shared" si="24"/>
        <v/>
      </c>
    </row>
    <row r="344" spans="135:141" x14ac:dyDescent="0.35">
      <c r="EE344" s="445" t="str" cm="1">
        <f t="array" ref="EE344">IFERROR(IF($EC$9="",IF($EC$11="",IF($EC$13="",INDEX(bhpc_data[sku],SMALL(MATCH(ROW(bhpc_data[sku]),ROW(bhpc_data[sku])),ROWS($A$15:A349)+$B$3)),INDEX(bhpc_data[sku],SMALL(IF(ISNUMBER(MATCH(bhpc_data[size],$EC$13,0)),MATCH(ROW(bhpc_data[sku]),ROW(bhpc_data[sku])),""),ROWS($A$15:A349)+$B$3))),IF($EC$13="",INDEX(bhpc_data[sku],SMALL(IF(ISNUMBER(MATCH(bhpc_data[sex],$EC$11,0)),MATCH(ROW(bhpc_data[sku]),ROW(bhpc_data[sku])),""),ROWS($A$15:A349)+$B$3)),INDEX(bhpc_data[sku],SMALL(IF(ISNUMBER(MATCH(bhpc_data[sex],$EC$11,0)*MATCH(bhpc_data[size],$EC$13,0)),MATCH(ROW(bhpc_data[sku]),ROW(bhpc_data[sku])),""),ROWS($A$15:A349)+$B$3)))),IF($EC$11="",IF($EC$13="",INDEX(bhpc_data[sku],SMALL(IF(ISNUMBER(MATCH(bhpc_data[category],$EC$9,0)),MATCH(ROW(bhpc_data[sku]),ROW(bhpc_data[sku])),""),ROWS($A$15:A349)+$B$3)),INDEX(bhpc_data[sku],SMALL(IF(ISNUMBER(MATCH(bhpc_data[category],$EC$9,0)*MATCH(bhpc_data[size],$EC$13,0)),MATCH(ROW(bhpc_data[sku]),ROW(bhpc_data[sku])),""),ROWS($A$15:A349)+$B$3))),IF($EC$13="",INDEX(bhpc_data[sku],SMALL(IF(ISNUMBER(MATCH(bhpc_data[category],$EC$9,0)*MATCH(bhpc_data[sex],$EC$11,0)),MATCH(ROW(bhpc_data[sku]),ROW(bhpc_data[sku])),""),ROWS($A$15:A349)+$B$3)),INDEX(bhpc_data[sku],SMALL(IF(ISNUMBER(MATCH(bhpc_data[category],$EC$9,0)*MATCH(bhpc_data[sex],$EC$11,0)*MATCH(bhpc_data[size],$EC$13,0)),MATCH(ROW(bhpc_data[sku]),ROW(bhpc_data[sku])),""),ROWS($A$15:A349)+$B$3))))),"")</f>
        <v/>
      </c>
      <c r="EF344" s="446" t="str" cm="1">
        <f t="array" ref="EF344">IFERROR(IF($EC$9="",IF($EC$11="",IF($EC$13="",INDEX(bhpc_data[description],SMALL(MATCH(ROW(bhpc_data[sku]),ROW(bhpc_data[sku])),ROWS($A$15:A349)+$B$3)),INDEX(bhpc_data[description],SMALL(IF(ISNUMBER(MATCH(bhpc_data[size],$EC$13,0)),MATCH(ROW(bhpc_data[sku]),ROW(bhpc_data[sku])),""),ROWS($A$15:A349)+$B$3))),IF($EC$13="",INDEX(bhpc_data[description],SMALL(IF(ISNUMBER(MATCH(bhpc_data[sex],$EC$11,0)),MATCH(ROW(bhpc_data[sku]),ROW(bhpc_data[sku])),""),ROWS($A$15:A349)+$B$3)),INDEX(bhpc_data[description],SMALL(IF(ISNUMBER(MATCH(bhpc_data[sex],$EC$11,0)*MATCH(bhpc_data[size],$EC$13,0)),MATCH(ROW(bhpc_data[sku]),ROW(bhpc_data[sku])),""),ROWS($A$15:A349)+$B$3)))),IF($EC$11="",IF($EC$13="",INDEX(bhpc_data[description],SMALL(IF(ISNUMBER(MATCH(bhpc_data[category],$EC$9,0)),MATCH(ROW(bhpc_data[sku]),ROW(bhpc_data[sku])),""),ROWS($A$15:A349)+$B$3)),INDEX(bhpc_data[description],SMALL(IF(ISNUMBER(MATCH(bhpc_data[category],$EC$9,0)*MATCH(bhpc_data[size],$EC$13,0)),MATCH(ROW(bhpc_data[sku]),ROW(bhpc_data[sku])),""),ROWS($A$15:A349)+$B$3))),IF($EC$13="",INDEX(bhpc_data[description],SMALL(IF(ISNUMBER(MATCH(bhpc_data[category],$EC$9,0)*MATCH(bhpc_data[sex],$EC$11,0)),MATCH(ROW(bhpc_data[sku]),ROW(bhpc_data[sku])),""),ROWS($A$15:A349)+$B$3)),INDEX(bhpc_data[description],SMALL(IF(ISNUMBER(MATCH(bhpc_data[category],$EC$9,0)*MATCH(bhpc_data[sex],$EC$11,0)*MATCH(bhpc_data[size],$EC$13,0)),MATCH(ROW(bhpc_data[sku]),ROW(bhpc_data[sku])),""),ROWS($A$15:A349)+$B$3))))),"")</f>
        <v/>
      </c>
      <c r="EG344" s="447" t="str">
        <f>IFERROR(IF('BHPC MANAGER'!$EE344="","",INDEX(inventory[ESISTENZA],MATCH('BHPC MANAGER'!$EE344,inventory[SKU],0))),0)</f>
        <v/>
      </c>
      <c r="EH344" s="448"/>
      <c r="EI344" s="448" t="str">
        <f t="shared" si="23"/>
        <v/>
      </c>
      <c r="EJ344" s="449"/>
      <c r="EK344" s="450" t="str">
        <f t="shared" si="24"/>
        <v/>
      </c>
    </row>
    <row r="345" spans="135:141" x14ac:dyDescent="0.35">
      <c r="EE345" s="439" t="str" cm="1">
        <f t="array" ref="EE345">IFERROR(IF($EC$9="",IF($EC$11="",IF($EC$13="",INDEX(bhpc_data[sku],SMALL(MATCH(ROW(bhpc_data[sku]),ROW(bhpc_data[sku])),ROWS($A$15:A350)+$B$3)),INDEX(bhpc_data[sku],SMALL(IF(ISNUMBER(MATCH(bhpc_data[size],$EC$13,0)),MATCH(ROW(bhpc_data[sku]),ROW(bhpc_data[sku])),""),ROWS($A$15:A350)+$B$3))),IF($EC$13="",INDEX(bhpc_data[sku],SMALL(IF(ISNUMBER(MATCH(bhpc_data[sex],$EC$11,0)),MATCH(ROW(bhpc_data[sku]),ROW(bhpc_data[sku])),""),ROWS($A$15:A350)+$B$3)),INDEX(bhpc_data[sku],SMALL(IF(ISNUMBER(MATCH(bhpc_data[sex],$EC$11,0)*MATCH(bhpc_data[size],$EC$13,0)),MATCH(ROW(bhpc_data[sku]),ROW(bhpc_data[sku])),""),ROWS($A$15:A350)+$B$3)))),IF($EC$11="",IF($EC$13="",INDEX(bhpc_data[sku],SMALL(IF(ISNUMBER(MATCH(bhpc_data[category],$EC$9,0)),MATCH(ROW(bhpc_data[sku]),ROW(bhpc_data[sku])),""),ROWS($A$15:A350)+$B$3)),INDEX(bhpc_data[sku],SMALL(IF(ISNUMBER(MATCH(bhpc_data[category],$EC$9,0)*MATCH(bhpc_data[size],$EC$13,0)),MATCH(ROW(bhpc_data[sku]),ROW(bhpc_data[sku])),""),ROWS($A$15:A350)+$B$3))),IF($EC$13="",INDEX(bhpc_data[sku],SMALL(IF(ISNUMBER(MATCH(bhpc_data[category],$EC$9,0)*MATCH(bhpc_data[sex],$EC$11,0)),MATCH(ROW(bhpc_data[sku]),ROW(bhpc_data[sku])),""),ROWS($A$15:A350)+$B$3)),INDEX(bhpc_data[sku],SMALL(IF(ISNUMBER(MATCH(bhpc_data[category],$EC$9,0)*MATCH(bhpc_data[sex],$EC$11,0)*MATCH(bhpc_data[size],$EC$13,0)),MATCH(ROW(bhpc_data[sku]),ROW(bhpc_data[sku])),""),ROWS($A$15:A350)+$B$3))))),"")</f>
        <v/>
      </c>
      <c r="EF345" s="440" t="str" cm="1">
        <f t="array" ref="EF345">IFERROR(IF($EC$9="",IF($EC$11="",IF($EC$13="",INDEX(bhpc_data[description],SMALL(MATCH(ROW(bhpc_data[sku]),ROW(bhpc_data[sku])),ROWS($A$15:A350)+$B$3)),INDEX(bhpc_data[description],SMALL(IF(ISNUMBER(MATCH(bhpc_data[size],$EC$13,0)),MATCH(ROW(bhpc_data[sku]),ROW(bhpc_data[sku])),""),ROWS($A$15:A350)+$B$3))),IF($EC$13="",INDEX(bhpc_data[description],SMALL(IF(ISNUMBER(MATCH(bhpc_data[sex],$EC$11,0)),MATCH(ROW(bhpc_data[sku]),ROW(bhpc_data[sku])),""),ROWS($A$15:A350)+$B$3)),INDEX(bhpc_data[description],SMALL(IF(ISNUMBER(MATCH(bhpc_data[sex],$EC$11,0)*MATCH(bhpc_data[size],$EC$13,0)),MATCH(ROW(bhpc_data[sku]),ROW(bhpc_data[sku])),""),ROWS($A$15:A350)+$B$3)))),IF($EC$11="",IF($EC$13="",INDEX(bhpc_data[description],SMALL(IF(ISNUMBER(MATCH(bhpc_data[category],$EC$9,0)),MATCH(ROW(bhpc_data[sku]),ROW(bhpc_data[sku])),""),ROWS($A$15:A350)+$B$3)),INDEX(bhpc_data[description],SMALL(IF(ISNUMBER(MATCH(bhpc_data[category],$EC$9,0)*MATCH(bhpc_data[size],$EC$13,0)),MATCH(ROW(bhpc_data[sku]),ROW(bhpc_data[sku])),""),ROWS($A$15:A350)+$B$3))),IF($EC$13="",INDEX(bhpc_data[description],SMALL(IF(ISNUMBER(MATCH(bhpc_data[category],$EC$9,0)*MATCH(bhpc_data[sex],$EC$11,0)),MATCH(ROW(bhpc_data[sku]),ROW(bhpc_data[sku])),""),ROWS($A$15:A350)+$B$3)),INDEX(bhpc_data[description],SMALL(IF(ISNUMBER(MATCH(bhpc_data[category],$EC$9,0)*MATCH(bhpc_data[sex],$EC$11,0)*MATCH(bhpc_data[size],$EC$13,0)),MATCH(ROW(bhpc_data[sku]),ROW(bhpc_data[sku])),""),ROWS($A$15:A350)+$B$3))))),"")</f>
        <v/>
      </c>
      <c r="EG345" s="441" t="str">
        <f>IFERROR(IF('BHPC MANAGER'!$EE345="","",INDEX(inventory[ESISTENZA],MATCH('BHPC MANAGER'!$EE345,inventory[SKU],0))),0)</f>
        <v/>
      </c>
      <c r="EH345" s="442"/>
      <c r="EI345" s="442" t="str">
        <f t="shared" si="23"/>
        <v/>
      </c>
      <c r="EJ345" s="443"/>
      <c r="EK345" s="444" t="str">
        <f t="shared" si="24"/>
        <v/>
      </c>
    </row>
    <row r="346" spans="135:141" x14ac:dyDescent="0.35">
      <c r="EE346" s="445" t="str" cm="1">
        <f t="array" ref="EE346">IFERROR(IF($EC$9="",IF($EC$11="",IF($EC$13="",INDEX(bhpc_data[sku],SMALL(MATCH(ROW(bhpc_data[sku]),ROW(bhpc_data[sku])),ROWS($A$15:A351)+$B$3)),INDEX(bhpc_data[sku],SMALL(IF(ISNUMBER(MATCH(bhpc_data[size],$EC$13,0)),MATCH(ROW(bhpc_data[sku]),ROW(bhpc_data[sku])),""),ROWS($A$15:A351)+$B$3))),IF($EC$13="",INDEX(bhpc_data[sku],SMALL(IF(ISNUMBER(MATCH(bhpc_data[sex],$EC$11,0)),MATCH(ROW(bhpc_data[sku]),ROW(bhpc_data[sku])),""),ROWS($A$15:A351)+$B$3)),INDEX(bhpc_data[sku],SMALL(IF(ISNUMBER(MATCH(bhpc_data[sex],$EC$11,0)*MATCH(bhpc_data[size],$EC$13,0)),MATCH(ROW(bhpc_data[sku]),ROW(bhpc_data[sku])),""),ROWS($A$15:A351)+$B$3)))),IF($EC$11="",IF($EC$13="",INDEX(bhpc_data[sku],SMALL(IF(ISNUMBER(MATCH(bhpc_data[category],$EC$9,0)),MATCH(ROW(bhpc_data[sku]),ROW(bhpc_data[sku])),""),ROWS($A$15:A351)+$B$3)),INDEX(bhpc_data[sku],SMALL(IF(ISNUMBER(MATCH(bhpc_data[category],$EC$9,0)*MATCH(bhpc_data[size],$EC$13,0)),MATCH(ROW(bhpc_data[sku]),ROW(bhpc_data[sku])),""),ROWS($A$15:A351)+$B$3))),IF($EC$13="",INDEX(bhpc_data[sku],SMALL(IF(ISNUMBER(MATCH(bhpc_data[category],$EC$9,0)*MATCH(bhpc_data[sex],$EC$11,0)),MATCH(ROW(bhpc_data[sku]),ROW(bhpc_data[sku])),""),ROWS($A$15:A351)+$B$3)),INDEX(bhpc_data[sku],SMALL(IF(ISNUMBER(MATCH(bhpc_data[category],$EC$9,0)*MATCH(bhpc_data[sex],$EC$11,0)*MATCH(bhpc_data[size],$EC$13,0)),MATCH(ROW(bhpc_data[sku]),ROW(bhpc_data[sku])),""),ROWS($A$15:A351)+$B$3))))),"")</f>
        <v/>
      </c>
      <c r="EF346" s="446" t="str" cm="1">
        <f t="array" ref="EF346">IFERROR(IF($EC$9="",IF($EC$11="",IF($EC$13="",INDEX(bhpc_data[description],SMALL(MATCH(ROW(bhpc_data[sku]),ROW(bhpc_data[sku])),ROWS($A$15:A351)+$B$3)),INDEX(bhpc_data[description],SMALL(IF(ISNUMBER(MATCH(bhpc_data[size],$EC$13,0)),MATCH(ROW(bhpc_data[sku]),ROW(bhpc_data[sku])),""),ROWS($A$15:A351)+$B$3))),IF($EC$13="",INDEX(bhpc_data[description],SMALL(IF(ISNUMBER(MATCH(bhpc_data[sex],$EC$11,0)),MATCH(ROW(bhpc_data[sku]),ROW(bhpc_data[sku])),""),ROWS($A$15:A351)+$B$3)),INDEX(bhpc_data[description],SMALL(IF(ISNUMBER(MATCH(bhpc_data[sex],$EC$11,0)*MATCH(bhpc_data[size],$EC$13,0)),MATCH(ROW(bhpc_data[sku]),ROW(bhpc_data[sku])),""),ROWS($A$15:A351)+$B$3)))),IF($EC$11="",IF($EC$13="",INDEX(bhpc_data[description],SMALL(IF(ISNUMBER(MATCH(bhpc_data[category],$EC$9,0)),MATCH(ROW(bhpc_data[sku]),ROW(bhpc_data[sku])),""),ROWS($A$15:A351)+$B$3)),INDEX(bhpc_data[description],SMALL(IF(ISNUMBER(MATCH(bhpc_data[category],$EC$9,0)*MATCH(bhpc_data[size],$EC$13,0)),MATCH(ROW(bhpc_data[sku]),ROW(bhpc_data[sku])),""),ROWS($A$15:A351)+$B$3))),IF($EC$13="",INDEX(bhpc_data[description],SMALL(IF(ISNUMBER(MATCH(bhpc_data[category],$EC$9,0)*MATCH(bhpc_data[sex],$EC$11,0)),MATCH(ROW(bhpc_data[sku]),ROW(bhpc_data[sku])),""),ROWS($A$15:A351)+$B$3)),INDEX(bhpc_data[description],SMALL(IF(ISNUMBER(MATCH(bhpc_data[category],$EC$9,0)*MATCH(bhpc_data[sex],$EC$11,0)*MATCH(bhpc_data[size],$EC$13,0)),MATCH(ROW(bhpc_data[sku]),ROW(bhpc_data[sku])),""),ROWS($A$15:A351)+$B$3))))),"")</f>
        <v/>
      </c>
      <c r="EG346" s="447" t="str">
        <f>IFERROR(IF('BHPC MANAGER'!$EE346="","",INDEX(inventory[ESISTENZA],MATCH('BHPC MANAGER'!$EE346,inventory[SKU],0))),0)</f>
        <v/>
      </c>
      <c r="EH346" s="448"/>
      <c r="EI346" s="448" t="str">
        <f t="shared" si="23"/>
        <v/>
      </c>
      <c r="EJ346" s="449"/>
      <c r="EK346" s="450" t="str">
        <f t="shared" si="24"/>
        <v/>
      </c>
    </row>
    <row r="347" spans="135:141" x14ac:dyDescent="0.35">
      <c r="EE347" s="439" t="str" cm="1">
        <f t="array" ref="EE347">IFERROR(IF($EC$9="",IF($EC$11="",IF($EC$13="",INDEX(bhpc_data[sku],SMALL(MATCH(ROW(bhpc_data[sku]),ROW(bhpc_data[sku])),ROWS($A$15:A352)+$B$3)),INDEX(bhpc_data[sku],SMALL(IF(ISNUMBER(MATCH(bhpc_data[size],$EC$13,0)),MATCH(ROW(bhpc_data[sku]),ROW(bhpc_data[sku])),""),ROWS($A$15:A352)+$B$3))),IF($EC$13="",INDEX(bhpc_data[sku],SMALL(IF(ISNUMBER(MATCH(bhpc_data[sex],$EC$11,0)),MATCH(ROW(bhpc_data[sku]),ROW(bhpc_data[sku])),""),ROWS($A$15:A352)+$B$3)),INDEX(bhpc_data[sku],SMALL(IF(ISNUMBER(MATCH(bhpc_data[sex],$EC$11,0)*MATCH(bhpc_data[size],$EC$13,0)),MATCH(ROW(bhpc_data[sku]),ROW(bhpc_data[sku])),""),ROWS($A$15:A352)+$B$3)))),IF($EC$11="",IF($EC$13="",INDEX(bhpc_data[sku],SMALL(IF(ISNUMBER(MATCH(bhpc_data[category],$EC$9,0)),MATCH(ROW(bhpc_data[sku]),ROW(bhpc_data[sku])),""),ROWS($A$15:A352)+$B$3)),INDEX(bhpc_data[sku],SMALL(IF(ISNUMBER(MATCH(bhpc_data[category],$EC$9,0)*MATCH(bhpc_data[size],$EC$13,0)),MATCH(ROW(bhpc_data[sku]),ROW(bhpc_data[sku])),""),ROWS($A$15:A352)+$B$3))),IF($EC$13="",INDEX(bhpc_data[sku],SMALL(IF(ISNUMBER(MATCH(bhpc_data[category],$EC$9,0)*MATCH(bhpc_data[sex],$EC$11,0)),MATCH(ROW(bhpc_data[sku]),ROW(bhpc_data[sku])),""),ROWS($A$15:A352)+$B$3)),INDEX(bhpc_data[sku],SMALL(IF(ISNUMBER(MATCH(bhpc_data[category],$EC$9,0)*MATCH(bhpc_data[sex],$EC$11,0)*MATCH(bhpc_data[size],$EC$13,0)),MATCH(ROW(bhpc_data[sku]),ROW(bhpc_data[sku])),""),ROWS($A$15:A352)+$B$3))))),"")</f>
        <v/>
      </c>
      <c r="EF347" s="440" t="str" cm="1">
        <f t="array" ref="EF347">IFERROR(IF($EC$9="",IF($EC$11="",IF($EC$13="",INDEX(bhpc_data[description],SMALL(MATCH(ROW(bhpc_data[sku]),ROW(bhpc_data[sku])),ROWS($A$15:A352)+$B$3)),INDEX(bhpc_data[description],SMALL(IF(ISNUMBER(MATCH(bhpc_data[size],$EC$13,0)),MATCH(ROW(bhpc_data[sku]),ROW(bhpc_data[sku])),""),ROWS($A$15:A352)+$B$3))),IF($EC$13="",INDEX(bhpc_data[description],SMALL(IF(ISNUMBER(MATCH(bhpc_data[sex],$EC$11,0)),MATCH(ROW(bhpc_data[sku]),ROW(bhpc_data[sku])),""),ROWS($A$15:A352)+$B$3)),INDEX(bhpc_data[description],SMALL(IF(ISNUMBER(MATCH(bhpc_data[sex],$EC$11,0)*MATCH(bhpc_data[size],$EC$13,0)),MATCH(ROW(bhpc_data[sku]),ROW(bhpc_data[sku])),""),ROWS($A$15:A352)+$B$3)))),IF($EC$11="",IF($EC$13="",INDEX(bhpc_data[description],SMALL(IF(ISNUMBER(MATCH(bhpc_data[category],$EC$9,0)),MATCH(ROW(bhpc_data[sku]),ROW(bhpc_data[sku])),""),ROWS($A$15:A352)+$B$3)),INDEX(bhpc_data[description],SMALL(IF(ISNUMBER(MATCH(bhpc_data[category],$EC$9,0)*MATCH(bhpc_data[size],$EC$13,0)),MATCH(ROW(bhpc_data[sku]),ROW(bhpc_data[sku])),""),ROWS($A$15:A352)+$B$3))),IF($EC$13="",INDEX(bhpc_data[description],SMALL(IF(ISNUMBER(MATCH(bhpc_data[category],$EC$9,0)*MATCH(bhpc_data[sex],$EC$11,0)),MATCH(ROW(bhpc_data[sku]),ROW(bhpc_data[sku])),""),ROWS($A$15:A352)+$B$3)),INDEX(bhpc_data[description],SMALL(IF(ISNUMBER(MATCH(bhpc_data[category],$EC$9,0)*MATCH(bhpc_data[sex],$EC$11,0)*MATCH(bhpc_data[size],$EC$13,0)),MATCH(ROW(bhpc_data[sku]),ROW(bhpc_data[sku])),""),ROWS($A$15:A352)+$B$3))))),"")</f>
        <v/>
      </c>
      <c r="EG347" s="441" t="str">
        <f>IFERROR(IF('BHPC MANAGER'!$EE347="","",INDEX(inventory[ESISTENZA],MATCH('BHPC MANAGER'!$EE347,inventory[SKU],0))),0)</f>
        <v/>
      </c>
      <c r="EH347" s="442"/>
      <c r="EI347" s="442" t="str">
        <f t="shared" si="23"/>
        <v/>
      </c>
      <c r="EJ347" s="443"/>
      <c r="EK347" s="444" t="str">
        <f t="shared" si="24"/>
        <v/>
      </c>
    </row>
    <row r="348" spans="135:141" x14ac:dyDescent="0.35">
      <c r="EE348" s="445" t="str" cm="1">
        <f t="array" ref="EE348">IFERROR(IF($EC$9="",IF($EC$11="",IF($EC$13="",INDEX(bhpc_data[sku],SMALL(MATCH(ROW(bhpc_data[sku]),ROW(bhpc_data[sku])),ROWS($A$15:A353)+$B$3)),INDEX(bhpc_data[sku],SMALL(IF(ISNUMBER(MATCH(bhpc_data[size],$EC$13,0)),MATCH(ROW(bhpc_data[sku]),ROW(bhpc_data[sku])),""),ROWS($A$15:A353)+$B$3))),IF($EC$13="",INDEX(bhpc_data[sku],SMALL(IF(ISNUMBER(MATCH(bhpc_data[sex],$EC$11,0)),MATCH(ROW(bhpc_data[sku]),ROW(bhpc_data[sku])),""),ROWS($A$15:A353)+$B$3)),INDEX(bhpc_data[sku],SMALL(IF(ISNUMBER(MATCH(bhpc_data[sex],$EC$11,0)*MATCH(bhpc_data[size],$EC$13,0)),MATCH(ROW(bhpc_data[sku]),ROW(bhpc_data[sku])),""),ROWS($A$15:A353)+$B$3)))),IF($EC$11="",IF($EC$13="",INDEX(bhpc_data[sku],SMALL(IF(ISNUMBER(MATCH(bhpc_data[category],$EC$9,0)),MATCH(ROW(bhpc_data[sku]),ROW(bhpc_data[sku])),""),ROWS($A$15:A353)+$B$3)),INDEX(bhpc_data[sku],SMALL(IF(ISNUMBER(MATCH(bhpc_data[category],$EC$9,0)*MATCH(bhpc_data[size],$EC$13,0)),MATCH(ROW(bhpc_data[sku]),ROW(bhpc_data[sku])),""),ROWS($A$15:A353)+$B$3))),IF($EC$13="",INDEX(bhpc_data[sku],SMALL(IF(ISNUMBER(MATCH(bhpc_data[category],$EC$9,0)*MATCH(bhpc_data[sex],$EC$11,0)),MATCH(ROW(bhpc_data[sku]),ROW(bhpc_data[sku])),""),ROWS($A$15:A353)+$B$3)),INDEX(bhpc_data[sku],SMALL(IF(ISNUMBER(MATCH(bhpc_data[category],$EC$9,0)*MATCH(bhpc_data[sex],$EC$11,0)*MATCH(bhpc_data[size],$EC$13,0)),MATCH(ROW(bhpc_data[sku]),ROW(bhpc_data[sku])),""),ROWS($A$15:A353)+$B$3))))),"")</f>
        <v/>
      </c>
      <c r="EF348" s="446" t="str" cm="1">
        <f t="array" ref="EF348">IFERROR(IF($EC$9="",IF($EC$11="",IF($EC$13="",INDEX(bhpc_data[description],SMALL(MATCH(ROW(bhpc_data[sku]),ROW(bhpc_data[sku])),ROWS($A$15:A353)+$B$3)),INDEX(bhpc_data[description],SMALL(IF(ISNUMBER(MATCH(bhpc_data[size],$EC$13,0)),MATCH(ROW(bhpc_data[sku]),ROW(bhpc_data[sku])),""),ROWS($A$15:A353)+$B$3))),IF($EC$13="",INDEX(bhpc_data[description],SMALL(IF(ISNUMBER(MATCH(bhpc_data[sex],$EC$11,0)),MATCH(ROW(bhpc_data[sku]),ROW(bhpc_data[sku])),""),ROWS($A$15:A353)+$B$3)),INDEX(bhpc_data[description],SMALL(IF(ISNUMBER(MATCH(bhpc_data[sex],$EC$11,0)*MATCH(bhpc_data[size],$EC$13,0)),MATCH(ROW(bhpc_data[sku]),ROW(bhpc_data[sku])),""),ROWS($A$15:A353)+$B$3)))),IF($EC$11="",IF($EC$13="",INDEX(bhpc_data[description],SMALL(IF(ISNUMBER(MATCH(bhpc_data[category],$EC$9,0)),MATCH(ROW(bhpc_data[sku]),ROW(bhpc_data[sku])),""),ROWS($A$15:A353)+$B$3)),INDEX(bhpc_data[description],SMALL(IF(ISNUMBER(MATCH(bhpc_data[category],$EC$9,0)*MATCH(bhpc_data[size],$EC$13,0)),MATCH(ROW(bhpc_data[sku]),ROW(bhpc_data[sku])),""),ROWS($A$15:A353)+$B$3))),IF($EC$13="",INDEX(bhpc_data[description],SMALL(IF(ISNUMBER(MATCH(bhpc_data[category],$EC$9,0)*MATCH(bhpc_data[sex],$EC$11,0)),MATCH(ROW(bhpc_data[sku]),ROW(bhpc_data[sku])),""),ROWS($A$15:A353)+$B$3)),INDEX(bhpc_data[description],SMALL(IF(ISNUMBER(MATCH(bhpc_data[category],$EC$9,0)*MATCH(bhpc_data[sex],$EC$11,0)*MATCH(bhpc_data[size],$EC$13,0)),MATCH(ROW(bhpc_data[sku]),ROW(bhpc_data[sku])),""),ROWS($A$15:A353)+$B$3))))),"")</f>
        <v/>
      </c>
      <c r="EG348" s="447" t="str">
        <f>IFERROR(IF('BHPC MANAGER'!$EE348="","",INDEX(inventory[ESISTENZA],MATCH('BHPC MANAGER'!$EE348,inventory[SKU],0))),0)</f>
        <v/>
      </c>
      <c r="EH348" s="448"/>
      <c r="EI348" s="448" t="str">
        <f t="shared" si="23"/>
        <v/>
      </c>
      <c r="EJ348" s="449"/>
      <c r="EK348" s="450" t="str">
        <f t="shared" si="24"/>
        <v/>
      </c>
    </row>
    <row r="349" spans="135:141" x14ac:dyDescent="0.35">
      <c r="EE349" s="439" t="str" cm="1">
        <f t="array" ref="EE349">IFERROR(IF($EC$9="",IF($EC$11="",IF($EC$13="",INDEX(bhpc_data[sku],SMALL(MATCH(ROW(bhpc_data[sku]),ROW(bhpc_data[sku])),ROWS($A$15:A354)+$B$3)),INDEX(bhpc_data[sku],SMALL(IF(ISNUMBER(MATCH(bhpc_data[size],$EC$13,0)),MATCH(ROW(bhpc_data[sku]),ROW(bhpc_data[sku])),""),ROWS($A$15:A354)+$B$3))),IF($EC$13="",INDEX(bhpc_data[sku],SMALL(IF(ISNUMBER(MATCH(bhpc_data[sex],$EC$11,0)),MATCH(ROW(bhpc_data[sku]),ROW(bhpc_data[sku])),""),ROWS($A$15:A354)+$B$3)),INDEX(bhpc_data[sku],SMALL(IF(ISNUMBER(MATCH(bhpc_data[sex],$EC$11,0)*MATCH(bhpc_data[size],$EC$13,0)),MATCH(ROW(bhpc_data[sku]),ROW(bhpc_data[sku])),""),ROWS($A$15:A354)+$B$3)))),IF($EC$11="",IF($EC$13="",INDEX(bhpc_data[sku],SMALL(IF(ISNUMBER(MATCH(bhpc_data[category],$EC$9,0)),MATCH(ROW(bhpc_data[sku]),ROW(bhpc_data[sku])),""),ROWS($A$15:A354)+$B$3)),INDEX(bhpc_data[sku],SMALL(IF(ISNUMBER(MATCH(bhpc_data[category],$EC$9,0)*MATCH(bhpc_data[size],$EC$13,0)),MATCH(ROW(bhpc_data[sku]),ROW(bhpc_data[sku])),""),ROWS($A$15:A354)+$B$3))),IF($EC$13="",INDEX(bhpc_data[sku],SMALL(IF(ISNUMBER(MATCH(bhpc_data[category],$EC$9,0)*MATCH(bhpc_data[sex],$EC$11,0)),MATCH(ROW(bhpc_data[sku]),ROW(bhpc_data[sku])),""),ROWS($A$15:A354)+$B$3)),INDEX(bhpc_data[sku],SMALL(IF(ISNUMBER(MATCH(bhpc_data[category],$EC$9,0)*MATCH(bhpc_data[sex],$EC$11,0)*MATCH(bhpc_data[size],$EC$13,0)),MATCH(ROW(bhpc_data[sku]),ROW(bhpc_data[sku])),""),ROWS($A$15:A354)+$B$3))))),"")</f>
        <v/>
      </c>
      <c r="EF349" s="440" t="str" cm="1">
        <f t="array" ref="EF349">IFERROR(IF($EC$9="",IF($EC$11="",IF($EC$13="",INDEX(bhpc_data[description],SMALL(MATCH(ROW(bhpc_data[sku]),ROW(bhpc_data[sku])),ROWS($A$15:A354)+$B$3)),INDEX(bhpc_data[description],SMALL(IF(ISNUMBER(MATCH(bhpc_data[size],$EC$13,0)),MATCH(ROW(bhpc_data[sku]),ROW(bhpc_data[sku])),""),ROWS($A$15:A354)+$B$3))),IF($EC$13="",INDEX(bhpc_data[description],SMALL(IF(ISNUMBER(MATCH(bhpc_data[sex],$EC$11,0)),MATCH(ROW(bhpc_data[sku]),ROW(bhpc_data[sku])),""),ROWS($A$15:A354)+$B$3)),INDEX(bhpc_data[description],SMALL(IF(ISNUMBER(MATCH(bhpc_data[sex],$EC$11,0)*MATCH(bhpc_data[size],$EC$13,0)),MATCH(ROW(bhpc_data[sku]),ROW(bhpc_data[sku])),""),ROWS($A$15:A354)+$B$3)))),IF($EC$11="",IF($EC$13="",INDEX(bhpc_data[description],SMALL(IF(ISNUMBER(MATCH(bhpc_data[category],$EC$9,0)),MATCH(ROW(bhpc_data[sku]),ROW(bhpc_data[sku])),""),ROWS($A$15:A354)+$B$3)),INDEX(bhpc_data[description],SMALL(IF(ISNUMBER(MATCH(bhpc_data[category],$EC$9,0)*MATCH(bhpc_data[size],$EC$13,0)),MATCH(ROW(bhpc_data[sku]),ROW(bhpc_data[sku])),""),ROWS($A$15:A354)+$B$3))),IF($EC$13="",INDEX(bhpc_data[description],SMALL(IF(ISNUMBER(MATCH(bhpc_data[category],$EC$9,0)*MATCH(bhpc_data[sex],$EC$11,0)),MATCH(ROW(bhpc_data[sku]),ROW(bhpc_data[sku])),""),ROWS($A$15:A354)+$B$3)),INDEX(bhpc_data[description],SMALL(IF(ISNUMBER(MATCH(bhpc_data[category],$EC$9,0)*MATCH(bhpc_data[sex],$EC$11,0)*MATCH(bhpc_data[size],$EC$13,0)),MATCH(ROW(bhpc_data[sku]),ROW(bhpc_data[sku])),""),ROWS($A$15:A354)+$B$3))))),"")</f>
        <v/>
      </c>
      <c r="EG349" s="441" t="str">
        <f>IFERROR(IF('BHPC MANAGER'!$EE349="","",INDEX(inventory[ESISTENZA],MATCH('BHPC MANAGER'!$EE349,inventory[SKU],0))),0)</f>
        <v/>
      </c>
      <c r="EH349" s="442"/>
      <c r="EI349" s="442" t="str">
        <f t="shared" si="23"/>
        <v/>
      </c>
      <c r="EJ349" s="443"/>
      <c r="EK349" s="444" t="str">
        <f t="shared" si="24"/>
        <v/>
      </c>
    </row>
    <row r="350" spans="135:141" x14ac:dyDescent="0.35">
      <c r="EE350" s="445" t="str" cm="1">
        <f t="array" ref="EE350">IFERROR(IF($EC$9="",IF($EC$11="",IF($EC$13="",INDEX(bhpc_data[sku],SMALL(MATCH(ROW(bhpc_data[sku]),ROW(bhpc_data[sku])),ROWS($A$15:A355)+$B$3)),INDEX(bhpc_data[sku],SMALL(IF(ISNUMBER(MATCH(bhpc_data[size],$EC$13,0)),MATCH(ROW(bhpc_data[sku]),ROW(bhpc_data[sku])),""),ROWS($A$15:A355)+$B$3))),IF($EC$13="",INDEX(bhpc_data[sku],SMALL(IF(ISNUMBER(MATCH(bhpc_data[sex],$EC$11,0)),MATCH(ROW(bhpc_data[sku]),ROW(bhpc_data[sku])),""),ROWS($A$15:A355)+$B$3)),INDEX(bhpc_data[sku],SMALL(IF(ISNUMBER(MATCH(bhpc_data[sex],$EC$11,0)*MATCH(bhpc_data[size],$EC$13,0)),MATCH(ROW(bhpc_data[sku]),ROW(bhpc_data[sku])),""),ROWS($A$15:A355)+$B$3)))),IF($EC$11="",IF($EC$13="",INDEX(bhpc_data[sku],SMALL(IF(ISNUMBER(MATCH(bhpc_data[category],$EC$9,0)),MATCH(ROW(bhpc_data[sku]),ROW(bhpc_data[sku])),""),ROWS($A$15:A355)+$B$3)),INDEX(bhpc_data[sku],SMALL(IF(ISNUMBER(MATCH(bhpc_data[category],$EC$9,0)*MATCH(bhpc_data[size],$EC$13,0)),MATCH(ROW(bhpc_data[sku]),ROW(bhpc_data[sku])),""),ROWS($A$15:A355)+$B$3))),IF($EC$13="",INDEX(bhpc_data[sku],SMALL(IF(ISNUMBER(MATCH(bhpc_data[category],$EC$9,0)*MATCH(bhpc_data[sex],$EC$11,0)),MATCH(ROW(bhpc_data[sku]),ROW(bhpc_data[sku])),""),ROWS($A$15:A355)+$B$3)),INDEX(bhpc_data[sku],SMALL(IF(ISNUMBER(MATCH(bhpc_data[category],$EC$9,0)*MATCH(bhpc_data[sex],$EC$11,0)*MATCH(bhpc_data[size],$EC$13,0)),MATCH(ROW(bhpc_data[sku]),ROW(bhpc_data[sku])),""),ROWS($A$15:A355)+$B$3))))),"")</f>
        <v/>
      </c>
      <c r="EF350" s="446" t="str" cm="1">
        <f t="array" ref="EF350">IFERROR(IF($EC$9="",IF($EC$11="",IF($EC$13="",INDEX(bhpc_data[description],SMALL(MATCH(ROW(bhpc_data[sku]),ROW(bhpc_data[sku])),ROWS($A$15:A355)+$B$3)),INDEX(bhpc_data[description],SMALL(IF(ISNUMBER(MATCH(bhpc_data[size],$EC$13,0)),MATCH(ROW(bhpc_data[sku]),ROW(bhpc_data[sku])),""),ROWS($A$15:A355)+$B$3))),IF($EC$13="",INDEX(bhpc_data[description],SMALL(IF(ISNUMBER(MATCH(bhpc_data[sex],$EC$11,0)),MATCH(ROW(bhpc_data[sku]),ROW(bhpc_data[sku])),""),ROWS($A$15:A355)+$B$3)),INDEX(bhpc_data[description],SMALL(IF(ISNUMBER(MATCH(bhpc_data[sex],$EC$11,0)*MATCH(bhpc_data[size],$EC$13,0)),MATCH(ROW(bhpc_data[sku]),ROW(bhpc_data[sku])),""),ROWS($A$15:A355)+$B$3)))),IF($EC$11="",IF($EC$13="",INDEX(bhpc_data[description],SMALL(IF(ISNUMBER(MATCH(bhpc_data[category],$EC$9,0)),MATCH(ROW(bhpc_data[sku]),ROW(bhpc_data[sku])),""),ROWS($A$15:A355)+$B$3)),INDEX(bhpc_data[description],SMALL(IF(ISNUMBER(MATCH(bhpc_data[category],$EC$9,0)*MATCH(bhpc_data[size],$EC$13,0)),MATCH(ROW(bhpc_data[sku]),ROW(bhpc_data[sku])),""),ROWS($A$15:A355)+$B$3))),IF($EC$13="",INDEX(bhpc_data[description],SMALL(IF(ISNUMBER(MATCH(bhpc_data[category],$EC$9,0)*MATCH(bhpc_data[sex],$EC$11,0)),MATCH(ROW(bhpc_data[sku]),ROW(bhpc_data[sku])),""),ROWS($A$15:A355)+$B$3)),INDEX(bhpc_data[description],SMALL(IF(ISNUMBER(MATCH(bhpc_data[category],$EC$9,0)*MATCH(bhpc_data[sex],$EC$11,0)*MATCH(bhpc_data[size],$EC$13,0)),MATCH(ROW(bhpc_data[sku]),ROW(bhpc_data[sku])),""),ROWS($A$15:A355)+$B$3))))),"")</f>
        <v/>
      </c>
      <c r="EG350" s="447" t="str">
        <f>IFERROR(IF('BHPC MANAGER'!$EE350="","",INDEX(inventory[ESISTENZA],MATCH('BHPC MANAGER'!$EE350,inventory[SKU],0))),0)</f>
        <v/>
      </c>
      <c r="EH350" s="448"/>
      <c r="EI350" s="448" t="str">
        <f t="shared" si="23"/>
        <v/>
      </c>
      <c r="EJ350" s="449"/>
      <c r="EK350" s="450" t="str">
        <f t="shared" si="24"/>
        <v/>
      </c>
    </row>
    <row r="351" spans="135:141" x14ac:dyDescent="0.35">
      <c r="EE351" s="439" t="str" cm="1">
        <f t="array" ref="EE351">IFERROR(IF($EC$9="",IF($EC$11="",IF($EC$13="",INDEX(bhpc_data[sku],SMALL(MATCH(ROW(bhpc_data[sku]),ROW(bhpc_data[sku])),ROWS($A$15:A356)+$B$3)),INDEX(bhpc_data[sku],SMALL(IF(ISNUMBER(MATCH(bhpc_data[size],$EC$13,0)),MATCH(ROW(bhpc_data[sku]),ROW(bhpc_data[sku])),""),ROWS($A$15:A356)+$B$3))),IF($EC$13="",INDEX(bhpc_data[sku],SMALL(IF(ISNUMBER(MATCH(bhpc_data[sex],$EC$11,0)),MATCH(ROW(bhpc_data[sku]),ROW(bhpc_data[sku])),""),ROWS($A$15:A356)+$B$3)),INDEX(bhpc_data[sku],SMALL(IF(ISNUMBER(MATCH(bhpc_data[sex],$EC$11,0)*MATCH(bhpc_data[size],$EC$13,0)),MATCH(ROW(bhpc_data[sku]),ROW(bhpc_data[sku])),""),ROWS($A$15:A356)+$B$3)))),IF($EC$11="",IF($EC$13="",INDEX(bhpc_data[sku],SMALL(IF(ISNUMBER(MATCH(bhpc_data[category],$EC$9,0)),MATCH(ROW(bhpc_data[sku]),ROW(bhpc_data[sku])),""),ROWS($A$15:A356)+$B$3)),INDEX(bhpc_data[sku],SMALL(IF(ISNUMBER(MATCH(bhpc_data[category],$EC$9,0)*MATCH(bhpc_data[size],$EC$13,0)),MATCH(ROW(bhpc_data[sku]),ROW(bhpc_data[sku])),""),ROWS($A$15:A356)+$B$3))),IF($EC$13="",INDEX(bhpc_data[sku],SMALL(IF(ISNUMBER(MATCH(bhpc_data[category],$EC$9,0)*MATCH(bhpc_data[sex],$EC$11,0)),MATCH(ROW(bhpc_data[sku]),ROW(bhpc_data[sku])),""),ROWS($A$15:A356)+$B$3)),INDEX(bhpc_data[sku],SMALL(IF(ISNUMBER(MATCH(bhpc_data[category],$EC$9,0)*MATCH(bhpc_data[sex],$EC$11,0)*MATCH(bhpc_data[size],$EC$13,0)),MATCH(ROW(bhpc_data[sku]),ROW(bhpc_data[sku])),""),ROWS($A$15:A356)+$B$3))))),"")</f>
        <v/>
      </c>
      <c r="EF351" s="440" t="str" cm="1">
        <f t="array" ref="EF351">IFERROR(IF($EC$9="",IF($EC$11="",IF($EC$13="",INDEX(bhpc_data[description],SMALL(MATCH(ROW(bhpc_data[sku]),ROW(bhpc_data[sku])),ROWS($A$15:A356)+$B$3)),INDEX(bhpc_data[description],SMALL(IF(ISNUMBER(MATCH(bhpc_data[size],$EC$13,0)),MATCH(ROW(bhpc_data[sku]),ROW(bhpc_data[sku])),""),ROWS($A$15:A356)+$B$3))),IF($EC$13="",INDEX(bhpc_data[description],SMALL(IF(ISNUMBER(MATCH(bhpc_data[sex],$EC$11,0)),MATCH(ROW(bhpc_data[sku]),ROW(bhpc_data[sku])),""),ROWS($A$15:A356)+$B$3)),INDEX(bhpc_data[description],SMALL(IF(ISNUMBER(MATCH(bhpc_data[sex],$EC$11,0)*MATCH(bhpc_data[size],$EC$13,0)),MATCH(ROW(bhpc_data[sku]),ROW(bhpc_data[sku])),""),ROWS($A$15:A356)+$B$3)))),IF($EC$11="",IF($EC$13="",INDEX(bhpc_data[description],SMALL(IF(ISNUMBER(MATCH(bhpc_data[category],$EC$9,0)),MATCH(ROW(bhpc_data[sku]),ROW(bhpc_data[sku])),""),ROWS($A$15:A356)+$B$3)),INDEX(bhpc_data[description],SMALL(IF(ISNUMBER(MATCH(bhpc_data[category],$EC$9,0)*MATCH(bhpc_data[size],$EC$13,0)),MATCH(ROW(bhpc_data[sku]),ROW(bhpc_data[sku])),""),ROWS($A$15:A356)+$B$3))),IF($EC$13="",INDEX(bhpc_data[description],SMALL(IF(ISNUMBER(MATCH(bhpc_data[category],$EC$9,0)*MATCH(bhpc_data[sex],$EC$11,0)),MATCH(ROW(bhpc_data[sku]),ROW(bhpc_data[sku])),""),ROWS($A$15:A356)+$B$3)),INDEX(bhpc_data[description],SMALL(IF(ISNUMBER(MATCH(bhpc_data[category],$EC$9,0)*MATCH(bhpc_data[sex],$EC$11,0)*MATCH(bhpc_data[size],$EC$13,0)),MATCH(ROW(bhpc_data[sku]),ROW(bhpc_data[sku])),""),ROWS($A$15:A356)+$B$3))))),"")</f>
        <v/>
      </c>
      <c r="EG351" s="441" t="str">
        <f>IFERROR(IF('BHPC MANAGER'!$EE351="","",INDEX(inventory[ESISTENZA],MATCH('BHPC MANAGER'!$EE351,inventory[SKU],0))),0)</f>
        <v/>
      </c>
      <c r="EH351" s="442"/>
      <c r="EI351" s="442" t="str">
        <f t="shared" si="23"/>
        <v/>
      </c>
      <c r="EJ351" s="443"/>
      <c r="EK351" s="444" t="str">
        <f t="shared" si="24"/>
        <v/>
      </c>
    </row>
    <row r="352" spans="135:141" x14ac:dyDescent="0.35">
      <c r="EE352" s="445" t="str" cm="1">
        <f t="array" ref="EE352">IFERROR(IF($EC$9="",IF($EC$11="",IF($EC$13="",INDEX(bhpc_data[sku],SMALL(MATCH(ROW(bhpc_data[sku]),ROW(bhpc_data[sku])),ROWS($A$15:A357)+$B$3)),INDEX(bhpc_data[sku],SMALL(IF(ISNUMBER(MATCH(bhpc_data[size],$EC$13,0)),MATCH(ROW(bhpc_data[sku]),ROW(bhpc_data[sku])),""),ROWS($A$15:A357)+$B$3))),IF($EC$13="",INDEX(bhpc_data[sku],SMALL(IF(ISNUMBER(MATCH(bhpc_data[sex],$EC$11,0)),MATCH(ROW(bhpc_data[sku]),ROW(bhpc_data[sku])),""),ROWS($A$15:A357)+$B$3)),INDEX(bhpc_data[sku],SMALL(IF(ISNUMBER(MATCH(bhpc_data[sex],$EC$11,0)*MATCH(bhpc_data[size],$EC$13,0)),MATCH(ROW(bhpc_data[sku]),ROW(bhpc_data[sku])),""),ROWS($A$15:A357)+$B$3)))),IF($EC$11="",IF($EC$13="",INDEX(bhpc_data[sku],SMALL(IF(ISNUMBER(MATCH(bhpc_data[category],$EC$9,0)),MATCH(ROW(bhpc_data[sku]),ROW(bhpc_data[sku])),""),ROWS($A$15:A357)+$B$3)),INDEX(bhpc_data[sku],SMALL(IF(ISNUMBER(MATCH(bhpc_data[category],$EC$9,0)*MATCH(bhpc_data[size],$EC$13,0)),MATCH(ROW(bhpc_data[sku]),ROW(bhpc_data[sku])),""),ROWS($A$15:A357)+$B$3))),IF($EC$13="",INDEX(bhpc_data[sku],SMALL(IF(ISNUMBER(MATCH(bhpc_data[category],$EC$9,0)*MATCH(bhpc_data[sex],$EC$11,0)),MATCH(ROW(bhpc_data[sku]),ROW(bhpc_data[sku])),""),ROWS($A$15:A357)+$B$3)),INDEX(bhpc_data[sku],SMALL(IF(ISNUMBER(MATCH(bhpc_data[category],$EC$9,0)*MATCH(bhpc_data[sex],$EC$11,0)*MATCH(bhpc_data[size],$EC$13,0)),MATCH(ROW(bhpc_data[sku]),ROW(bhpc_data[sku])),""),ROWS($A$15:A357)+$B$3))))),"")</f>
        <v/>
      </c>
      <c r="EF352" s="446" t="str" cm="1">
        <f t="array" ref="EF352">IFERROR(IF($EC$9="",IF($EC$11="",IF($EC$13="",INDEX(bhpc_data[description],SMALL(MATCH(ROW(bhpc_data[sku]),ROW(bhpc_data[sku])),ROWS($A$15:A357)+$B$3)),INDEX(bhpc_data[description],SMALL(IF(ISNUMBER(MATCH(bhpc_data[size],$EC$13,0)),MATCH(ROW(bhpc_data[sku]),ROW(bhpc_data[sku])),""),ROWS($A$15:A357)+$B$3))),IF($EC$13="",INDEX(bhpc_data[description],SMALL(IF(ISNUMBER(MATCH(bhpc_data[sex],$EC$11,0)),MATCH(ROW(bhpc_data[sku]),ROW(bhpc_data[sku])),""),ROWS($A$15:A357)+$B$3)),INDEX(bhpc_data[description],SMALL(IF(ISNUMBER(MATCH(bhpc_data[sex],$EC$11,0)*MATCH(bhpc_data[size],$EC$13,0)),MATCH(ROW(bhpc_data[sku]),ROW(bhpc_data[sku])),""),ROWS($A$15:A357)+$B$3)))),IF($EC$11="",IF($EC$13="",INDEX(bhpc_data[description],SMALL(IF(ISNUMBER(MATCH(bhpc_data[category],$EC$9,0)),MATCH(ROW(bhpc_data[sku]),ROW(bhpc_data[sku])),""),ROWS($A$15:A357)+$B$3)),INDEX(bhpc_data[description],SMALL(IF(ISNUMBER(MATCH(bhpc_data[category],$EC$9,0)*MATCH(bhpc_data[size],$EC$13,0)),MATCH(ROW(bhpc_data[sku]),ROW(bhpc_data[sku])),""),ROWS($A$15:A357)+$B$3))),IF($EC$13="",INDEX(bhpc_data[description],SMALL(IF(ISNUMBER(MATCH(bhpc_data[category],$EC$9,0)*MATCH(bhpc_data[sex],$EC$11,0)),MATCH(ROW(bhpc_data[sku]),ROW(bhpc_data[sku])),""),ROWS($A$15:A357)+$B$3)),INDEX(bhpc_data[description],SMALL(IF(ISNUMBER(MATCH(bhpc_data[category],$EC$9,0)*MATCH(bhpc_data[sex],$EC$11,0)*MATCH(bhpc_data[size],$EC$13,0)),MATCH(ROW(bhpc_data[sku]),ROW(bhpc_data[sku])),""),ROWS($A$15:A357)+$B$3))))),"")</f>
        <v/>
      </c>
      <c r="EG352" s="447" t="str">
        <f>IFERROR(IF('BHPC MANAGER'!$EE352="","",INDEX(inventory[ESISTENZA],MATCH('BHPC MANAGER'!$EE352,inventory[SKU],0))),0)</f>
        <v/>
      </c>
      <c r="EH352" s="448"/>
      <c r="EI352" s="448" t="str">
        <f t="shared" si="23"/>
        <v/>
      </c>
      <c r="EJ352" s="449"/>
      <c r="EK352" s="450" t="str">
        <f t="shared" si="24"/>
        <v/>
      </c>
    </row>
    <row r="353" spans="135:141" x14ac:dyDescent="0.35">
      <c r="EE353" s="439" t="str" cm="1">
        <f t="array" ref="EE353">IFERROR(IF($EC$9="",IF($EC$11="",IF($EC$13="",INDEX(bhpc_data[sku],SMALL(MATCH(ROW(bhpc_data[sku]),ROW(bhpc_data[sku])),ROWS($A$15:A358)+$B$3)),INDEX(bhpc_data[sku],SMALL(IF(ISNUMBER(MATCH(bhpc_data[size],$EC$13,0)),MATCH(ROW(bhpc_data[sku]),ROW(bhpc_data[sku])),""),ROWS($A$15:A358)+$B$3))),IF($EC$13="",INDEX(bhpc_data[sku],SMALL(IF(ISNUMBER(MATCH(bhpc_data[sex],$EC$11,0)),MATCH(ROW(bhpc_data[sku]),ROW(bhpc_data[sku])),""),ROWS($A$15:A358)+$B$3)),INDEX(bhpc_data[sku],SMALL(IF(ISNUMBER(MATCH(bhpc_data[sex],$EC$11,0)*MATCH(bhpc_data[size],$EC$13,0)),MATCH(ROW(bhpc_data[sku]),ROW(bhpc_data[sku])),""),ROWS($A$15:A358)+$B$3)))),IF($EC$11="",IF($EC$13="",INDEX(bhpc_data[sku],SMALL(IF(ISNUMBER(MATCH(bhpc_data[category],$EC$9,0)),MATCH(ROW(bhpc_data[sku]),ROW(bhpc_data[sku])),""),ROWS($A$15:A358)+$B$3)),INDEX(bhpc_data[sku],SMALL(IF(ISNUMBER(MATCH(bhpc_data[category],$EC$9,0)*MATCH(bhpc_data[size],$EC$13,0)),MATCH(ROW(bhpc_data[sku]),ROW(bhpc_data[sku])),""),ROWS($A$15:A358)+$B$3))),IF($EC$13="",INDEX(bhpc_data[sku],SMALL(IF(ISNUMBER(MATCH(bhpc_data[category],$EC$9,0)*MATCH(bhpc_data[sex],$EC$11,0)),MATCH(ROW(bhpc_data[sku]),ROW(bhpc_data[sku])),""),ROWS($A$15:A358)+$B$3)),INDEX(bhpc_data[sku],SMALL(IF(ISNUMBER(MATCH(bhpc_data[category],$EC$9,0)*MATCH(bhpc_data[sex],$EC$11,0)*MATCH(bhpc_data[size],$EC$13,0)),MATCH(ROW(bhpc_data[sku]),ROW(bhpc_data[sku])),""),ROWS($A$15:A358)+$B$3))))),"")</f>
        <v/>
      </c>
      <c r="EF353" s="440" t="str" cm="1">
        <f t="array" ref="EF353">IFERROR(IF($EC$9="",IF($EC$11="",IF($EC$13="",INDEX(bhpc_data[description],SMALL(MATCH(ROW(bhpc_data[sku]),ROW(bhpc_data[sku])),ROWS($A$15:A358)+$B$3)),INDEX(bhpc_data[description],SMALL(IF(ISNUMBER(MATCH(bhpc_data[size],$EC$13,0)),MATCH(ROW(bhpc_data[sku]),ROW(bhpc_data[sku])),""),ROWS($A$15:A358)+$B$3))),IF($EC$13="",INDEX(bhpc_data[description],SMALL(IF(ISNUMBER(MATCH(bhpc_data[sex],$EC$11,0)),MATCH(ROW(bhpc_data[sku]),ROW(bhpc_data[sku])),""),ROWS($A$15:A358)+$B$3)),INDEX(bhpc_data[description],SMALL(IF(ISNUMBER(MATCH(bhpc_data[sex],$EC$11,0)*MATCH(bhpc_data[size],$EC$13,0)),MATCH(ROW(bhpc_data[sku]),ROW(bhpc_data[sku])),""),ROWS($A$15:A358)+$B$3)))),IF($EC$11="",IF($EC$13="",INDEX(bhpc_data[description],SMALL(IF(ISNUMBER(MATCH(bhpc_data[category],$EC$9,0)),MATCH(ROW(bhpc_data[sku]),ROW(bhpc_data[sku])),""),ROWS($A$15:A358)+$B$3)),INDEX(bhpc_data[description],SMALL(IF(ISNUMBER(MATCH(bhpc_data[category],$EC$9,0)*MATCH(bhpc_data[size],$EC$13,0)),MATCH(ROW(bhpc_data[sku]),ROW(bhpc_data[sku])),""),ROWS($A$15:A358)+$B$3))),IF($EC$13="",INDEX(bhpc_data[description],SMALL(IF(ISNUMBER(MATCH(bhpc_data[category],$EC$9,0)*MATCH(bhpc_data[sex],$EC$11,0)),MATCH(ROW(bhpc_data[sku]),ROW(bhpc_data[sku])),""),ROWS($A$15:A358)+$B$3)),INDEX(bhpc_data[description],SMALL(IF(ISNUMBER(MATCH(bhpc_data[category],$EC$9,0)*MATCH(bhpc_data[sex],$EC$11,0)*MATCH(bhpc_data[size],$EC$13,0)),MATCH(ROW(bhpc_data[sku]),ROW(bhpc_data[sku])),""),ROWS($A$15:A358)+$B$3))))),"")</f>
        <v/>
      </c>
      <c r="EG353" s="441" t="str">
        <f>IFERROR(IF('BHPC MANAGER'!$EE353="","",INDEX(inventory[ESISTENZA],MATCH('BHPC MANAGER'!$EE353,inventory[SKU],0))),0)</f>
        <v/>
      </c>
      <c r="EH353" s="442"/>
      <c r="EI353" s="442" t="str">
        <f t="shared" si="23"/>
        <v/>
      </c>
      <c r="EJ353" s="443"/>
      <c r="EK353" s="444" t="str">
        <f t="shared" si="24"/>
        <v/>
      </c>
    </row>
    <row r="354" spans="135:141" x14ac:dyDescent="0.35">
      <c r="EE354" s="445" t="str" cm="1">
        <f t="array" ref="EE354">IFERROR(IF($EC$9="",IF($EC$11="",IF($EC$13="",INDEX(bhpc_data[sku],SMALL(MATCH(ROW(bhpc_data[sku]),ROW(bhpc_data[sku])),ROWS($A$15:A359)+$B$3)),INDEX(bhpc_data[sku],SMALL(IF(ISNUMBER(MATCH(bhpc_data[size],$EC$13,0)),MATCH(ROW(bhpc_data[sku]),ROW(bhpc_data[sku])),""),ROWS($A$15:A359)+$B$3))),IF($EC$13="",INDEX(bhpc_data[sku],SMALL(IF(ISNUMBER(MATCH(bhpc_data[sex],$EC$11,0)),MATCH(ROW(bhpc_data[sku]),ROW(bhpc_data[sku])),""),ROWS($A$15:A359)+$B$3)),INDEX(bhpc_data[sku],SMALL(IF(ISNUMBER(MATCH(bhpc_data[sex],$EC$11,0)*MATCH(bhpc_data[size],$EC$13,0)),MATCH(ROW(bhpc_data[sku]),ROW(bhpc_data[sku])),""),ROWS($A$15:A359)+$B$3)))),IF($EC$11="",IF($EC$13="",INDEX(bhpc_data[sku],SMALL(IF(ISNUMBER(MATCH(bhpc_data[category],$EC$9,0)),MATCH(ROW(bhpc_data[sku]),ROW(bhpc_data[sku])),""),ROWS($A$15:A359)+$B$3)),INDEX(bhpc_data[sku],SMALL(IF(ISNUMBER(MATCH(bhpc_data[category],$EC$9,0)*MATCH(bhpc_data[size],$EC$13,0)),MATCH(ROW(bhpc_data[sku]),ROW(bhpc_data[sku])),""),ROWS($A$15:A359)+$B$3))),IF($EC$13="",INDEX(bhpc_data[sku],SMALL(IF(ISNUMBER(MATCH(bhpc_data[category],$EC$9,0)*MATCH(bhpc_data[sex],$EC$11,0)),MATCH(ROW(bhpc_data[sku]),ROW(bhpc_data[sku])),""),ROWS($A$15:A359)+$B$3)),INDEX(bhpc_data[sku],SMALL(IF(ISNUMBER(MATCH(bhpc_data[category],$EC$9,0)*MATCH(bhpc_data[sex],$EC$11,0)*MATCH(bhpc_data[size],$EC$13,0)),MATCH(ROW(bhpc_data[sku]),ROW(bhpc_data[sku])),""),ROWS($A$15:A359)+$B$3))))),"")</f>
        <v/>
      </c>
      <c r="EF354" s="446" t="str" cm="1">
        <f t="array" ref="EF354">IFERROR(IF($EC$9="",IF($EC$11="",IF($EC$13="",INDEX(bhpc_data[description],SMALL(MATCH(ROW(bhpc_data[sku]),ROW(bhpc_data[sku])),ROWS($A$15:A359)+$B$3)),INDEX(bhpc_data[description],SMALL(IF(ISNUMBER(MATCH(bhpc_data[size],$EC$13,0)),MATCH(ROW(bhpc_data[sku]),ROW(bhpc_data[sku])),""),ROWS($A$15:A359)+$B$3))),IF($EC$13="",INDEX(bhpc_data[description],SMALL(IF(ISNUMBER(MATCH(bhpc_data[sex],$EC$11,0)),MATCH(ROW(bhpc_data[sku]),ROW(bhpc_data[sku])),""),ROWS($A$15:A359)+$B$3)),INDEX(bhpc_data[description],SMALL(IF(ISNUMBER(MATCH(bhpc_data[sex],$EC$11,0)*MATCH(bhpc_data[size],$EC$13,0)),MATCH(ROW(bhpc_data[sku]),ROW(bhpc_data[sku])),""),ROWS($A$15:A359)+$B$3)))),IF($EC$11="",IF($EC$13="",INDEX(bhpc_data[description],SMALL(IF(ISNUMBER(MATCH(bhpc_data[category],$EC$9,0)),MATCH(ROW(bhpc_data[sku]),ROW(bhpc_data[sku])),""),ROWS($A$15:A359)+$B$3)),INDEX(bhpc_data[description],SMALL(IF(ISNUMBER(MATCH(bhpc_data[category],$EC$9,0)*MATCH(bhpc_data[size],$EC$13,0)),MATCH(ROW(bhpc_data[sku]),ROW(bhpc_data[sku])),""),ROWS($A$15:A359)+$B$3))),IF($EC$13="",INDEX(bhpc_data[description],SMALL(IF(ISNUMBER(MATCH(bhpc_data[category],$EC$9,0)*MATCH(bhpc_data[sex],$EC$11,0)),MATCH(ROW(bhpc_data[sku]),ROW(bhpc_data[sku])),""),ROWS($A$15:A359)+$B$3)),INDEX(bhpc_data[description],SMALL(IF(ISNUMBER(MATCH(bhpc_data[category],$EC$9,0)*MATCH(bhpc_data[sex],$EC$11,0)*MATCH(bhpc_data[size],$EC$13,0)),MATCH(ROW(bhpc_data[sku]),ROW(bhpc_data[sku])),""),ROWS($A$15:A359)+$B$3))))),"")</f>
        <v/>
      </c>
      <c r="EG354" s="447" t="str">
        <f>IFERROR(IF('BHPC MANAGER'!$EE354="","",INDEX(inventory[ESISTENZA],MATCH('BHPC MANAGER'!$EE354,inventory[SKU],0))),0)</f>
        <v/>
      </c>
      <c r="EH354" s="448"/>
      <c r="EI354" s="448" t="str">
        <f t="shared" si="23"/>
        <v/>
      </c>
      <c r="EJ354" s="449"/>
      <c r="EK354" s="450" t="str">
        <f t="shared" si="24"/>
        <v/>
      </c>
    </row>
    <row r="355" spans="135:141" x14ac:dyDescent="0.35">
      <c r="EE355" s="439" t="str" cm="1">
        <f t="array" ref="EE355">IFERROR(IF($EC$9="",IF($EC$11="",IF($EC$13="",INDEX(bhpc_data[sku],SMALL(MATCH(ROW(bhpc_data[sku]),ROW(bhpc_data[sku])),ROWS($A$15:A360)+$B$3)),INDEX(bhpc_data[sku],SMALL(IF(ISNUMBER(MATCH(bhpc_data[size],$EC$13,0)),MATCH(ROW(bhpc_data[sku]),ROW(bhpc_data[sku])),""),ROWS($A$15:A360)+$B$3))),IF($EC$13="",INDEX(bhpc_data[sku],SMALL(IF(ISNUMBER(MATCH(bhpc_data[sex],$EC$11,0)),MATCH(ROW(bhpc_data[sku]),ROW(bhpc_data[sku])),""),ROWS($A$15:A360)+$B$3)),INDEX(bhpc_data[sku],SMALL(IF(ISNUMBER(MATCH(bhpc_data[sex],$EC$11,0)*MATCH(bhpc_data[size],$EC$13,0)),MATCH(ROW(bhpc_data[sku]),ROW(bhpc_data[sku])),""),ROWS($A$15:A360)+$B$3)))),IF($EC$11="",IF($EC$13="",INDEX(bhpc_data[sku],SMALL(IF(ISNUMBER(MATCH(bhpc_data[category],$EC$9,0)),MATCH(ROW(bhpc_data[sku]),ROW(bhpc_data[sku])),""),ROWS($A$15:A360)+$B$3)),INDEX(bhpc_data[sku],SMALL(IF(ISNUMBER(MATCH(bhpc_data[category],$EC$9,0)*MATCH(bhpc_data[size],$EC$13,0)),MATCH(ROW(bhpc_data[sku]),ROW(bhpc_data[sku])),""),ROWS($A$15:A360)+$B$3))),IF($EC$13="",INDEX(bhpc_data[sku],SMALL(IF(ISNUMBER(MATCH(bhpc_data[category],$EC$9,0)*MATCH(bhpc_data[sex],$EC$11,0)),MATCH(ROW(bhpc_data[sku]),ROW(bhpc_data[sku])),""),ROWS($A$15:A360)+$B$3)),INDEX(bhpc_data[sku],SMALL(IF(ISNUMBER(MATCH(bhpc_data[category],$EC$9,0)*MATCH(bhpc_data[sex],$EC$11,0)*MATCH(bhpc_data[size],$EC$13,0)),MATCH(ROW(bhpc_data[sku]),ROW(bhpc_data[sku])),""),ROWS($A$15:A360)+$B$3))))),"")</f>
        <v/>
      </c>
      <c r="EF355" s="440" t="str" cm="1">
        <f t="array" ref="EF355">IFERROR(IF($EC$9="",IF($EC$11="",IF($EC$13="",INDEX(bhpc_data[description],SMALL(MATCH(ROW(bhpc_data[sku]),ROW(bhpc_data[sku])),ROWS($A$15:A360)+$B$3)),INDEX(bhpc_data[description],SMALL(IF(ISNUMBER(MATCH(bhpc_data[size],$EC$13,0)),MATCH(ROW(bhpc_data[sku]),ROW(bhpc_data[sku])),""),ROWS($A$15:A360)+$B$3))),IF($EC$13="",INDEX(bhpc_data[description],SMALL(IF(ISNUMBER(MATCH(bhpc_data[sex],$EC$11,0)),MATCH(ROW(bhpc_data[sku]),ROW(bhpc_data[sku])),""),ROWS($A$15:A360)+$B$3)),INDEX(bhpc_data[description],SMALL(IF(ISNUMBER(MATCH(bhpc_data[sex],$EC$11,0)*MATCH(bhpc_data[size],$EC$13,0)),MATCH(ROW(bhpc_data[sku]),ROW(bhpc_data[sku])),""),ROWS($A$15:A360)+$B$3)))),IF($EC$11="",IF($EC$13="",INDEX(bhpc_data[description],SMALL(IF(ISNUMBER(MATCH(bhpc_data[category],$EC$9,0)),MATCH(ROW(bhpc_data[sku]),ROW(bhpc_data[sku])),""),ROWS($A$15:A360)+$B$3)),INDEX(bhpc_data[description],SMALL(IF(ISNUMBER(MATCH(bhpc_data[category],$EC$9,0)*MATCH(bhpc_data[size],$EC$13,0)),MATCH(ROW(bhpc_data[sku]),ROW(bhpc_data[sku])),""),ROWS($A$15:A360)+$B$3))),IF($EC$13="",INDEX(bhpc_data[description],SMALL(IF(ISNUMBER(MATCH(bhpc_data[category],$EC$9,0)*MATCH(bhpc_data[sex],$EC$11,0)),MATCH(ROW(bhpc_data[sku]),ROW(bhpc_data[sku])),""),ROWS($A$15:A360)+$B$3)),INDEX(bhpc_data[description],SMALL(IF(ISNUMBER(MATCH(bhpc_data[category],$EC$9,0)*MATCH(bhpc_data[sex],$EC$11,0)*MATCH(bhpc_data[size],$EC$13,0)),MATCH(ROW(bhpc_data[sku]),ROW(bhpc_data[sku])),""),ROWS($A$15:A360)+$B$3))))),"")</f>
        <v/>
      </c>
      <c r="EG355" s="441" t="str">
        <f>IFERROR(IF('BHPC MANAGER'!$EE355="","",INDEX(inventory[ESISTENZA],MATCH('BHPC MANAGER'!$EE355,inventory[SKU],0))),0)</f>
        <v/>
      </c>
      <c r="EH355" s="442"/>
      <c r="EI355" s="442" t="str">
        <f t="shared" si="23"/>
        <v/>
      </c>
      <c r="EJ355" s="443"/>
      <c r="EK355" s="444" t="str">
        <f t="shared" si="24"/>
        <v/>
      </c>
    </row>
    <row r="356" spans="135:141" x14ac:dyDescent="0.35">
      <c r="EE356" s="445" t="str" cm="1">
        <f t="array" ref="EE356">IFERROR(IF($EC$9="",IF($EC$11="",IF($EC$13="",INDEX(bhpc_data[sku],SMALL(MATCH(ROW(bhpc_data[sku]),ROW(bhpc_data[sku])),ROWS($A$15:A361)+$B$3)),INDEX(bhpc_data[sku],SMALL(IF(ISNUMBER(MATCH(bhpc_data[size],$EC$13,0)),MATCH(ROW(bhpc_data[sku]),ROW(bhpc_data[sku])),""),ROWS($A$15:A361)+$B$3))),IF($EC$13="",INDEX(bhpc_data[sku],SMALL(IF(ISNUMBER(MATCH(bhpc_data[sex],$EC$11,0)),MATCH(ROW(bhpc_data[sku]),ROW(bhpc_data[sku])),""),ROWS($A$15:A361)+$B$3)),INDEX(bhpc_data[sku],SMALL(IF(ISNUMBER(MATCH(bhpc_data[sex],$EC$11,0)*MATCH(bhpc_data[size],$EC$13,0)),MATCH(ROW(bhpc_data[sku]),ROW(bhpc_data[sku])),""),ROWS($A$15:A361)+$B$3)))),IF($EC$11="",IF($EC$13="",INDEX(bhpc_data[sku],SMALL(IF(ISNUMBER(MATCH(bhpc_data[category],$EC$9,0)),MATCH(ROW(bhpc_data[sku]),ROW(bhpc_data[sku])),""),ROWS($A$15:A361)+$B$3)),INDEX(bhpc_data[sku],SMALL(IF(ISNUMBER(MATCH(bhpc_data[category],$EC$9,0)*MATCH(bhpc_data[size],$EC$13,0)),MATCH(ROW(bhpc_data[sku]),ROW(bhpc_data[sku])),""),ROWS($A$15:A361)+$B$3))),IF($EC$13="",INDEX(bhpc_data[sku],SMALL(IF(ISNUMBER(MATCH(bhpc_data[category],$EC$9,0)*MATCH(bhpc_data[sex],$EC$11,0)),MATCH(ROW(bhpc_data[sku]),ROW(bhpc_data[sku])),""),ROWS($A$15:A361)+$B$3)),INDEX(bhpc_data[sku],SMALL(IF(ISNUMBER(MATCH(bhpc_data[category],$EC$9,0)*MATCH(bhpc_data[sex],$EC$11,0)*MATCH(bhpc_data[size],$EC$13,0)),MATCH(ROW(bhpc_data[sku]),ROW(bhpc_data[sku])),""),ROWS($A$15:A361)+$B$3))))),"")</f>
        <v/>
      </c>
      <c r="EF356" s="446" t="str" cm="1">
        <f t="array" ref="EF356">IFERROR(IF($EC$9="",IF($EC$11="",IF($EC$13="",INDEX(bhpc_data[description],SMALL(MATCH(ROW(bhpc_data[sku]),ROW(bhpc_data[sku])),ROWS($A$15:A361)+$B$3)),INDEX(bhpc_data[description],SMALL(IF(ISNUMBER(MATCH(bhpc_data[size],$EC$13,0)),MATCH(ROW(bhpc_data[sku]),ROW(bhpc_data[sku])),""),ROWS($A$15:A361)+$B$3))),IF($EC$13="",INDEX(bhpc_data[description],SMALL(IF(ISNUMBER(MATCH(bhpc_data[sex],$EC$11,0)),MATCH(ROW(bhpc_data[sku]),ROW(bhpc_data[sku])),""),ROWS($A$15:A361)+$B$3)),INDEX(bhpc_data[description],SMALL(IF(ISNUMBER(MATCH(bhpc_data[sex],$EC$11,0)*MATCH(bhpc_data[size],$EC$13,0)),MATCH(ROW(bhpc_data[sku]),ROW(bhpc_data[sku])),""),ROWS($A$15:A361)+$B$3)))),IF($EC$11="",IF($EC$13="",INDEX(bhpc_data[description],SMALL(IF(ISNUMBER(MATCH(bhpc_data[category],$EC$9,0)),MATCH(ROW(bhpc_data[sku]),ROW(bhpc_data[sku])),""),ROWS($A$15:A361)+$B$3)),INDEX(bhpc_data[description],SMALL(IF(ISNUMBER(MATCH(bhpc_data[category],$EC$9,0)*MATCH(bhpc_data[size],$EC$13,0)),MATCH(ROW(bhpc_data[sku]),ROW(bhpc_data[sku])),""),ROWS($A$15:A361)+$B$3))),IF($EC$13="",INDEX(bhpc_data[description],SMALL(IF(ISNUMBER(MATCH(bhpc_data[category],$EC$9,0)*MATCH(bhpc_data[sex],$EC$11,0)),MATCH(ROW(bhpc_data[sku]),ROW(bhpc_data[sku])),""),ROWS($A$15:A361)+$B$3)),INDEX(bhpc_data[description],SMALL(IF(ISNUMBER(MATCH(bhpc_data[category],$EC$9,0)*MATCH(bhpc_data[sex],$EC$11,0)*MATCH(bhpc_data[size],$EC$13,0)),MATCH(ROW(bhpc_data[sku]),ROW(bhpc_data[sku])),""),ROWS($A$15:A361)+$B$3))))),"")</f>
        <v/>
      </c>
      <c r="EG356" s="447" t="str">
        <f>IFERROR(IF('BHPC MANAGER'!$EE356="","",INDEX(inventory[ESISTENZA],MATCH('BHPC MANAGER'!$EE356,inventory[SKU],0))),0)</f>
        <v/>
      </c>
      <c r="EH356" s="448"/>
      <c r="EI356" s="448" t="str">
        <f t="shared" si="23"/>
        <v/>
      </c>
      <c r="EJ356" s="449"/>
      <c r="EK356" s="450" t="str">
        <f t="shared" si="24"/>
        <v/>
      </c>
    </row>
    <row r="357" spans="135:141" x14ac:dyDescent="0.35">
      <c r="EE357" s="439" t="str" cm="1">
        <f t="array" ref="EE357">IFERROR(IF($EC$9="",IF($EC$11="",IF($EC$13="",INDEX(bhpc_data[sku],SMALL(MATCH(ROW(bhpc_data[sku]),ROW(bhpc_data[sku])),ROWS($A$15:A362)+$B$3)),INDEX(bhpc_data[sku],SMALL(IF(ISNUMBER(MATCH(bhpc_data[size],$EC$13,0)),MATCH(ROW(bhpc_data[sku]),ROW(bhpc_data[sku])),""),ROWS($A$15:A362)+$B$3))),IF($EC$13="",INDEX(bhpc_data[sku],SMALL(IF(ISNUMBER(MATCH(bhpc_data[sex],$EC$11,0)),MATCH(ROW(bhpc_data[sku]),ROW(bhpc_data[sku])),""),ROWS($A$15:A362)+$B$3)),INDEX(bhpc_data[sku],SMALL(IF(ISNUMBER(MATCH(bhpc_data[sex],$EC$11,0)*MATCH(bhpc_data[size],$EC$13,0)),MATCH(ROW(bhpc_data[sku]),ROW(bhpc_data[sku])),""),ROWS($A$15:A362)+$B$3)))),IF($EC$11="",IF($EC$13="",INDEX(bhpc_data[sku],SMALL(IF(ISNUMBER(MATCH(bhpc_data[category],$EC$9,0)),MATCH(ROW(bhpc_data[sku]),ROW(bhpc_data[sku])),""),ROWS($A$15:A362)+$B$3)),INDEX(bhpc_data[sku],SMALL(IF(ISNUMBER(MATCH(bhpc_data[category],$EC$9,0)*MATCH(bhpc_data[size],$EC$13,0)),MATCH(ROW(bhpc_data[sku]),ROW(bhpc_data[sku])),""),ROWS($A$15:A362)+$B$3))),IF($EC$13="",INDEX(bhpc_data[sku],SMALL(IF(ISNUMBER(MATCH(bhpc_data[category],$EC$9,0)*MATCH(bhpc_data[sex],$EC$11,0)),MATCH(ROW(bhpc_data[sku]),ROW(bhpc_data[sku])),""),ROWS($A$15:A362)+$B$3)),INDEX(bhpc_data[sku],SMALL(IF(ISNUMBER(MATCH(bhpc_data[category],$EC$9,0)*MATCH(bhpc_data[sex],$EC$11,0)*MATCH(bhpc_data[size],$EC$13,0)),MATCH(ROW(bhpc_data[sku]),ROW(bhpc_data[sku])),""),ROWS($A$15:A362)+$B$3))))),"")</f>
        <v/>
      </c>
      <c r="EF357" s="440" t="str" cm="1">
        <f t="array" ref="EF357">IFERROR(IF($EC$9="",IF($EC$11="",IF($EC$13="",INDEX(bhpc_data[description],SMALL(MATCH(ROW(bhpc_data[sku]),ROW(bhpc_data[sku])),ROWS($A$15:A362)+$B$3)),INDEX(bhpc_data[description],SMALL(IF(ISNUMBER(MATCH(bhpc_data[size],$EC$13,0)),MATCH(ROW(bhpc_data[sku]),ROW(bhpc_data[sku])),""),ROWS($A$15:A362)+$B$3))),IF($EC$13="",INDEX(bhpc_data[description],SMALL(IF(ISNUMBER(MATCH(bhpc_data[sex],$EC$11,0)),MATCH(ROW(bhpc_data[sku]),ROW(bhpc_data[sku])),""),ROWS($A$15:A362)+$B$3)),INDEX(bhpc_data[description],SMALL(IF(ISNUMBER(MATCH(bhpc_data[sex],$EC$11,0)*MATCH(bhpc_data[size],$EC$13,0)),MATCH(ROW(bhpc_data[sku]),ROW(bhpc_data[sku])),""),ROWS($A$15:A362)+$B$3)))),IF($EC$11="",IF($EC$13="",INDEX(bhpc_data[description],SMALL(IF(ISNUMBER(MATCH(bhpc_data[category],$EC$9,0)),MATCH(ROW(bhpc_data[sku]),ROW(bhpc_data[sku])),""),ROWS($A$15:A362)+$B$3)),INDEX(bhpc_data[description],SMALL(IF(ISNUMBER(MATCH(bhpc_data[category],$EC$9,0)*MATCH(bhpc_data[size],$EC$13,0)),MATCH(ROW(bhpc_data[sku]),ROW(bhpc_data[sku])),""),ROWS($A$15:A362)+$B$3))),IF($EC$13="",INDEX(bhpc_data[description],SMALL(IF(ISNUMBER(MATCH(bhpc_data[category],$EC$9,0)*MATCH(bhpc_data[sex],$EC$11,0)),MATCH(ROW(bhpc_data[sku]),ROW(bhpc_data[sku])),""),ROWS($A$15:A362)+$B$3)),INDEX(bhpc_data[description],SMALL(IF(ISNUMBER(MATCH(bhpc_data[category],$EC$9,0)*MATCH(bhpc_data[sex],$EC$11,0)*MATCH(bhpc_data[size],$EC$13,0)),MATCH(ROW(bhpc_data[sku]),ROW(bhpc_data[sku])),""),ROWS($A$15:A362)+$B$3))))),"")</f>
        <v/>
      </c>
      <c r="EG357" s="441" t="str">
        <f>IFERROR(IF('BHPC MANAGER'!$EE357="","",INDEX(inventory[ESISTENZA],MATCH('BHPC MANAGER'!$EE357,inventory[SKU],0))),0)</f>
        <v/>
      </c>
      <c r="EH357" s="442"/>
      <c r="EI357" s="442" t="str">
        <f t="shared" si="23"/>
        <v/>
      </c>
      <c r="EJ357" s="443"/>
      <c r="EK357" s="444" t="str">
        <f t="shared" si="24"/>
        <v/>
      </c>
    </row>
    <row r="358" spans="135:141" x14ac:dyDescent="0.35">
      <c r="EE358" s="445" t="str" cm="1">
        <f t="array" ref="EE358">IFERROR(IF($EC$9="",IF($EC$11="",IF($EC$13="",INDEX(bhpc_data[sku],SMALL(MATCH(ROW(bhpc_data[sku]),ROW(bhpc_data[sku])),ROWS($A$15:A363)+$B$3)),INDEX(bhpc_data[sku],SMALL(IF(ISNUMBER(MATCH(bhpc_data[size],$EC$13,0)),MATCH(ROW(bhpc_data[sku]),ROW(bhpc_data[sku])),""),ROWS($A$15:A363)+$B$3))),IF($EC$13="",INDEX(bhpc_data[sku],SMALL(IF(ISNUMBER(MATCH(bhpc_data[sex],$EC$11,0)),MATCH(ROW(bhpc_data[sku]),ROW(bhpc_data[sku])),""),ROWS($A$15:A363)+$B$3)),INDEX(bhpc_data[sku],SMALL(IF(ISNUMBER(MATCH(bhpc_data[sex],$EC$11,0)*MATCH(bhpc_data[size],$EC$13,0)),MATCH(ROW(bhpc_data[sku]),ROW(bhpc_data[sku])),""),ROWS($A$15:A363)+$B$3)))),IF($EC$11="",IF($EC$13="",INDEX(bhpc_data[sku],SMALL(IF(ISNUMBER(MATCH(bhpc_data[category],$EC$9,0)),MATCH(ROW(bhpc_data[sku]),ROW(bhpc_data[sku])),""),ROWS($A$15:A363)+$B$3)),INDEX(bhpc_data[sku],SMALL(IF(ISNUMBER(MATCH(bhpc_data[category],$EC$9,0)*MATCH(bhpc_data[size],$EC$13,0)),MATCH(ROW(bhpc_data[sku]),ROW(bhpc_data[sku])),""),ROWS($A$15:A363)+$B$3))),IF($EC$13="",INDEX(bhpc_data[sku],SMALL(IF(ISNUMBER(MATCH(bhpc_data[category],$EC$9,0)*MATCH(bhpc_data[sex],$EC$11,0)),MATCH(ROW(bhpc_data[sku]),ROW(bhpc_data[sku])),""),ROWS($A$15:A363)+$B$3)),INDEX(bhpc_data[sku],SMALL(IF(ISNUMBER(MATCH(bhpc_data[category],$EC$9,0)*MATCH(bhpc_data[sex],$EC$11,0)*MATCH(bhpc_data[size],$EC$13,0)),MATCH(ROW(bhpc_data[sku]),ROW(bhpc_data[sku])),""),ROWS($A$15:A363)+$B$3))))),"")</f>
        <v/>
      </c>
      <c r="EF358" s="446" t="str" cm="1">
        <f t="array" ref="EF358">IFERROR(IF($EC$9="",IF($EC$11="",IF($EC$13="",INDEX(bhpc_data[description],SMALL(MATCH(ROW(bhpc_data[sku]),ROW(bhpc_data[sku])),ROWS($A$15:A363)+$B$3)),INDEX(bhpc_data[description],SMALL(IF(ISNUMBER(MATCH(bhpc_data[size],$EC$13,0)),MATCH(ROW(bhpc_data[sku]),ROW(bhpc_data[sku])),""),ROWS($A$15:A363)+$B$3))),IF($EC$13="",INDEX(bhpc_data[description],SMALL(IF(ISNUMBER(MATCH(bhpc_data[sex],$EC$11,0)),MATCH(ROW(bhpc_data[sku]),ROW(bhpc_data[sku])),""),ROWS($A$15:A363)+$B$3)),INDEX(bhpc_data[description],SMALL(IF(ISNUMBER(MATCH(bhpc_data[sex],$EC$11,0)*MATCH(bhpc_data[size],$EC$13,0)),MATCH(ROW(bhpc_data[sku]),ROW(bhpc_data[sku])),""),ROWS($A$15:A363)+$B$3)))),IF($EC$11="",IF($EC$13="",INDEX(bhpc_data[description],SMALL(IF(ISNUMBER(MATCH(bhpc_data[category],$EC$9,0)),MATCH(ROW(bhpc_data[sku]),ROW(bhpc_data[sku])),""),ROWS($A$15:A363)+$B$3)),INDEX(bhpc_data[description],SMALL(IF(ISNUMBER(MATCH(bhpc_data[category],$EC$9,0)*MATCH(bhpc_data[size],$EC$13,0)),MATCH(ROW(bhpc_data[sku]),ROW(bhpc_data[sku])),""),ROWS($A$15:A363)+$B$3))),IF($EC$13="",INDEX(bhpc_data[description],SMALL(IF(ISNUMBER(MATCH(bhpc_data[category],$EC$9,0)*MATCH(bhpc_data[sex],$EC$11,0)),MATCH(ROW(bhpc_data[sku]),ROW(bhpc_data[sku])),""),ROWS($A$15:A363)+$B$3)),INDEX(bhpc_data[description],SMALL(IF(ISNUMBER(MATCH(bhpc_data[category],$EC$9,0)*MATCH(bhpc_data[sex],$EC$11,0)*MATCH(bhpc_data[size],$EC$13,0)),MATCH(ROW(bhpc_data[sku]),ROW(bhpc_data[sku])),""),ROWS($A$15:A363)+$B$3))))),"")</f>
        <v/>
      </c>
      <c r="EG358" s="447" t="str">
        <f>IFERROR(IF('BHPC MANAGER'!$EE358="","",INDEX(inventory[ESISTENZA],MATCH('BHPC MANAGER'!$EE358,inventory[SKU],0))),0)</f>
        <v/>
      </c>
      <c r="EH358" s="448"/>
      <c r="EI358" s="448" t="str">
        <f t="shared" si="23"/>
        <v/>
      </c>
      <c r="EJ358" s="449"/>
      <c r="EK358" s="450" t="str">
        <f t="shared" si="24"/>
        <v/>
      </c>
    </row>
    <row r="359" spans="135:141" x14ac:dyDescent="0.35">
      <c r="EE359" s="439" t="str" cm="1">
        <f t="array" ref="EE359">IFERROR(IF($EC$9="",IF($EC$11="",IF($EC$13="",INDEX(bhpc_data[sku],SMALL(MATCH(ROW(bhpc_data[sku]),ROW(bhpc_data[sku])),ROWS($A$15:A364)+$B$3)),INDEX(bhpc_data[sku],SMALL(IF(ISNUMBER(MATCH(bhpc_data[size],$EC$13,0)),MATCH(ROW(bhpc_data[sku]),ROW(bhpc_data[sku])),""),ROWS($A$15:A364)+$B$3))),IF($EC$13="",INDEX(bhpc_data[sku],SMALL(IF(ISNUMBER(MATCH(bhpc_data[sex],$EC$11,0)),MATCH(ROW(bhpc_data[sku]),ROW(bhpc_data[sku])),""),ROWS($A$15:A364)+$B$3)),INDEX(bhpc_data[sku],SMALL(IF(ISNUMBER(MATCH(bhpc_data[sex],$EC$11,0)*MATCH(bhpc_data[size],$EC$13,0)),MATCH(ROW(bhpc_data[sku]),ROW(bhpc_data[sku])),""),ROWS($A$15:A364)+$B$3)))),IF($EC$11="",IF($EC$13="",INDEX(bhpc_data[sku],SMALL(IF(ISNUMBER(MATCH(bhpc_data[category],$EC$9,0)),MATCH(ROW(bhpc_data[sku]),ROW(bhpc_data[sku])),""),ROWS($A$15:A364)+$B$3)),INDEX(bhpc_data[sku],SMALL(IF(ISNUMBER(MATCH(bhpc_data[category],$EC$9,0)*MATCH(bhpc_data[size],$EC$13,0)),MATCH(ROW(bhpc_data[sku]),ROW(bhpc_data[sku])),""),ROWS($A$15:A364)+$B$3))),IF($EC$13="",INDEX(bhpc_data[sku],SMALL(IF(ISNUMBER(MATCH(bhpc_data[category],$EC$9,0)*MATCH(bhpc_data[sex],$EC$11,0)),MATCH(ROW(bhpc_data[sku]),ROW(bhpc_data[sku])),""),ROWS($A$15:A364)+$B$3)),INDEX(bhpc_data[sku],SMALL(IF(ISNUMBER(MATCH(bhpc_data[category],$EC$9,0)*MATCH(bhpc_data[sex],$EC$11,0)*MATCH(bhpc_data[size],$EC$13,0)),MATCH(ROW(bhpc_data[sku]),ROW(bhpc_data[sku])),""),ROWS($A$15:A364)+$B$3))))),"")</f>
        <v/>
      </c>
      <c r="EF359" s="440" t="str" cm="1">
        <f t="array" ref="EF359">IFERROR(IF($EC$9="",IF($EC$11="",IF($EC$13="",INDEX(bhpc_data[description],SMALL(MATCH(ROW(bhpc_data[sku]),ROW(bhpc_data[sku])),ROWS($A$15:A364)+$B$3)),INDEX(bhpc_data[description],SMALL(IF(ISNUMBER(MATCH(bhpc_data[size],$EC$13,0)),MATCH(ROW(bhpc_data[sku]),ROW(bhpc_data[sku])),""),ROWS($A$15:A364)+$B$3))),IF($EC$13="",INDEX(bhpc_data[description],SMALL(IF(ISNUMBER(MATCH(bhpc_data[sex],$EC$11,0)),MATCH(ROW(bhpc_data[sku]),ROW(bhpc_data[sku])),""),ROWS($A$15:A364)+$B$3)),INDEX(bhpc_data[description],SMALL(IF(ISNUMBER(MATCH(bhpc_data[sex],$EC$11,0)*MATCH(bhpc_data[size],$EC$13,0)),MATCH(ROW(bhpc_data[sku]),ROW(bhpc_data[sku])),""),ROWS($A$15:A364)+$B$3)))),IF($EC$11="",IF($EC$13="",INDEX(bhpc_data[description],SMALL(IF(ISNUMBER(MATCH(bhpc_data[category],$EC$9,0)),MATCH(ROW(bhpc_data[sku]),ROW(bhpc_data[sku])),""),ROWS($A$15:A364)+$B$3)),INDEX(bhpc_data[description],SMALL(IF(ISNUMBER(MATCH(bhpc_data[category],$EC$9,0)*MATCH(bhpc_data[size],$EC$13,0)),MATCH(ROW(bhpc_data[sku]),ROW(bhpc_data[sku])),""),ROWS($A$15:A364)+$B$3))),IF($EC$13="",INDEX(bhpc_data[description],SMALL(IF(ISNUMBER(MATCH(bhpc_data[category],$EC$9,0)*MATCH(bhpc_data[sex],$EC$11,0)),MATCH(ROW(bhpc_data[sku]),ROW(bhpc_data[sku])),""),ROWS($A$15:A364)+$B$3)),INDEX(bhpc_data[description],SMALL(IF(ISNUMBER(MATCH(bhpc_data[category],$EC$9,0)*MATCH(bhpc_data[sex],$EC$11,0)*MATCH(bhpc_data[size],$EC$13,0)),MATCH(ROW(bhpc_data[sku]),ROW(bhpc_data[sku])),""),ROWS($A$15:A364)+$B$3))))),"")</f>
        <v/>
      </c>
      <c r="EG359" s="441" t="str">
        <f>IFERROR(IF('BHPC MANAGER'!$EE359="","",INDEX(inventory[ESISTENZA],MATCH('BHPC MANAGER'!$EE359,inventory[SKU],0))),0)</f>
        <v/>
      </c>
      <c r="EH359" s="442"/>
      <c r="EI359" s="442" t="str">
        <f t="shared" si="23"/>
        <v/>
      </c>
      <c r="EJ359" s="443"/>
      <c r="EK359" s="444" t="str">
        <f t="shared" si="24"/>
        <v/>
      </c>
    </row>
    <row r="360" spans="135:141" x14ac:dyDescent="0.35">
      <c r="EE360" s="445" t="str" cm="1">
        <f t="array" ref="EE360">IFERROR(IF($EC$9="",IF($EC$11="",IF($EC$13="",INDEX(bhpc_data[sku],SMALL(MATCH(ROW(bhpc_data[sku]),ROW(bhpc_data[sku])),ROWS($A$15:A365)+$B$3)),INDEX(bhpc_data[sku],SMALL(IF(ISNUMBER(MATCH(bhpc_data[size],$EC$13,0)),MATCH(ROW(bhpc_data[sku]),ROW(bhpc_data[sku])),""),ROWS($A$15:A365)+$B$3))),IF($EC$13="",INDEX(bhpc_data[sku],SMALL(IF(ISNUMBER(MATCH(bhpc_data[sex],$EC$11,0)),MATCH(ROW(bhpc_data[sku]),ROW(bhpc_data[sku])),""),ROWS($A$15:A365)+$B$3)),INDEX(bhpc_data[sku],SMALL(IF(ISNUMBER(MATCH(bhpc_data[sex],$EC$11,0)*MATCH(bhpc_data[size],$EC$13,0)),MATCH(ROW(bhpc_data[sku]),ROW(bhpc_data[sku])),""),ROWS($A$15:A365)+$B$3)))),IF($EC$11="",IF($EC$13="",INDEX(bhpc_data[sku],SMALL(IF(ISNUMBER(MATCH(bhpc_data[category],$EC$9,0)),MATCH(ROW(bhpc_data[sku]),ROW(bhpc_data[sku])),""),ROWS($A$15:A365)+$B$3)),INDEX(bhpc_data[sku],SMALL(IF(ISNUMBER(MATCH(bhpc_data[category],$EC$9,0)*MATCH(bhpc_data[size],$EC$13,0)),MATCH(ROW(bhpc_data[sku]),ROW(bhpc_data[sku])),""),ROWS($A$15:A365)+$B$3))),IF($EC$13="",INDEX(bhpc_data[sku],SMALL(IF(ISNUMBER(MATCH(bhpc_data[category],$EC$9,0)*MATCH(bhpc_data[sex],$EC$11,0)),MATCH(ROW(bhpc_data[sku]),ROW(bhpc_data[sku])),""),ROWS($A$15:A365)+$B$3)),INDEX(bhpc_data[sku],SMALL(IF(ISNUMBER(MATCH(bhpc_data[category],$EC$9,0)*MATCH(bhpc_data[sex],$EC$11,0)*MATCH(bhpc_data[size],$EC$13,0)),MATCH(ROW(bhpc_data[sku]),ROW(bhpc_data[sku])),""),ROWS($A$15:A365)+$B$3))))),"")</f>
        <v/>
      </c>
      <c r="EF360" s="446" t="str" cm="1">
        <f t="array" ref="EF360">IFERROR(IF($EC$9="",IF($EC$11="",IF($EC$13="",INDEX(bhpc_data[description],SMALL(MATCH(ROW(bhpc_data[sku]),ROW(bhpc_data[sku])),ROWS($A$15:A365)+$B$3)),INDEX(bhpc_data[description],SMALL(IF(ISNUMBER(MATCH(bhpc_data[size],$EC$13,0)),MATCH(ROW(bhpc_data[sku]),ROW(bhpc_data[sku])),""),ROWS($A$15:A365)+$B$3))),IF($EC$13="",INDEX(bhpc_data[description],SMALL(IF(ISNUMBER(MATCH(bhpc_data[sex],$EC$11,0)),MATCH(ROW(bhpc_data[sku]),ROW(bhpc_data[sku])),""),ROWS($A$15:A365)+$B$3)),INDEX(bhpc_data[description],SMALL(IF(ISNUMBER(MATCH(bhpc_data[sex],$EC$11,0)*MATCH(bhpc_data[size],$EC$13,0)),MATCH(ROW(bhpc_data[sku]),ROW(bhpc_data[sku])),""),ROWS($A$15:A365)+$B$3)))),IF($EC$11="",IF($EC$13="",INDEX(bhpc_data[description],SMALL(IF(ISNUMBER(MATCH(bhpc_data[category],$EC$9,0)),MATCH(ROW(bhpc_data[sku]),ROW(bhpc_data[sku])),""),ROWS($A$15:A365)+$B$3)),INDEX(bhpc_data[description],SMALL(IF(ISNUMBER(MATCH(bhpc_data[category],$EC$9,0)*MATCH(bhpc_data[size],$EC$13,0)),MATCH(ROW(bhpc_data[sku]),ROW(bhpc_data[sku])),""),ROWS($A$15:A365)+$B$3))),IF($EC$13="",INDEX(bhpc_data[description],SMALL(IF(ISNUMBER(MATCH(bhpc_data[category],$EC$9,0)*MATCH(bhpc_data[sex],$EC$11,0)),MATCH(ROW(bhpc_data[sku]),ROW(bhpc_data[sku])),""),ROWS($A$15:A365)+$B$3)),INDEX(bhpc_data[description],SMALL(IF(ISNUMBER(MATCH(bhpc_data[category],$EC$9,0)*MATCH(bhpc_data[sex],$EC$11,0)*MATCH(bhpc_data[size],$EC$13,0)),MATCH(ROW(bhpc_data[sku]),ROW(bhpc_data[sku])),""),ROWS($A$15:A365)+$B$3))))),"")</f>
        <v/>
      </c>
      <c r="EG360" s="447" t="str">
        <f>IFERROR(IF('BHPC MANAGER'!$EE360="","",INDEX(inventory[ESISTENZA],MATCH('BHPC MANAGER'!$EE360,inventory[SKU],0))),0)</f>
        <v/>
      </c>
      <c r="EH360" s="448"/>
      <c r="EI360" s="448" t="str">
        <f t="shared" si="23"/>
        <v/>
      </c>
      <c r="EJ360" s="449"/>
      <c r="EK360" s="450" t="str">
        <f t="shared" si="24"/>
        <v/>
      </c>
    </row>
    <row r="361" spans="135:141" x14ac:dyDescent="0.35">
      <c r="EE361" s="439" t="str" cm="1">
        <f t="array" ref="EE361">IFERROR(IF($EC$9="",IF($EC$11="",IF($EC$13="",INDEX(bhpc_data[sku],SMALL(MATCH(ROW(bhpc_data[sku]),ROW(bhpc_data[sku])),ROWS($A$15:A366)+$B$3)),INDEX(bhpc_data[sku],SMALL(IF(ISNUMBER(MATCH(bhpc_data[size],$EC$13,0)),MATCH(ROW(bhpc_data[sku]),ROW(bhpc_data[sku])),""),ROWS($A$15:A366)+$B$3))),IF($EC$13="",INDEX(bhpc_data[sku],SMALL(IF(ISNUMBER(MATCH(bhpc_data[sex],$EC$11,0)),MATCH(ROW(bhpc_data[sku]),ROW(bhpc_data[sku])),""),ROWS($A$15:A366)+$B$3)),INDEX(bhpc_data[sku],SMALL(IF(ISNUMBER(MATCH(bhpc_data[sex],$EC$11,0)*MATCH(bhpc_data[size],$EC$13,0)),MATCH(ROW(bhpc_data[sku]),ROW(bhpc_data[sku])),""),ROWS($A$15:A366)+$B$3)))),IF($EC$11="",IF($EC$13="",INDEX(bhpc_data[sku],SMALL(IF(ISNUMBER(MATCH(bhpc_data[category],$EC$9,0)),MATCH(ROW(bhpc_data[sku]),ROW(bhpc_data[sku])),""),ROWS($A$15:A366)+$B$3)),INDEX(bhpc_data[sku],SMALL(IF(ISNUMBER(MATCH(bhpc_data[category],$EC$9,0)*MATCH(bhpc_data[size],$EC$13,0)),MATCH(ROW(bhpc_data[sku]),ROW(bhpc_data[sku])),""),ROWS($A$15:A366)+$B$3))),IF($EC$13="",INDEX(bhpc_data[sku],SMALL(IF(ISNUMBER(MATCH(bhpc_data[category],$EC$9,0)*MATCH(bhpc_data[sex],$EC$11,0)),MATCH(ROW(bhpc_data[sku]),ROW(bhpc_data[sku])),""),ROWS($A$15:A366)+$B$3)),INDEX(bhpc_data[sku],SMALL(IF(ISNUMBER(MATCH(bhpc_data[category],$EC$9,0)*MATCH(bhpc_data[sex],$EC$11,0)*MATCH(bhpc_data[size],$EC$13,0)),MATCH(ROW(bhpc_data[sku]),ROW(bhpc_data[sku])),""),ROWS($A$15:A366)+$B$3))))),"")</f>
        <v/>
      </c>
      <c r="EF361" s="440" t="str" cm="1">
        <f t="array" ref="EF361">IFERROR(IF($EC$9="",IF($EC$11="",IF($EC$13="",INDEX(bhpc_data[description],SMALL(MATCH(ROW(bhpc_data[sku]),ROW(bhpc_data[sku])),ROWS($A$15:A366)+$B$3)),INDEX(bhpc_data[description],SMALL(IF(ISNUMBER(MATCH(bhpc_data[size],$EC$13,0)),MATCH(ROW(bhpc_data[sku]),ROW(bhpc_data[sku])),""),ROWS($A$15:A366)+$B$3))),IF($EC$13="",INDEX(bhpc_data[description],SMALL(IF(ISNUMBER(MATCH(bhpc_data[sex],$EC$11,0)),MATCH(ROW(bhpc_data[sku]),ROW(bhpc_data[sku])),""),ROWS($A$15:A366)+$B$3)),INDEX(bhpc_data[description],SMALL(IF(ISNUMBER(MATCH(bhpc_data[sex],$EC$11,0)*MATCH(bhpc_data[size],$EC$13,0)),MATCH(ROW(bhpc_data[sku]),ROW(bhpc_data[sku])),""),ROWS($A$15:A366)+$B$3)))),IF($EC$11="",IF($EC$13="",INDEX(bhpc_data[description],SMALL(IF(ISNUMBER(MATCH(bhpc_data[category],$EC$9,0)),MATCH(ROW(bhpc_data[sku]),ROW(bhpc_data[sku])),""),ROWS($A$15:A366)+$B$3)),INDEX(bhpc_data[description],SMALL(IF(ISNUMBER(MATCH(bhpc_data[category],$EC$9,0)*MATCH(bhpc_data[size],$EC$13,0)),MATCH(ROW(bhpc_data[sku]),ROW(bhpc_data[sku])),""),ROWS($A$15:A366)+$B$3))),IF($EC$13="",INDEX(bhpc_data[description],SMALL(IF(ISNUMBER(MATCH(bhpc_data[category],$EC$9,0)*MATCH(bhpc_data[sex],$EC$11,0)),MATCH(ROW(bhpc_data[sku]),ROW(bhpc_data[sku])),""),ROWS($A$15:A366)+$B$3)),INDEX(bhpc_data[description],SMALL(IF(ISNUMBER(MATCH(bhpc_data[category],$EC$9,0)*MATCH(bhpc_data[sex],$EC$11,0)*MATCH(bhpc_data[size],$EC$13,0)),MATCH(ROW(bhpc_data[sku]),ROW(bhpc_data[sku])),""),ROWS($A$15:A366)+$B$3))))),"")</f>
        <v/>
      </c>
      <c r="EG361" s="441" t="str">
        <f>IFERROR(IF('BHPC MANAGER'!$EE361="","",INDEX(inventory[ESISTENZA],MATCH('BHPC MANAGER'!$EE361,inventory[SKU],0))),0)</f>
        <v/>
      </c>
      <c r="EH361" s="442"/>
      <c r="EI361" s="442" t="str">
        <f t="shared" si="23"/>
        <v/>
      </c>
      <c r="EJ361" s="443"/>
      <c r="EK361" s="444" t="str">
        <f t="shared" si="24"/>
        <v/>
      </c>
    </row>
    <row r="362" spans="135:141" x14ac:dyDescent="0.35">
      <c r="EE362" s="445" t="str" cm="1">
        <f t="array" ref="EE362">IFERROR(IF($EC$9="",IF($EC$11="",IF($EC$13="",INDEX(bhpc_data[sku],SMALL(MATCH(ROW(bhpc_data[sku]),ROW(bhpc_data[sku])),ROWS($A$15:A367)+$B$3)),INDEX(bhpc_data[sku],SMALL(IF(ISNUMBER(MATCH(bhpc_data[size],$EC$13,0)),MATCH(ROW(bhpc_data[sku]),ROW(bhpc_data[sku])),""),ROWS($A$15:A367)+$B$3))),IF($EC$13="",INDEX(bhpc_data[sku],SMALL(IF(ISNUMBER(MATCH(bhpc_data[sex],$EC$11,0)),MATCH(ROW(bhpc_data[sku]),ROW(bhpc_data[sku])),""),ROWS($A$15:A367)+$B$3)),INDEX(bhpc_data[sku],SMALL(IF(ISNUMBER(MATCH(bhpc_data[sex],$EC$11,0)*MATCH(bhpc_data[size],$EC$13,0)),MATCH(ROW(bhpc_data[sku]),ROW(bhpc_data[sku])),""),ROWS($A$15:A367)+$B$3)))),IF($EC$11="",IF($EC$13="",INDEX(bhpc_data[sku],SMALL(IF(ISNUMBER(MATCH(bhpc_data[category],$EC$9,0)),MATCH(ROW(bhpc_data[sku]),ROW(bhpc_data[sku])),""),ROWS($A$15:A367)+$B$3)),INDEX(bhpc_data[sku],SMALL(IF(ISNUMBER(MATCH(bhpc_data[category],$EC$9,0)*MATCH(bhpc_data[size],$EC$13,0)),MATCH(ROW(bhpc_data[sku]),ROW(bhpc_data[sku])),""),ROWS($A$15:A367)+$B$3))),IF($EC$13="",INDEX(bhpc_data[sku],SMALL(IF(ISNUMBER(MATCH(bhpc_data[category],$EC$9,0)*MATCH(bhpc_data[sex],$EC$11,0)),MATCH(ROW(bhpc_data[sku]),ROW(bhpc_data[sku])),""),ROWS($A$15:A367)+$B$3)),INDEX(bhpc_data[sku],SMALL(IF(ISNUMBER(MATCH(bhpc_data[category],$EC$9,0)*MATCH(bhpc_data[sex],$EC$11,0)*MATCH(bhpc_data[size],$EC$13,0)),MATCH(ROW(bhpc_data[sku]),ROW(bhpc_data[sku])),""),ROWS($A$15:A367)+$B$3))))),"")</f>
        <v/>
      </c>
      <c r="EF362" s="446" t="str" cm="1">
        <f t="array" ref="EF362">IFERROR(IF($EC$9="",IF($EC$11="",IF($EC$13="",INDEX(bhpc_data[description],SMALL(MATCH(ROW(bhpc_data[sku]),ROW(bhpc_data[sku])),ROWS($A$15:A367)+$B$3)),INDEX(bhpc_data[description],SMALL(IF(ISNUMBER(MATCH(bhpc_data[size],$EC$13,0)),MATCH(ROW(bhpc_data[sku]),ROW(bhpc_data[sku])),""),ROWS($A$15:A367)+$B$3))),IF($EC$13="",INDEX(bhpc_data[description],SMALL(IF(ISNUMBER(MATCH(bhpc_data[sex],$EC$11,0)),MATCH(ROW(bhpc_data[sku]),ROW(bhpc_data[sku])),""),ROWS($A$15:A367)+$B$3)),INDEX(bhpc_data[description],SMALL(IF(ISNUMBER(MATCH(bhpc_data[sex],$EC$11,0)*MATCH(bhpc_data[size],$EC$13,0)),MATCH(ROW(bhpc_data[sku]),ROW(bhpc_data[sku])),""),ROWS($A$15:A367)+$B$3)))),IF($EC$11="",IF($EC$13="",INDEX(bhpc_data[description],SMALL(IF(ISNUMBER(MATCH(bhpc_data[category],$EC$9,0)),MATCH(ROW(bhpc_data[sku]),ROW(bhpc_data[sku])),""),ROWS($A$15:A367)+$B$3)),INDEX(bhpc_data[description],SMALL(IF(ISNUMBER(MATCH(bhpc_data[category],$EC$9,0)*MATCH(bhpc_data[size],$EC$13,0)),MATCH(ROW(bhpc_data[sku]),ROW(bhpc_data[sku])),""),ROWS($A$15:A367)+$B$3))),IF($EC$13="",INDEX(bhpc_data[description],SMALL(IF(ISNUMBER(MATCH(bhpc_data[category],$EC$9,0)*MATCH(bhpc_data[sex],$EC$11,0)),MATCH(ROW(bhpc_data[sku]),ROW(bhpc_data[sku])),""),ROWS($A$15:A367)+$B$3)),INDEX(bhpc_data[description],SMALL(IF(ISNUMBER(MATCH(bhpc_data[category],$EC$9,0)*MATCH(bhpc_data[sex],$EC$11,0)*MATCH(bhpc_data[size],$EC$13,0)),MATCH(ROW(bhpc_data[sku]),ROW(bhpc_data[sku])),""),ROWS($A$15:A367)+$B$3))))),"")</f>
        <v/>
      </c>
      <c r="EG362" s="447" t="str">
        <f>IFERROR(IF('BHPC MANAGER'!$EE362="","",INDEX(inventory[ESISTENZA],MATCH('BHPC MANAGER'!$EE362,inventory[SKU],0))),0)</f>
        <v/>
      </c>
      <c r="EH362" s="448"/>
      <c r="EI362" s="448" t="str">
        <f t="shared" si="23"/>
        <v/>
      </c>
      <c r="EJ362" s="449"/>
      <c r="EK362" s="450" t="str">
        <f t="shared" si="24"/>
        <v/>
      </c>
    </row>
    <row r="363" spans="135:141" x14ac:dyDescent="0.35">
      <c r="EE363" s="439" t="str" cm="1">
        <f t="array" ref="EE363">IFERROR(IF($EC$9="",IF($EC$11="",IF($EC$13="",INDEX(bhpc_data[sku],SMALL(MATCH(ROW(bhpc_data[sku]),ROW(bhpc_data[sku])),ROWS($A$15:A368)+$B$3)),INDEX(bhpc_data[sku],SMALL(IF(ISNUMBER(MATCH(bhpc_data[size],$EC$13,0)),MATCH(ROW(bhpc_data[sku]),ROW(bhpc_data[sku])),""),ROWS($A$15:A368)+$B$3))),IF($EC$13="",INDEX(bhpc_data[sku],SMALL(IF(ISNUMBER(MATCH(bhpc_data[sex],$EC$11,0)),MATCH(ROW(bhpc_data[sku]),ROW(bhpc_data[sku])),""),ROWS($A$15:A368)+$B$3)),INDEX(bhpc_data[sku],SMALL(IF(ISNUMBER(MATCH(bhpc_data[sex],$EC$11,0)*MATCH(bhpc_data[size],$EC$13,0)),MATCH(ROW(bhpc_data[sku]),ROW(bhpc_data[sku])),""),ROWS($A$15:A368)+$B$3)))),IF($EC$11="",IF($EC$13="",INDEX(bhpc_data[sku],SMALL(IF(ISNUMBER(MATCH(bhpc_data[category],$EC$9,0)),MATCH(ROW(bhpc_data[sku]),ROW(bhpc_data[sku])),""),ROWS($A$15:A368)+$B$3)),INDEX(bhpc_data[sku],SMALL(IF(ISNUMBER(MATCH(bhpc_data[category],$EC$9,0)*MATCH(bhpc_data[size],$EC$13,0)),MATCH(ROW(bhpc_data[sku]),ROW(bhpc_data[sku])),""),ROWS($A$15:A368)+$B$3))),IF($EC$13="",INDEX(bhpc_data[sku],SMALL(IF(ISNUMBER(MATCH(bhpc_data[category],$EC$9,0)*MATCH(bhpc_data[sex],$EC$11,0)),MATCH(ROW(bhpc_data[sku]),ROW(bhpc_data[sku])),""),ROWS($A$15:A368)+$B$3)),INDEX(bhpc_data[sku],SMALL(IF(ISNUMBER(MATCH(bhpc_data[category],$EC$9,0)*MATCH(bhpc_data[sex],$EC$11,0)*MATCH(bhpc_data[size],$EC$13,0)),MATCH(ROW(bhpc_data[sku]),ROW(bhpc_data[sku])),""),ROWS($A$15:A368)+$B$3))))),"")</f>
        <v/>
      </c>
      <c r="EF363" s="440" t="str" cm="1">
        <f t="array" ref="EF363">IFERROR(IF($EC$9="",IF($EC$11="",IF($EC$13="",INDEX(bhpc_data[description],SMALL(MATCH(ROW(bhpc_data[sku]),ROW(bhpc_data[sku])),ROWS($A$15:A368)+$B$3)),INDEX(bhpc_data[description],SMALL(IF(ISNUMBER(MATCH(bhpc_data[size],$EC$13,0)),MATCH(ROW(bhpc_data[sku]),ROW(bhpc_data[sku])),""),ROWS($A$15:A368)+$B$3))),IF($EC$13="",INDEX(bhpc_data[description],SMALL(IF(ISNUMBER(MATCH(bhpc_data[sex],$EC$11,0)),MATCH(ROW(bhpc_data[sku]),ROW(bhpc_data[sku])),""),ROWS($A$15:A368)+$B$3)),INDEX(bhpc_data[description],SMALL(IF(ISNUMBER(MATCH(bhpc_data[sex],$EC$11,0)*MATCH(bhpc_data[size],$EC$13,0)),MATCH(ROW(bhpc_data[sku]),ROW(bhpc_data[sku])),""),ROWS($A$15:A368)+$B$3)))),IF($EC$11="",IF($EC$13="",INDEX(bhpc_data[description],SMALL(IF(ISNUMBER(MATCH(bhpc_data[category],$EC$9,0)),MATCH(ROW(bhpc_data[sku]),ROW(bhpc_data[sku])),""),ROWS($A$15:A368)+$B$3)),INDEX(bhpc_data[description],SMALL(IF(ISNUMBER(MATCH(bhpc_data[category],$EC$9,0)*MATCH(bhpc_data[size],$EC$13,0)),MATCH(ROW(bhpc_data[sku]),ROW(bhpc_data[sku])),""),ROWS($A$15:A368)+$B$3))),IF($EC$13="",INDEX(bhpc_data[description],SMALL(IF(ISNUMBER(MATCH(bhpc_data[category],$EC$9,0)*MATCH(bhpc_data[sex],$EC$11,0)),MATCH(ROW(bhpc_data[sku]),ROW(bhpc_data[sku])),""),ROWS($A$15:A368)+$B$3)),INDEX(bhpc_data[description],SMALL(IF(ISNUMBER(MATCH(bhpc_data[category],$EC$9,0)*MATCH(bhpc_data[sex],$EC$11,0)*MATCH(bhpc_data[size],$EC$13,0)),MATCH(ROW(bhpc_data[sku]),ROW(bhpc_data[sku])),""),ROWS($A$15:A368)+$B$3))))),"")</f>
        <v/>
      </c>
      <c r="EG363" s="441" t="str">
        <f>IFERROR(IF('BHPC MANAGER'!$EE363="","",INDEX(inventory[ESISTENZA],MATCH('BHPC MANAGER'!$EE363,inventory[SKU],0))),0)</f>
        <v/>
      </c>
      <c r="EH363" s="442"/>
      <c r="EI363" s="442" t="str">
        <f t="shared" si="23"/>
        <v/>
      </c>
      <c r="EJ363" s="443"/>
      <c r="EK363" s="444" t="str">
        <f t="shared" si="24"/>
        <v/>
      </c>
    </row>
    <row r="364" spans="135:141" x14ac:dyDescent="0.35">
      <c r="EE364" s="445" t="str" cm="1">
        <f t="array" ref="EE364">IFERROR(IF($EC$9="",IF($EC$11="",IF($EC$13="",INDEX(bhpc_data[sku],SMALL(MATCH(ROW(bhpc_data[sku]),ROW(bhpc_data[sku])),ROWS($A$15:A369)+$B$3)),INDEX(bhpc_data[sku],SMALL(IF(ISNUMBER(MATCH(bhpc_data[size],$EC$13,0)),MATCH(ROW(bhpc_data[sku]),ROW(bhpc_data[sku])),""),ROWS($A$15:A369)+$B$3))),IF($EC$13="",INDEX(bhpc_data[sku],SMALL(IF(ISNUMBER(MATCH(bhpc_data[sex],$EC$11,0)),MATCH(ROW(bhpc_data[sku]),ROW(bhpc_data[sku])),""),ROWS($A$15:A369)+$B$3)),INDEX(bhpc_data[sku],SMALL(IF(ISNUMBER(MATCH(bhpc_data[sex],$EC$11,0)*MATCH(bhpc_data[size],$EC$13,0)),MATCH(ROW(bhpc_data[sku]),ROW(bhpc_data[sku])),""),ROWS($A$15:A369)+$B$3)))),IF($EC$11="",IF($EC$13="",INDEX(bhpc_data[sku],SMALL(IF(ISNUMBER(MATCH(bhpc_data[category],$EC$9,0)),MATCH(ROW(bhpc_data[sku]),ROW(bhpc_data[sku])),""),ROWS($A$15:A369)+$B$3)),INDEX(bhpc_data[sku],SMALL(IF(ISNUMBER(MATCH(bhpc_data[category],$EC$9,0)*MATCH(bhpc_data[size],$EC$13,0)),MATCH(ROW(bhpc_data[sku]),ROW(bhpc_data[sku])),""),ROWS($A$15:A369)+$B$3))),IF($EC$13="",INDEX(bhpc_data[sku],SMALL(IF(ISNUMBER(MATCH(bhpc_data[category],$EC$9,0)*MATCH(bhpc_data[sex],$EC$11,0)),MATCH(ROW(bhpc_data[sku]),ROW(bhpc_data[sku])),""),ROWS($A$15:A369)+$B$3)),INDEX(bhpc_data[sku],SMALL(IF(ISNUMBER(MATCH(bhpc_data[category],$EC$9,0)*MATCH(bhpc_data[sex],$EC$11,0)*MATCH(bhpc_data[size],$EC$13,0)),MATCH(ROW(bhpc_data[sku]),ROW(bhpc_data[sku])),""),ROWS($A$15:A369)+$B$3))))),"")</f>
        <v/>
      </c>
      <c r="EF364" s="446" t="str" cm="1">
        <f t="array" ref="EF364">IFERROR(IF($EC$9="",IF($EC$11="",IF($EC$13="",INDEX(bhpc_data[description],SMALL(MATCH(ROW(bhpc_data[sku]),ROW(bhpc_data[sku])),ROWS($A$15:A369)+$B$3)),INDEX(bhpc_data[description],SMALL(IF(ISNUMBER(MATCH(bhpc_data[size],$EC$13,0)),MATCH(ROW(bhpc_data[sku]),ROW(bhpc_data[sku])),""),ROWS($A$15:A369)+$B$3))),IF($EC$13="",INDEX(bhpc_data[description],SMALL(IF(ISNUMBER(MATCH(bhpc_data[sex],$EC$11,0)),MATCH(ROW(bhpc_data[sku]),ROW(bhpc_data[sku])),""),ROWS($A$15:A369)+$B$3)),INDEX(bhpc_data[description],SMALL(IF(ISNUMBER(MATCH(bhpc_data[sex],$EC$11,0)*MATCH(bhpc_data[size],$EC$13,0)),MATCH(ROW(bhpc_data[sku]),ROW(bhpc_data[sku])),""),ROWS($A$15:A369)+$B$3)))),IF($EC$11="",IF($EC$13="",INDEX(bhpc_data[description],SMALL(IF(ISNUMBER(MATCH(bhpc_data[category],$EC$9,0)),MATCH(ROW(bhpc_data[sku]),ROW(bhpc_data[sku])),""),ROWS($A$15:A369)+$B$3)),INDEX(bhpc_data[description],SMALL(IF(ISNUMBER(MATCH(bhpc_data[category],$EC$9,0)*MATCH(bhpc_data[size],$EC$13,0)),MATCH(ROW(bhpc_data[sku]),ROW(bhpc_data[sku])),""),ROWS($A$15:A369)+$B$3))),IF($EC$13="",INDEX(bhpc_data[description],SMALL(IF(ISNUMBER(MATCH(bhpc_data[category],$EC$9,0)*MATCH(bhpc_data[sex],$EC$11,0)),MATCH(ROW(bhpc_data[sku]),ROW(bhpc_data[sku])),""),ROWS($A$15:A369)+$B$3)),INDEX(bhpc_data[description],SMALL(IF(ISNUMBER(MATCH(bhpc_data[category],$EC$9,0)*MATCH(bhpc_data[sex],$EC$11,0)*MATCH(bhpc_data[size],$EC$13,0)),MATCH(ROW(bhpc_data[sku]),ROW(bhpc_data[sku])),""),ROWS($A$15:A369)+$B$3))))),"")</f>
        <v/>
      </c>
      <c r="EG364" s="447" t="str">
        <f>IFERROR(IF('BHPC MANAGER'!$EE364="","",INDEX(inventory[ESISTENZA],MATCH('BHPC MANAGER'!$EE364,inventory[SKU],0))),0)</f>
        <v/>
      </c>
      <c r="EH364" s="448"/>
      <c r="EI364" s="448" t="str">
        <f t="shared" si="23"/>
        <v/>
      </c>
      <c r="EJ364" s="449"/>
      <c r="EK364" s="450" t="str">
        <f t="shared" si="24"/>
        <v/>
      </c>
    </row>
    <row r="365" spans="135:141" x14ac:dyDescent="0.35">
      <c r="EE365" s="439" t="str" cm="1">
        <f t="array" ref="EE365">IFERROR(IF($EC$9="",IF($EC$11="",IF($EC$13="",INDEX(bhpc_data[sku],SMALL(MATCH(ROW(bhpc_data[sku]),ROW(bhpc_data[sku])),ROWS($A$15:A370)+$B$3)),INDEX(bhpc_data[sku],SMALL(IF(ISNUMBER(MATCH(bhpc_data[size],$EC$13,0)),MATCH(ROW(bhpc_data[sku]),ROW(bhpc_data[sku])),""),ROWS($A$15:A370)+$B$3))),IF($EC$13="",INDEX(bhpc_data[sku],SMALL(IF(ISNUMBER(MATCH(bhpc_data[sex],$EC$11,0)),MATCH(ROW(bhpc_data[sku]),ROW(bhpc_data[sku])),""),ROWS($A$15:A370)+$B$3)),INDEX(bhpc_data[sku],SMALL(IF(ISNUMBER(MATCH(bhpc_data[sex],$EC$11,0)*MATCH(bhpc_data[size],$EC$13,0)),MATCH(ROW(bhpc_data[sku]),ROW(bhpc_data[sku])),""),ROWS($A$15:A370)+$B$3)))),IF($EC$11="",IF($EC$13="",INDEX(bhpc_data[sku],SMALL(IF(ISNUMBER(MATCH(bhpc_data[category],$EC$9,0)),MATCH(ROW(bhpc_data[sku]),ROW(bhpc_data[sku])),""),ROWS($A$15:A370)+$B$3)),INDEX(bhpc_data[sku],SMALL(IF(ISNUMBER(MATCH(bhpc_data[category],$EC$9,0)*MATCH(bhpc_data[size],$EC$13,0)),MATCH(ROW(bhpc_data[sku]),ROW(bhpc_data[sku])),""),ROWS($A$15:A370)+$B$3))),IF($EC$13="",INDEX(bhpc_data[sku],SMALL(IF(ISNUMBER(MATCH(bhpc_data[category],$EC$9,0)*MATCH(bhpc_data[sex],$EC$11,0)),MATCH(ROW(bhpc_data[sku]),ROW(bhpc_data[sku])),""),ROWS($A$15:A370)+$B$3)),INDEX(bhpc_data[sku],SMALL(IF(ISNUMBER(MATCH(bhpc_data[category],$EC$9,0)*MATCH(bhpc_data[sex],$EC$11,0)*MATCH(bhpc_data[size],$EC$13,0)),MATCH(ROW(bhpc_data[sku]),ROW(bhpc_data[sku])),""),ROWS($A$15:A370)+$B$3))))),"")</f>
        <v/>
      </c>
      <c r="EF365" s="440" t="str" cm="1">
        <f t="array" ref="EF365">IFERROR(IF($EC$9="",IF($EC$11="",IF($EC$13="",INDEX(bhpc_data[description],SMALL(MATCH(ROW(bhpc_data[sku]),ROW(bhpc_data[sku])),ROWS($A$15:A370)+$B$3)),INDEX(bhpc_data[description],SMALL(IF(ISNUMBER(MATCH(bhpc_data[size],$EC$13,0)),MATCH(ROW(bhpc_data[sku]),ROW(bhpc_data[sku])),""),ROWS($A$15:A370)+$B$3))),IF($EC$13="",INDEX(bhpc_data[description],SMALL(IF(ISNUMBER(MATCH(bhpc_data[sex],$EC$11,0)),MATCH(ROW(bhpc_data[sku]),ROW(bhpc_data[sku])),""),ROWS($A$15:A370)+$B$3)),INDEX(bhpc_data[description],SMALL(IF(ISNUMBER(MATCH(bhpc_data[sex],$EC$11,0)*MATCH(bhpc_data[size],$EC$13,0)),MATCH(ROW(bhpc_data[sku]),ROW(bhpc_data[sku])),""),ROWS($A$15:A370)+$B$3)))),IF($EC$11="",IF($EC$13="",INDEX(bhpc_data[description],SMALL(IF(ISNUMBER(MATCH(bhpc_data[category],$EC$9,0)),MATCH(ROW(bhpc_data[sku]),ROW(bhpc_data[sku])),""),ROWS($A$15:A370)+$B$3)),INDEX(bhpc_data[description],SMALL(IF(ISNUMBER(MATCH(bhpc_data[category],$EC$9,0)*MATCH(bhpc_data[size],$EC$13,0)),MATCH(ROW(bhpc_data[sku]),ROW(bhpc_data[sku])),""),ROWS($A$15:A370)+$B$3))),IF($EC$13="",INDEX(bhpc_data[description],SMALL(IF(ISNUMBER(MATCH(bhpc_data[category],$EC$9,0)*MATCH(bhpc_data[sex],$EC$11,0)),MATCH(ROW(bhpc_data[sku]),ROW(bhpc_data[sku])),""),ROWS($A$15:A370)+$B$3)),INDEX(bhpc_data[description],SMALL(IF(ISNUMBER(MATCH(bhpc_data[category],$EC$9,0)*MATCH(bhpc_data[sex],$EC$11,0)*MATCH(bhpc_data[size],$EC$13,0)),MATCH(ROW(bhpc_data[sku]),ROW(bhpc_data[sku])),""),ROWS($A$15:A370)+$B$3))))),"")</f>
        <v/>
      </c>
      <c r="EG365" s="441" t="str">
        <f>IFERROR(IF('BHPC MANAGER'!$EE365="","",INDEX(inventory[ESISTENZA],MATCH('BHPC MANAGER'!$EE365,inventory[SKU],0))),0)</f>
        <v/>
      </c>
      <c r="EH365" s="442"/>
      <c r="EI365" s="442" t="str">
        <f t="shared" si="23"/>
        <v/>
      </c>
      <c r="EJ365" s="443"/>
      <c r="EK365" s="444" t="str">
        <f t="shared" si="24"/>
        <v/>
      </c>
    </row>
    <row r="366" spans="135:141" x14ac:dyDescent="0.35">
      <c r="EE366" s="445" t="str" cm="1">
        <f t="array" ref="EE366">IFERROR(IF($EC$9="",IF($EC$11="",IF($EC$13="",INDEX(bhpc_data[sku],SMALL(MATCH(ROW(bhpc_data[sku]),ROW(bhpc_data[sku])),ROWS($A$15:A371)+$B$3)),INDEX(bhpc_data[sku],SMALL(IF(ISNUMBER(MATCH(bhpc_data[size],$EC$13,0)),MATCH(ROW(bhpc_data[sku]),ROW(bhpc_data[sku])),""),ROWS($A$15:A371)+$B$3))),IF($EC$13="",INDEX(bhpc_data[sku],SMALL(IF(ISNUMBER(MATCH(bhpc_data[sex],$EC$11,0)),MATCH(ROW(bhpc_data[sku]),ROW(bhpc_data[sku])),""),ROWS($A$15:A371)+$B$3)),INDEX(bhpc_data[sku],SMALL(IF(ISNUMBER(MATCH(bhpc_data[sex],$EC$11,0)*MATCH(bhpc_data[size],$EC$13,0)),MATCH(ROW(bhpc_data[sku]),ROW(bhpc_data[sku])),""),ROWS($A$15:A371)+$B$3)))),IF($EC$11="",IF($EC$13="",INDEX(bhpc_data[sku],SMALL(IF(ISNUMBER(MATCH(bhpc_data[category],$EC$9,0)),MATCH(ROW(bhpc_data[sku]),ROW(bhpc_data[sku])),""),ROWS($A$15:A371)+$B$3)),INDEX(bhpc_data[sku],SMALL(IF(ISNUMBER(MATCH(bhpc_data[category],$EC$9,0)*MATCH(bhpc_data[size],$EC$13,0)),MATCH(ROW(bhpc_data[sku]),ROW(bhpc_data[sku])),""),ROWS($A$15:A371)+$B$3))),IF($EC$13="",INDEX(bhpc_data[sku],SMALL(IF(ISNUMBER(MATCH(bhpc_data[category],$EC$9,0)*MATCH(bhpc_data[sex],$EC$11,0)),MATCH(ROW(bhpc_data[sku]),ROW(bhpc_data[sku])),""),ROWS($A$15:A371)+$B$3)),INDEX(bhpc_data[sku],SMALL(IF(ISNUMBER(MATCH(bhpc_data[category],$EC$9,0)*MATCH(bhpc_data[sex],$EC$11,0)*MATCH(bhpc_data[size],$EC$13,0)),MATCH(ROW(bhpc_data[sku]),ROW(bhpc_data[sku])),""),ROWS($A$15:A371)+$B$3))))),"")</f>
        <v/>
      </c>
      <c r="EF366" s="446" t="str" cm="1">
        <f t="array" ref="EF366">IFERROR(IF($EC$9="",IF($EC$11="",IF($EC$13="",INDEX(bhpc_data[description],SMALL(MATCH(ROW(bhpc_data[sku]),ROW(bhpc_data[sku])),ROWS($A$15:A371)+$B$3)),INDEX(bhpc_data[description],SMALL(IF(ISNUMBER(MATCH(bhpc_data[size],$EC$13,0)),MATCH(ROW(bhpc_data[sku]),ROW(bhpc_data[sku])),""),ROWS($A$15:A371)+$B$3))),IF($EC$13="",INDEX(bhpc_data[description],SMALL(IF(ISNUMBER(MATCH(bhpc_data[sex],$EC$11,0)),MATCH(ROW(bhpc_data[sku]),ROW(bhpc_data[sku])),""),ROWS($A$15:A371)+$B$3)),INDEX(bhpc_data[description],SMALL(IF(ISNUMBER(MATCH(bhpc_data[sex],$EC$11,0)*MATCH(bhpc_data[size],$EC$13,0)),MATCH(ROW(bhpc_data[sku]),ROW(bhpc_data[sku])),""),ROWS($A$15:A371)+$B$3)))),IF($EC$11="",IF($EC$13="",INDEX(bhpc_data[description],SMALL(IF(ISNUMBER(MATCH(bhpc_data[category],$EC$9,0)),MATCH(ROW(bhpc_data[sku]),ROW(bhpc_data[sku])),""),ROWS($A$15:A371)+$B$3)),INDEX(bhpc_data[description],SMALL(IF(ISNUMBER(MATCH(bhpc_data[category],$EC$9,0)*MATCH(bhpc_data[size],$EC$13,0)),MATCH(ROW(bhpc_data[sku]),ROW(bhpc_data[sku])),""),ROWS($A$15:A371)+$B$3))),IF($EC$13="",INDEX(bhpc_data[description],SMALL(IF(ISNUMBER(MATCH(bhpc_data[category],$EC$9,0)*MATCH(bhpc_data[sex],$EC$11,0)),MATCH(ROW(bhpc_data[sku]),ROW(bhpc_data[sku])),""),ROWS($A$15:A371)+$B$3)),INDEX(bhpc_data[description],SMALL(IF(ISNUMBER(MATCH(bhpc_data[category],$EC$9,0)*MATCH(bhpc_data[sex],$EC$11,0)*MATCH(bhpc_data[size],$EC$13,0)),MATCH(ROW(bhpc_data[sku]),ROW(bhpc_data[sku])),""),ROWS($A$15:A371)+$B$3))))),"")</f>
        <v/>
      </c>
      <c r="EG366" s="447" t="str">
        <f>IFERROR(IF('BHPC MANAGER'!$EE366="","",INDEX(inventory[ESISTENZA],MATCH('BHPC MANAGER'!$EE366,inventory[SKU],0))),0)</f>
        <v/>
      </c>
      <c r="EH366" s="448"/>
      <c r="EI366" s="448" t="str">
        <f t="shared" si="23"/>
        <v/>
      </c>
      <c r="EJ366" s="449"/>
      <c r="EK366" s="450" t="str">
        <f t="shared" si="24"/>
        <v/>
      </c>
    </row>
    <row r="367" spans="135:141" x14ac:dyDescent="0.35">
      <c r="EE367" s="439" t="str" cm="1">
        <f t="array" ref="EE367">IFERROR(IF($EC$9="",IF($EC$11="",IF($EC$13="",INDEX(bhpc_data[sku],SMALL(MATCH(ROW(bhpc_data[sku]),ROW(bhpc_data[sku])),ROWS($A$15:A372)+$B$3)),INDEX(bhpc_data[sku],SMALL(IF(ISNUMBER(MATCH(bhpc_data[size],$EC$13,0)),MATCH(ROW(bhpc_data[sku]),ROW(bhpc_data[sku])),""),ROWS($A$15:A372)+$B$3))),IF($EC$13="",INDEX(bhpc_data[sku],SMALL(IF(ISNUMBER(MATCH(bhpc_data[sex],$EC$11,0)),MATCH(ROW(bhpc_data[sku]),ROW(bhpc_data[sku])),""),ROWS($A$15:A372)+$B$3)),INDEX(bhpc_data[sku],SMALL(IF(ISNUMBER(MATCH(bhpc_data[sex],$EC$11,0)*MATCH(bhpc_data[size],$EC$13,0)),MATCH(ROW(bhpc_data[sku]),ROW(bhpc_data[sku])),""),ROWS($A$15:A372)+$B$3)))),IF($EC$11="",IF($EC$13="",INDEX(bhpc_data[sku],SMALL(IF(ISNUMBER(MATCH(bhpc_data[category],$EC$9,0)),MATCH(ROW(bhpc_data[sku]),ROW(bhpc_data[sku])),""),ROWS($A$15:A372)+$B$3)),INDEX(bhpc_data[sku],SMALL(IF(ISNUMBER(MATCH(bhpc_data[category],$EC$9,0)*MATCH(bhpc_data[size],$EC$13,0)),MATCH(ROW(bhpc_data[sku]),ROW(bhpc_data[sku])),""),ROWS($A$15:A372)+$B$3))),IF($EC$13="",INDEX(bhpc_data[sku],SMALL(IF(ISNUMBER(MATCH(bhpc_data[category],$EC$9,0)*MATCH(bhpc_data[sex],$EC$11,0)),MATCH(ROW(bhpc_data[sku]),ROW(bhpc_data[sku])),""),ROWS($A$15:A372)+$B$3)),INDEX(bhpc_data[sku],SMALL(IF(ISNUMBER(MATCH(bhpc_data[category],$EC$9,0)*MATCH(bhpc_data[sex],$EC$11,0)*MATCH(bhpc_data[size],$EC$13,0)),MATCH(ROW(bhpc_data[sku]),ROW(bhpc_data[sku])),""),ROWS($A$15:A372)+$B$3))))),"")</f>
        <v/>
      </c>
      <c r="EF367" s="440" t="str" cm="1">
        <f t="array" ref="EF367">IFERROR(IF($EC$9="",IF($EC$11="",IF($EC$13="",INDEX(bhpc_data[description],SMALL(MATCH(ROW(bhpc_data[sku]),ROW(bhpc_data[sku])),ROWS($A$15:A372)+$B$3)),INDEX(bhpc_data[description],SMALL(IF(ISNUMBER(MATCH(bhpc_data[size],$EC$13,0)),MATCH(ROW(bhpc_data[sku]),ROW(bhpc_data[sku])),""),ROWS($A$15:A372)+$B$3))),IF($EC$13="",INDEX(bhpc_data[description],SMALL(IF(ISNUMBER(MATCH(bhpc_data[sex],$EC$11,0)),MATCH(ROW(bhpc_data[sku]),ROW(bhpc_data[sku])),""),ROWS($A$15:A372)+$B$3)),INDEX(bhpc_data[description],SMALL(IF(ISNUMBER(MATCH(bhpc_data[sex],$EC$11,0)*MATCH(bhpc_data[size],$EC$13,0)),MATCH(ROW(bhpc_data[sku]),ROW(bhpc_data[sku])),""),ROWS($A$15:A372)+$B$3)))),IF($EC$11="",IF($EC$13="",INDEX(bhpc_data[description],SMALL(IF(ISNUMBER(MATCH(bhpc_data[category],$EC$9,0)),MATCH(ROW(bhpc_data[sku]),ROW(bhpc_data[sku])),""),ROWS($A$15:A372)+$B$3)),INDEX(bhpc_data[description],SMALL(IF(ISNUMBER(MATCH(bhpc_data[category],$EC$9,0)*MATCH(bhpc_data[size],$EC$13,0)),MATCH(ROW(bhpc_data[sku]),ROW(bhpc_data[sku])),""),ROWS($A$15:A372)+$B$3))),IF($EC$13="",INDEX(bhpc_data[description],SMALL(IF(ISNUMBER(MATCH(bhpc_data[category],$EC$9,0)*MATCH(bhpc_data[sex],$EC$11,0)),MATCH(ROW(bhpc_data[sku]),ROW(bhpc_data[sku])),""),ROWS($A$15:A372)+$B$3)),INDEX(bhpc_data[description],SMALL(IF(ISNUMBER(MATCH(bhpc_data[category],$EC$9,0)*MATCH(bhpc_data[sex],$EC$11,0)*MATCH(bhpc_data[size],$EC$13,0)),MATCH(ROW(bhpc_data[sku]),ROW(bhpc_data[sku])),""),ROWS($A$15:A372)+$B$3))))),"")</f>
        <v/>
      </c>
      <c r="EG367" s="441" t="str">
        <f>IFERROR(IF('BHPC MANAGER'!$EE367="","",INDEX(inventory[ESISTENZA],MATCH('BHPC MANAGER'!$EE367,inventory[SKU],0))),0)</f>
        <v/>
      </c>
      <c r="EH367" s="442"/>
      <c r="EI367" s="442" t="str">
        <f t="shared" si="23"/>
        <v/>
      </c>
      <c r="EJ367" s="443"/>
      <c r="EK367" s="444" t="str">
        <f t="shared" si="24"/>
        <v/>
      </c>
    </row>
    <row r="368" spans="135:141" x14ac:dyDescent="0.35">
      <c r="EE368" s="445" t="str" cm="1">
        <f t="array" ref="EE368">IFERROR(IF($EC$9="",IF($EC$11="",IF($EC$13="",INDEX(bhpc_data[sku],SMALL(MATCH(ROW(bhpc_data[sku]),ROW(bhpc_data[sku])),ROWS($A$15:A373)+$B$3)),INDEX(bhpc_data[sku],SMALL(IF(ISNUMBER(MATCH(bhpc_data[size],$EC$13,0)),MATCH(ROW(bhpc_data[sku]),ROW(bhpc_data[sku])),""),ROWS($A$15:A373)+$B$3))),IF($EC$13="",INDEX(bhpc_data[sku],SMALL(IF(ISNUMBER(MATCH(bhpc_data[sex],$EC$11,0)),MATCH(ROW(bhpc_data[sku]),ROW(bhpc_data[sku])),""),ROWS($A$15:A373)+$B$3)),INDEX(bhpc_data[sku],SMALL(IF(ISNUMBER(MATCH(bhpc_data[sex],$EC$11,0)*MATCH(bhpc_data[size],$EC$13,0)),MATCH(ROW(bhpc_data[sku]),ROW(bhpc_data[sku])),""),ROWS($A$15:A373)+$B$3)))),IF($EC$11="",IF($EC$13="",INDEX(bhpc_data[sku],SMALL(IF(ISNUMBER(MATCH(bhpc_data[category],$EC$9,0)),MATCH(ROW(bhpc_data[sku]),ROW(bhpc_data[sku])),""),ROWS($A$15:A373)+$B$3)),INDEX(bhpc_data[sku],SMALL(IF(ISNUMBER(MATCH(bhpc_data[category],$EC$9,0)*MATCH(bhpc_data[size],$EC$13,0)),MATCH(ROW(bhpc_data[sku]),ROW(bhpc_data[sku])),""),ROWS($A$15:A373)+$B$3))),IF($EC$13="",INDEX(bhpc_data[sku],SMALL(IF(ISNUMBER(MATCH(bhpc_data[category],$EC$9,0)*MATCH(bhpc_data[sex],$EC$11,0)),MATCH(ROW(bhpc_data[sku]),ROW(bhpc_data[sku])),""),ROWS($A$15:A373)+$B$3)),INDEX(bhpc_data[sku],SMALL(IF(ISNUMBER(MATCH(bhpc_data[category],$EC$9,0)*MATCH(bhpc_data[sex],$EC$11,0)*MATCH(bhpc_data[size],$EC$13,0)),MATCH(ROW(bhpc_data[sku]),ROW(bhpc_data[sku])),""),ROWS($A$15:A373)+$B$3))))),"")</f>
        <v/>
      </c>
      <c r="EF368" s="446" t="str" cm="1">
        <f t="array" ref="EF368">IFERROR(IF($EC$9="",IF($EC$11="",IF($EC$13="",INDEX(bhpc_data[description],SMALL(MATCH(ROW(bhpc_data[sku]),ROW(bhpc_data[sku])),ROWS($A$15:A373)+$B$3)),INDEX(bhpc_data[description],SMALL(IF(ISNUMBER(MATCH(bhpc_data[size],$EC$13,0)),MATCH(ROW(bhpc_data[sku]),ROW(bhpc_data[sku])),""),ROWS($A$15:A373)+$B$3))),IF($EC$13="",INDEX(bhpc_data[description],SMALL(IF(ISNUMBER(MATCH(bhpc_data[sex],$EC$11,0)),MATCH(ROW(bhpc_data[sku]),ROW(bhpc_data[sku])),""),ROWS($A$15:A373)+$B$3)),INDEX(bhpc_data[description],SMALL(IF(ISNUMBER(MATCH(bhpc_data[sex],$EC$11,0)*MATCH(bhpc_data[size],$EC$13,0)),MATCH(ROW(bhpc_data[sku]),ROW(bhpc_data[sku])),""),ROWS($A$15:A373)+$B$3)))),IF($EC$11="",IF($EC$13="",INDEX(bhpc_data[description],SMALL(IF(ISNUMBER(MATCH(bhpc_data[category],$EC$9,0)),MATCH(ROW(bhpc_data[sku]),ROW(bhpc_data[sku])),""),ROWS($A$15:A373)+$B$3)),INDEX(bhpc_data[description],SMALL(IF(ISNUMBER(MATCH(bhpc_data[category],$EC$9,0)*MATCH(bhpc_data[size],$EC$13,0)),MATCH(ROW(bhpc_data[sku]),ROW(bhpc_data[sku])),""),ROWS($A$15:A373)+$B$3))),IF($EC$13="",INDEX(bhpc_data[description],SMALL(IF(ISNUMBER(MATCH(bhpc_data[category],$EC$9,0)*MATCH(bhpc_data[sex],$EC$11,0)),MATCH(ROW(bhpc_data[sku]),ROW(bhpc_data[sku])),""),ROWS($A$15:A373)+$B$3)),INDEX(bhpc_data[description],SMALL(IF(ISNUMBER(MATCH(bhpc_data[category],$EC$9,0)*MATCH(bhpc_data[sex],$EC$11,0)*MATCH(bhpc_data[size],$EC$13,0)),MATCH(ROW(bhpc_data[sku]),ROW(bhpc_data[sku])),""),ROWS($A$15:A373)+$B$3))))),"")</f>
        <v/>
      </c>
      <c r="EG368" s="447" t="str">
        <f>IFERROR(IF('BHPC MANAGER'!$EE368="","",INDEX(inventory[ESISTENZA],MATCH('BHPC MANAGER'!$EE368,inventory[SKU],0))),0)</f>
        <v/>
      </c>
      <c r="EH368" s="448"/>
      <c r="EI368" s="448" t="str">
        <f t="shared" si="23"/>
        <v/>
      </c>
      <c r="EJ368" s="449"/>
      <c r="EK368" s="450" t="str">
        <f t="shared" si="24"/>
        <v/>
      </c>
    </row>
    <row r="369" spans="135:141" x14ac:dyDescent="0.35">
      <c r="EE369" s="439" t="str" cm="1">
        <f t="array" ref="EE369">IFERROR(IF($EC$9="",IF($EC$11="",IF($EC$13="",INDEX(bhpc_data[sku],SMALL(MATCH(ROW(bhpc_data[sku]),ROW(bhpc_data[sku])),ROWS($A$15:A374)+$B$3)),INDEX(bhpc_data[sku],SMALL(IF(ISNUMBER(MATCH(bhpc_data[size],$EC$13,0)),MATCH(ROW(bhpc_data[sku]),ROW(bhpc_data[sku])),""),ROWS($A$15:A374)+$B$3))),IF($EC$13="",INDEX(bhpc_data[sku],SMALL(IF(ISNUMBER(MATCH(bhpc_data[sex],$EC$11,0)),MATCH(ROW(bhpc_data[sku]),ROW(bhpc_data[sku])),""),ROWS($A$15:A374)+$B$3)),INDEX(bhpc_data[sku],SMALL(IF(ISNUMBER(MATCH(bhpc_data[sex],$EC$11,0)*MATCH(bhpc_data[size],$EC$13,0)),MATCH(ROW(bhpc_data[sku]),ROW(bhpc_data[sku])),""),ROWS($A$15:A374)+$B$3)))),IF($EC$11="",IF($EC$13="",INDEX(bhpc_data[sku],SMALL(IF(ISNUMBER(MATCH(bhpc_data[category],$EC$9,0)),MATCH(ROW(bhpc_data[sku]),ROW(bhpc_data[sku])),""),ROWS($A$15:A374)+$B$3)),INDEX(bhpc_data[sku],SMALL(IF(ISNUMBER(MATCH(bhpc_data[category],$EC$9,0)*MATCH(bhpc_data[size],$EC$13,0)),MATCH(ROW(bhpc_data[sku]),ROW(bhpc_data[sku])),""),ROWS($A$15:A374)+$B$3))),IF($EC$13="",INDEX(bhpc_data[sku],SMALL(IF(ISNUMBER(MATCH(bhpc_data[category],$EC$9,0)*MATCH(bhpc_data[sex],$EC$11,0)),MATCH(ROW(bhpc_data[sku]),ROW(bhpc_data[sku])),""),ROWS($A$15:A374)+$B$3)),INDEX(bhpc_data[sku],SMALL(IF(ISNUMBER(MATCH(bhpc_data[category],$EC$9,0)*MATCH(bhpc_data[sex],$EC$11,0)*MATCH(bhpc_data[size],$EC$13,0)),MATCH(ROW(bhpc_data[sku]),ROW(bhpc_data[sku])),""),ROWS($A$15:A374)+$B$3))))),"")</f>
        <v/>
      </c>
      <c r="EF369" s="440" t="str" cm="1">
        <f t="array" ref="EF369">IFERROR(IF($EC$9="",IF($EC$11="",IF($EC$13="",INDEX(bhpc_data[description],SMALL(MATCH(ROW(bhpc_data[sku]),ROW(bhpc_data[sku])),ROWS($A$15:A374)+$B$3)),INDEX(bhpc_data[description],SMALL(IF(ISNUMBER(MATCH(bhpc_data[size],$EC$13,0)),MATCH(ROW(bhpc_data[sku]),ROW(bhpc_data[sku])),""),ROWS($A$15:A374)+$B$3))),IF($EC$13="",INDEX(bhpc_data[description],SMALL(IF(ISNUMBER(MATCH(bhpc_data[sex],$EC$11,0)),MATCH(ROW(bhpc_data[sku]),ROW(bhpc_data[sku])),""),ROWS($A$15:A374)+$B$3)),INDEX(bhpc_data[description],SMALL(IF(ISNUMBER(MATCH(bhpc_data[sex],$EC$11,0)*MATCH(bhpc_data[size],$EC$13,0)),MATCH(ROW(bhpc_data[sku]),ROW(bhpc_data[sku])),""),ROWS($A$15:A374)+$B$3)))),IF($EC$11="",IF($EC$13="",INDEX(bhpc_data[description],SMALL(IF(ISNUMBER(MATCH(bhpc_data[category],$EC$9,0)),MATCH(ROW(bhpc_data[sku]),ROW(bhpc_data[sku])),""),ROWS($A$15:A374)+$B$3)),INDEX(bhpc_data[description],SMALL(IF(ISNUMBER(MATCH(bhpc_data[category],$EC$9,0)*MATCH(bhpc_data[size],$EC$13,0)),MATCH(ROW(bhpc_data[sku]),ROW(bhpc_data[sku])),""),ROWS($A$15:A374)+$B$3))),IF($EC$13="",INDEX(bhpc_data[description],SMALL(IF(ISNUMBER(MATCH(bhpc_data[category],$EC$9,0)*MATCH(bhpc_data[sex],$EC$11,0)),MATCH(ROW(bhpc_data[sku]),ROW(bhpc_data[sku])),""),ROWS($A$15:A374)+$B$3)),INDEX(bhpc_data[description],SMALL(IF(ISNUMBER(MATCH(bhpc_data[category],$EC$9,0)*MATCH(bhpc_data[sex],$EC$11,0)*MATCH(bhpc_data[size],$EC$13,0)),MATCH(ROW(bhpc_data[sku]),ROW(bhpc_data[sku])),""),ROWS($A$15:A374)+$B$3))))),"")</f>
        <v/>
      </c>
      <c r="EG369" s="441" t="str">
        <f>IFERROR(IF('BHPC MANAGER'!$EE369="","",INDEX(inventory[ESISTENZA],MATCH('BHPC MANAGER'!$EE369,inventory[SKU],0))),0)</f>
        <v/>
      </c>
      <c r="EH369" s="442"/>
      <c r="EI369" s="442" t="str">
        <f t="shared" si="23"/>
        <v/>
      </c>
      <c r="EJ369" s="443"/>
      <c r="EK369" s="444" t="str">
        <f t="shared" si="24"/>
        <v/>
      </c>
    </row>
    <row r="370" spans="135:141" x14ac:dyDescent="0.35">
      <c r="EE370" s="445" t="str" cm="1">
        <f t="array" ref="EE370">IFERROR(IF($EC$9="",IF($EC$11="",IF($EC$13="",INDEX(bhpc_data[sku],SMALL(MATCH(ROW(bhpc_data[sku]),ROW(bhpc_data[sku])),ROWS($A$15:A375)+$B$3)),INDEX(bhpc_data[sku],SMALL(IF(ISNUMBER(MATCH(bhpc_data[size],$EC$13,0)),MATCH(ROW(bhpc_data[sku]),ROW(bhpc_data[sku])),""),ROWS($A$15:A375)+$B$3))),IF($EC$13="",INDEX(bhpc_data[sku],SMALL(IF(ISNUMBER(MATCH(bhpc_data[sex],$EC$11,0)),MATCH(ROW(bhpc_data[sku]),ROW(bhpc_data[sku])),""),ROWS($A$15:A375)+$B$3)),INDEX(bhpc_data[sku],SMALL(IF(ISNUMBER(MATCH(bhpc_data[sex],$EC$11,0)*MATCH(bhpc_data[size],$EC$13,0)),MATCH(ROW(bhpc_data[sku]),ROW(bhpc_data[sku])),""),ROWS($A$15:A375)+$B$3)))),IF($EC$11="",IF($EC$13="",INDEX(bhpc_data[sku],SMALL(IF(ISNUMBER(MATCH(bhpc_data[category],$EC$9,0)),MATCH(ROW(bhpc_data[sku]),ROW(bhpc_data[sku])),""),ROWS($A$15:A375)+$B$3)),INDEX(bhpc_data[sku],SMALL(IF(ISNUMBER(MATCH(bhpc_data[category],$EC$9,0)*MATCH(bhpc_data[size],$EC$13,0)),MATCH(ROW(bhpc_data[sku]),ROW(bhpc_data[sku])),""),ROWS($A$15:A375)+$B$3))),IF($EC$13="",INDEX(bhpc_data[sku],SMALL(IF(ISNUMBER(MATCH(bhpc_data[category],$EC$9,0)*MATCH(bhpc_data[sex],$EC$11,0)),MATCH(ROW(bhpc_data[sku]),ROW(bhpc_data[sku])),""),ROWS($A$15:A375)+$B$3)),INDEX(bhpc_data[sku],SMALL(IF(ISNUMBER(MATCH(bhpc_data[category],$EC$9,0)*MATCH(bhpc_data[sex],$EC$11,0)*MATCH(bhpc_data[size],$EC$13,0)),MATCH(ROW(bhpc_data[sku]),ROW(bhpc_data[sku])),""),ROWS($A$15:A375)+$B$3))))),"")</f>
        <v/>
      </c>
      <c r="EF370" s="446" t="str" cm="1">
        <f t="array" ref="EF370">IFERROR(IF($EC$9="",IF($EC$11="",IF($EC$13="",INDEX(bhpc_data[description],SMALL(MATCH(ROW(bhpc_data[sku]),ROW(bhpc_data[sku])),ROWS($A$15:A375)+$B$3)),INDEX(bhpc_data[description],SMALL(IF(ISNUMBER(MATCH(bhpc_data[size],$EC$13,0)),MATCH(ROW(bhpc_data[sku]),ROW(bhpc_data[sku])),""),ROWS($A$15:A375)+$B$3))),IF($EC$13="",INDEX(bhpc_data[description],SMALL(IF(ISNUMBER(MATCH(bhpc_data[sex],$EC$11,0)),MATCH(ROW(bhpc_data[sku]),ROW(bhpc_data[sku])),""),ROWS($A$15:A375)+$B$3)),INDEX(bhpc_data[description],SMALL(IF(ISNUMBER(MATCH(bhpc_data[sex],$EC$11,0)*MATCH(bhpc_data[size],$EC$13,0)),MATCH(ROW(bhpc_data[sku]),ROW(bhpc_data[sku])),""),ROWS($A$15:A375)+$B$3)))),IF($EC$11="",IF($EC$13="",INDEX(bhpc_data[description],SMALL(IF(ISNUMBER(MATCH(bhpc_data[category],$EC$9,0)),MATCH(ROW(bhpc_data[sku]),ROW(bhpc_data[sku])),""),ROWS($A$15:A375)+$B$3)),INDEX(bhpc_data[description],SMALL(IF(ISNUMBER(MATCH(bhpc_data[category],$EC$9,0)*MATCH(bhpc_data[size],$EC$13,0)),MATCH(ROW(bhpc_data[sku]),ROW(bhpc_data[sku])),""),ROWS($A$15:A375)+$B$3))),IF($EC$13="",INDEX(bhpc_data[description],SMALL(IF(ISNUMBER(MATCH(bhpc_data[category],$EC$9,0)*MATCH(bhpc_data[sex],$EC$11,0)),MATCH(ROW(bhpc_data[sku]),ROW(bhpc_data[sku])),""),ROWS($A$15:A375)+$B$3)),INDEX(bhpc_data[description],SMALL(IF(ISNUMBER(MATCH(bhpc_data[category],$EC$9,0)*MATCH(bhpc_data[sex],$EC$11,0)*MATCH(bhpc_data[size],$EC$13,0)),MATCH(ROW(bhpc_data[sku]),ROW(bhpc_data[sku])),""),ROWS($A$15:A375)+$B$3))))),"")</f>
        <v/>
      </c>
      <c r="EG370" s="447" t="str">
        <f>IFERROR(IF('BHPC MANAGER'!$EE370="","",INDEX(inventory[ESISTENZA],MATCH('BHPC MANAGER'!$EE370,inventory[SKU],0))),0)</f>
        <v/>
      </c>
      <c r="EH370" s="448"/>
      <c r="EI370" s="448" t="str">
        <f t="shared" si="23"/>
        <v/>
      </c>
      <c r="EJ370" s="449"/>
      <c r="EK370" s="450" t="str">
        <f t="shared" si="24"/>
        <v/>
      </c>
    </row>
    <row r="371" spans="135:141" x14ac:dyDescent="0.35">
      <c r="EE371" s="439" t="str" cm="1">
        <f t="array" ref="EE371">IFERROR(IF($EC$9="",IF($EC$11="",IF($EC$13="",INDEX(bhpc_data[sku],SMALL(MATCH(ROW(bhpc_data[sku]),ROW(bhpc_data[sku])),ROWS($A$15:A376)+$B$3)),INDEX(bhpc_data[sku],SMALL(IF(ISNUMBER(MATCH(bhpc_data[size],$EC$13,0)),MATCH(ROW(bhpc_data[sku]),ROW(bhpc_data[sku])),""),ROWS($A$15:A376)+$B$3))),IF($EC$13="",INDEX(bhpc_data[sku],SMALL(IF(ISNUMBER(MATCH(bhpc_data[sex],$EC$11,0)),MATCH(ROW(bhpc_data[sku]),ROW(bhpc_data[sku])),""),ROWS($A$15:A376)+$B$3)),INDEX(bhpc_data[sku],SMALL(IF(ISNUMBER(MATCH(bhpc_data[sex],$EC$11,0)*MATCH(bhpc_data[size],$EC$13,0)),MATCH(ROW(bhpc_data[sku]),ROW(bhpc_data[sku])),""),ROWS($A$15:A376)+$B$3)))),IF($EC$11="",IF($EC$13="",INDEX(bhpc_data[sku],SMALL(IF(ISNUMBER(MATCH(bhpc_data[category],$EC$9,0)),MATCH(ROW(bhpc_data[sku]),ROW(bhpc_data[sku])),""),ROWS($A$15:A376)+$B$3)),INDEX(bhpc_data[sku],SMALL(IF(ISNUMBER(MATCH(bhpc_data[category],$EC$9,0)*MATCH(bhpc_data[size],$EC$13,0)),MATCH(ROW(bhpc_data[sku]),ROW(bhpc_data[sku])),""),ROWS($A$15:A376)+$B$3))),IF($EC$13="",INDEX(bhpc_data[sku],SMALL(IF(ISNUMBER(MATCH(bhpc_data[category],$EC$9,0)*MATCH(bhpc_data[sex],$EC$11,0)),MATCH(ROW(bhpc_data[sku]),ROW(bhpc_data[sku])),""),ROWS($A$15:A376)+$B$3)),INDEX(bhpc_data[sku],SMALL(IF(ISNUMBER(MATCH(bhpc_data[category],$EC$9,0)*MATCH(bhpc_data[sex],$EC$11,0)*MATCH(bhpc_data[size],$EC$13,0)),MATCH(ROW(bhpc_data[sku]),ROW(bhpc_data[sku])),""),ROWS($A$15:A376)+$B$3))))),"")</f>
        <v/>
      </c>
      <c r="EF371" s="440" t="str" cm="1">
        <f t="array" ref="EF371">IFERROR(IF($EC$9="",IF($EC$11="",IF($EC$13="",INDEX(bhpc_data[description],SMALL(MATCH(ROW(bhpc_data[sku]),ROW(bhpc_data[sku])),ROWS($A$15:A376)+$B$3)),INDEX(bhpc_data[description],SMALL(IF(ISNUMBER(MATCH(bhpc_data[size],$EC$13,0)),MATCH(ROW(bhpc_data[sku]),ROW(bhpc_data[sku])),""),ROWS($A$15:A376)+$B$3))),IF($EC$13="",INDEX(bhpc_data[description],SMALL(IF(ISNUMBER(MATCH(bhpc_data[sex],$EC$11,0)),MATCH(ROW(bhpc_data[sku]),ROW(bhpc_data[sku])),""),ROWS($A$15:A376)+$B$3)),INDEX(bhpc_data[description],SMALL(IF(ISNUMBER(MATCH(bhpc_data[sex],$EC$11,0)*MATCH(bhpc_data[size],$EC$13,0)),MATCH(ROW(bhpc_data[sku]),ROW(bhpc_data[sku])),""),ROWS($A$15:A376)+$B$3)))),IF($EC$11="",IF($EC$13="",INDEX(bhpc_data[description],SMALL(IF(ISNUMBER(MATCH(bhpc_data[category],$EC$9,0)),MATCH(ROW(bhpc_data[sku]),ROW(bhpc_data[sku])),""),ROWS($A$15:A376)+$B$3)),INDEX(bhpc_data[description],SMALL(IF(ISNUMBER(MATCH(bhpc_data[category],$EC$9,0)*MATCH(bhpc_data[size],$EC$13,0)),MATCH(ROW(bhpc_data[sku]),ROW(bhpc_data[sku])),""),ROWS($A$15:A376)+$B$3))),IF($EC$13="",INDEX(bhpc_data[description],SMALL(IF(ISNUMBER(MATCH(bhpc_data[category],$EC$9,0)*MATCH(bhpc_data[sex],$EC$11,0)),MATCH(ROW(bhpc_data[sku]),ROW(bhpc_data[sku])),""),ROWS($A$15:A376)+$B$3)),INDEX(bhpc_data[description],SMALL(IF(ISNUMBER(MATCH(bhpc_data[category],$EC$9,0)*MATCH(bhpc_data[sex],$EC$11,0)*MATCH(bhpc_data[size],$EC$13,0)),MATCH(ROW(bhpc_data[sku]),ROW(bhpc_data[sku])),""),ROWS($A$15:A376)+$B$3))))),"")</f>
        <v/>
      </c>
      <c r="EG371" s="441" t="str">
        <f>IFERROR(IF('BHPC MANAGER'!$EE371="","",INDEX(inventory[ESISTENZA],MATCH('BHPC MANAGER'!$EE371,inventory[SKU],0))),0)</f>
        <v/>
      </c>
      <c r="EH371" s="442"/>
      <c r="EI371" s="442" t="str">
        <f t="shared" si="23"/>
        <v/>
      </c>
      <c r="EJ371" s="443"/>
      <c r="EK371" s="444" t="str">
        <f t="shared" si="24"/>
        <v/>
      </c>
    </row>
    <row r="372" spans="135:141" x14ac:dyDescent="0.35">
      <c r="EE372" s="445" t="str" cm="1">
        <f t="array" ref="EE372">IFERROR(IF($EC$9="",IF($EC$11="",IF($EC$13="",INDEX(bhpc_data[sku],SMALL(MATCH(ROW(bhpc_data[sku]),ROW(bhpc_data[sku])),ROWS($A$15:A377)+$B$3)),INDEX(bhpc_data[sku],SMALL(IF(ISNUMBER(MATCH(bhpc_data[size],$EC$13,0)),MATCH(ROW(bhpc_data[sku]),ROW(bhpc_data[sku])),""),ROWS($A$15:A377)+$B$3))),IF($EC$13="",INDEX(bhpc_data[sku],SMALL(IF(ISNUMBER(MATCH(bhpc_data[sex],$EC$11,0)),MATCH(ROW(bhpc_data[sku]),ROW(bhpc_data[sku])),""),ROWS($A$15:A377)+$B$3)),INDEX(bhpc_data[sku],SMALL(IF(ISNUMBER(MATCH(bhpc_data[sex],$EC$11,0)*MATCH(bhpc_data[size],$EC$13,0)),MATCH(ROW(bhpc_data[sku]),ROW(bhpc_data[sku])),""),ROWS($A$15:A377)+$B$3)))),IF($EC$11="",IF($EC$13="",INDEX(bhpc_data[sku],SMALL(IF(ISNUMBER(MATCH(bhpc_data[category],$EC$9,0)),MATCH(ROW(bhpc_data[sku]),ROW(bhpc_data[sku])),""),ROWS($A$15:A377)+$B$3)),INDEX(bhpc_data[sku],SMALL(IF(ISNUMBER(MATCH(bhpc_data[category],$EC$9,0)*MATCH(bhpc_data[size],$EC$13,0)),MATCH(ROW(bhpc_data[sku]),ROW(bhpc_data[sku])),""),ROWS($A$15:A377)+$B$3))),IF($EC$13="",INDEX(bhpc_data[sku],SMALL(IF(ISNUMBER(MATCH(bhpc_data[category],$EC$9,0)*MATCH(bhpc_data[sex],$EC$11,0)),MATCH(ROW(bhpc_data[sku]),ROW(bhpc_data[sku])),""),ROWS($A$15:A377)+$B$3)),INDEX(bhpc_data[sku],SMALL(IF(ISNUMBER(MATCH(bhpc_data[category],$EC$9,0)*MATCH(bhpc_data[sex],$EC$11,0)*MATCH(bhpc_data[size],$EC$13,0)),MATCH(ROW(bhpc_data[sku]),ROW(bhpc_data[sku])),""),ROWS($A$15:A377)+$B$3))))),"")</f>
        <v/>
      </c>
      <c r="EF372" s="446" t="str" cm="1">
        <f t="array" ref="EF372">IFERROR(IF($EC$9="",IF($EC$11="",IF($EC$13="",INDEX(bhpc_data[description],SMALL(MATCH(ROW(bhpc_data[sku]),ROW(bhpc_data[sku])),ROWS($A$15:A377)+$B$3)),INDEX(bhpc_data[description],SMALL(IF(ISNUMBER(MATCH(bhpc_data[size],$EC$13,0)),MATCH(ROW(bhpc_data[sku]),ROW(bhpc_data[sku])),""),ROWS($A$15:A377)+$B$3))),IF($EC$13="",INDEX(bhpc_data[description],SMALL(IF(ISNUMBER(MATCH(bhpc_data[sex],$EC$11,0)),MATCH(ROW(bhpc_data[sku]),ROW(bhpc_data[sku])),""),ROWS($A$15:A377)+$B$3)),INDEX(bhpc_data[description],SMALL(IF(ISNUMBER(MATCH(bhpc_data[sex],$EC$11,0)*MATCH(bhpc_data[size],$EC$13,0)),MATCH(ROW(bhpc_data[sku]),ROW(bhpc_data[sku])),""),ROWS($A$15:A377)+$B$3)))),IF($EC$11="",IF($EC$13="",INDEX(bhpc_data[description],SMALL(IF(ISNUMBER(MATCH(bhpc_data[category],$EC$9,0)),MATCH(ROW(bhpc_data[sku]),ROW(bhpc_data[sku])),""),ROWS($A$15:A377)+$B$3)),INDEX(bhpc_data[description],SMALL(IF(ISNUMBER(MATCH(bhpc_data[category],$EC$9,0)*MATCH(bhpc_data[size],$EC$13,0)),MATCH(ROW(bhpc_data[sku]),ROW(bhpc_data[sku])),""),ROWS($A$15:A377)+$B$3))),IF($EC$13="",INDEX(bhpc_data[description],SMALL(IF(ISNUMBER(MATCH(bhpc_data[category],$EC$9,0)*MATCH(bhpc_data[sex],$EC$11,0)),MATCH(ROW(bhpc_data[sku]),ROW(bhpc_data[sku])),""),ROWS($A$15:A377)+$B$3)),INDEX(bhpc_data[description],SMALL(IF(ISNUMBER(MATCH(bhpc_data[category],$EC$9,0)*MATCH(bhpc_data[sex],$EC$11,0)*MATCH(bhpc_data[size],$EC$13,0)),MATCH(ROW(bhpc_data[sku]),ROW(bhpc_data[sku])),""),ROWS($A$15:A377)+$B$3))))),"")</f>
        <v/>
      </c>
      <c r="EG372" s="447" t="str">
        <f>IFERROR(IF('BHPC MANAGER'!$EE372="","",INDEX(inventory[ESISTENZA],MATCH('BHPC MANAGER'!$EE372,inventory[SKU],0))),0)</f>
        <v/>
      </c>
      <c r="EH372" s="448"/>
      <c r="EI372" s="448" t="str">
        <f t="shared" si="23"/>
        <v/>
      </c>
      <c r="EJ372" s="449"/>
      <c r="EK372" s="450" t="str">
        <f t="shared" si="24"/>
        <v/>
      </c>
    </row>
    <row r="373" spans="135:141" x14ac:dyDescent="0.35">
      <c r="EE373" s="439" t="str" cm="1">
        <f t="array" ref="EE373">IFERROR(IF($EC$9="",IF($EC$11="",IF($EC$13="",INDEX(bhpc_data[sku],SMALL(MATCH(ROW(bhpc_data[sku]),ROW(bhpc_data[sku])),ROWS($A$15:A378)+$B$3)),INDEX(bhpc_data[sku],SMALL(IF(ISNUMBER(MATCH(bhpc_data[size],$EC$13,0)),MATCH(ROW(bhpc_data[sku]),ROW(bhpc_data[sku])),""),ROWS($A$15:A378)+$B$3))),IF($EC$13="",INDEX(bhpc_data[sku],SMALL(IF(ISNUMBER(MATCH(bhpc_data[sex],$EC$11,0)),MATCH(ROW(bhpc_data[sku]),ROW(bhpc_data[sku])),""),ROWS($A$15:A378)+$B$3)),INDEX(bhpc_data[sku],SMALL(IF(ISNUMBER(MATCH(bhpc_data[sex],$EC$11,0)*MATCH(bhpc_data[size],$EC$13,0)),MATCH(ROW(bhpc_data[sku]),ROW(bhpc_data[sku])),""),ROWS($A$15:A378)+$B$3)))),IF($EC$11="",IF($EC$13="",INDEX(bhpc_data[sku],SMALL(IF(ISNUMBER(MATCH(bhpc_data[category],$EC$9,0)),MATCH(ROW(bhpc_data[sku]),ROW(bhpc_data[sku])),""),ROWS($A$15:A378)+$B$3)),INDEX(bhpc_data[sku],SMALL(IF(ISNUMBER(MATCH(bhpc_data[category],$EC$9,0)*MATCH(bhpc_data[size],$EC$13,0)),MATCH(ROW(bhpc_data[sku]),ROW(bhpc_data[sku])),""),ROWS($A$15:A378)+$B$3))),IF($EC$13="",INDEX(bhpc_data[sku],SMALL(IF(ISNUMBER(MATCH(bhpc_data[category],$EC$9,0)*MATCH(bhpc_data[sex],$EC$11,0)),MATCH(ROW(bhpc_data[sku]),ROW(bhpc_data[sku])),""),ROWS($A$15:A378)+$B$3)),INDEX(bhpc_data[sku],SMALL(IF(ISNUMBER(MATCH(bhpc_data[category],$EC$9,0)*MATCH(bhpc_data[sex],$EC$11,0)*MATCH(bhpc_data[size],$EC$13,0)),MATCH(ROW(bhpc_data[sku]),ROW(bhpc_data[sku])),""),ROWS($A$15:A378)+$B$3))))),"")</f>
        <v/>
      </c>
      <c r="EF373" s="440" t="str" cm="1">
        <f t="array" ref="EF373">IFERROR(IF($EC$9="",IF($EC$11="",IF($EC$13="",INDEX(bhpc_data[description],SMALL(MATCH(ROW(bhpc_data[sku]),ROW(bhpc_data[sku])),ROWS($A$15:A378)+$B$3)),INDEX(bhpc_data[description],SMALL(IF(ISNUMBER(MATCH(bhpc_data[size],$EC$13,0)),MATCH(ROW(bhpc_data[sku]),ROW(bhpc_data[sku])),""),ROWS($A$15:A378)+$B$3))),IF($EC$13="",INDEX(bhpc_data[description],SMALL(IF(ISNUMBER(MATCH(bhpc_data[sex],$EC$11,0)),MATCH(ROW(bhpc_data[sku]),ROW(bhpc_data[sku])),""),ROWS($A$15:A378)+$B$3)),INDEX(bhpc_data[description],SMALL(IF(ISNUMBER(MATCH(bhpc_data[sex],$EC$11,0)*MATCH(bhpc_data[size],$EC$13,0)),MATCH(ROW(bhpc_data[sku]),ROW(bhpc_data[sku])),""),ROWS($A$15:A378)+$B$3)))),IF($EC$11="",IF($EC$13="",INDEX(bhpc_data[description],SMALL(IF(ISNUMBER(MATCH(bhpc_data[category],$EC$9,0)),MATCH(ROW(bhpc_data[sku]),ROW(bhpc_data[sku])),""),ROWS($A$15:A378)+$B$3)),INDEX(bhpc_data[description],SMALL(IF(ISNUMBER(MATCH(bhpc_data[category],$EC$9,0)*MATCH(bhpc_data[size],$EC$13,0)),MATCH(ROW(bhpc_data[sku]),ROW(bhpc_data[sku])),""),ROWS($A$15:A378)+$B$3))),IF($EC$13="",INDEX(bhpc_data[description],SMALL(IF(ISNUMBER(MATCH(bhpc_data[category],$EC$9,0)*MATCH(bhpc_data[sex],$EC$11,0)),MATCH(ROW(bhpc_data[sku]),ROW(bhpc_data[sku])),""),ROWS($A$15:A378)+$B$3)),INDEX(bhpc_data[description],SMALL(IF(ISNUMBER(MATCH(bhpc_data[category],$EC$9,0)*MATCH(bhpc_data[sex],$EC$11,0)*MATCH(bhpc_data[size],$EC$13,0)),MATCH(ROW(bhpc_data[sku]),ROW(bhpc_data[sku])),""),ROWS($A$15:A378)+$B$3))))),"")</f>
        <v/>
      </c>
      <c r="EG373" s="441" t="str">
        <f>IFERROR(IF('BHPC MANAGER'!$EE373="","",INDEX(inventory[ESISTENZA],MATCH('BHPC MANAGER'!$EE373,inventory[SKU],0))),0)</f>
        <v/>
      </c>
      <c r="EH373" s="442"/>
      <c r="EI373" s="442" t="str">
        <f t="shared" si="23"/>
        <v/>
      </c>
      <c r="EJ373" s="443"/>
      <c r="EK373" s="444" t="str">
        <f t="shared" si="24"/>
        <v/>
      </c>
    </row>
    <row r="374" spans="135:141" x14ac:dyDescent="0.35">
      <c r="EE374" s="445" t="str" cm="1">
        <f t="array" ref="EE374">IFERROR(IF($EC$9="",IF($EC$11="",IF($EC$13="",INDEX(bhpc_data[sku],SMALL(MATCH(ROW(bhpc_data[sku]),ROW(bhpc_data[sku])),ROWS($A$15:A379)+$B$3)),INDEX(bhpc_data[sku],SMALL(IF(ISNUMBER(MATCH(bhpc_data[size],$EC$13,0)),MATCH(ROW(bhpc_data[sku]),ROW(bhpc_data[sku])),""),ROWS($A$15:A379)+$B$3))),IF($EC$13="",INDEX(bhpc_data[sku],SMALL(IF(ISNUMBER(MATCH(bhpc_data[sex],$EC$11,0)),MATCH(ROW(bhpc_data[sku]),ROW(bhpc_data[sku])),""),ROWS($A$15:A379)+$B$3)),INDEX(bhpc_data[sku],SMALL(IF(ISNUMBER(MATCH(bhpc_data[sex],$EC$11,0)*MATCH(bhpc_data[size],$EC$13,0)),MATCH(ROW(bhpc_data[sku]),ROW(bhpc_data[sku])),""),ROWS($A$15:A379)+$B$3)))),IF($EC$11="",IF($EC$13="",INDEX(bhpc_data[sku],SMALL(IF(ISNUMBER(MATCH(bhpc_data[category],$EC$9,0)),MATCH(ROW(bhpc_data[sku]),ROW(bhpc_data[sku])),""),ROWS($A$15:A379)+$B$3)),INDEX(bhpc_data[sku],SMALL(IF(ISNUMBER(MATCH(bhpc_data[category],$EC$9,0)*MATCH(bhpc_data[size],$EC$13,0)),MATCH(ROW(bhpc_data[sku]),ROW(bhpc_data[sku])),""),ROWS($A$15:A379)+$B$3))),IF($EC$13="",INDEX(bhpc_data[sku],SMALL(IF(ISNUMBER(MATCH(bhpc_data[category],$EC$9,0)*MATCH(bhpc_data[sex],$EC$11,0)),MATCH(ROW(bhpc_data[sku]),ROW(bhpc_data[sku])),""),ROWS($A$15:A379)+$B$3)),INDEX(bhpc_data[sku],SMALL(IF(ISNUMBER(MATCH(bhpc_data[category],$EC$9,0)*MATCH(bhpc_data[sex],$EC$11,0)*MATCH(bhpc_data[size],$EC$13,0)),MATCH(ROW(bhpc_data[sku]),ROW(bhpc_data[sku])),""),ROWS($A$15:A379)+$B$3))))),"")</f>
        <v/>
      </c>
      <c r="EF374" s="446" t="str" cm="1">
        <f t="array" ref="EF374">IFERROR(IF($EC$9="",IF($EC$11="",IF($EC$13="",INDEX(bhpc_data[description],SMALL(MATCH(ROW(bhpc_data[sku]),ROW(bhpc_data[sku])),ROWS($A$15:A379)+$B$3)),INDEX(bhpc_data[description],SMALL(IF(ISNUMBER(MATCH(bhpc_data[size],$EC$13,0)),MATCH(ROW(bhpc_data[sku]),ROW(bhpc_data[sku])),""),ROWS($A$15:A379)+$B$3))),IF($EC$13="",INDEX(bhpc_data[description],SMALL(IF(ISNUMBER(MATCH(bhpc_data[sex],$EC$11,0)),MATCH(ROW(bhpc_data[sku]),ROW(bhpc_data[sku])),""),ROWS($A$15:A379)+$B$3)),INDEX(bhpc_data[description],SMALL(IF(ISNUMBER(MATCH(bhpc_data[sex],$EC$11,0)*MATCH(bhpc_data[size],$EC$13,0)),MATCH(ROW(bhpc_data[sku]),ROW(bhpc_data[sku])),""),ROWS($A$15:A379)+$B$3)))),IF($EC$11="",IF($EC$13="",INDEX(bhpc_data[description],SMALL(IF(ISNUMBER(MATCH(bhpc_data[category],$EC$9,0)),MATCH(ROW(bhpc_data[sku]),ROW(bhpc_data[sku])),""),ROWS($A$15:A379)+$B$3)),INDEX(bhpc_data[description],SMALL(IF(ISNUMBER(MATCH(bhpc_data[category],$EC$9,0)*MATCH(bhpc_data[size],$EC$13,0)),MATCH(ROW(bhpc_data[sku]),ROW(bhpc_data[sku])),""),ROWS($A$15:A379)+$B$3))),IF($EC$13="",INDEX(bhpc_data[description],SMALL(IF(ISNUMBER(MATCH(bhpc_data[category],$EC$9,0)*MATCH(bhpc_data[sex],$EC$11,0)),MATCH(ROW(bhpc_data[sku]),ROW(bhpc_data[sku])),""),ROWS($A$15:A379)+$B$3)),INDEX(bhpc_data[description],SMALL(IF(ISNUMBER(MATCH(bhpc_data[category],$EC$9,0)*MATCH(bhpc_data[sex],$EC$11,0)*MATCH(bhpc_data[size],$EC$13,0)),MATCH(ROW(bhpc_data[sku]),ROW(bhpc_data[sku])),""),ROWS($A$15:A379)+$B$3))))),"")</f>
        <v/>
      </c>
      <c r="EG374" s="447" t="str">
        <f>IFERROR(IF('BHPC MANAGER'!$EE374="","",INDEX(inventory[ESISTENZA],MATCH('BHPC MANAGER'!$EE374,inventory[SKU],0))),0)</f>
        <v/>
      </c>
      <c r="EH374" s="448"/>
      <c r="EI374" s="448" t="str">
        <f t="shared" si="23"/>
        <v/>
      </c>
      <c r="EJ374" s="449"/>
      <c r="EK374" s="450" t="str">
        <f t="shared" si="24"/>
        <v/>
      </c>
    </row>
    <row r="375" spans="135:141" x14ac:dyDescent="0.35">
      <c r="EE375" s="439" t="str" cm="1">
        <f t="array" ref="EE375">IFERROR(IF($EC$9="",IF($EC$11="",IF($EC$13="",INDEX(bhpc_data[sku],SMALL(MATCH(ROW(bhpc_data[sku]),ROW(bhpc_data[sku])),ROWS($A$15:A380)+$B$3)),INDEX(bhpc_data[sku],SMALL(IF(ISNUMBER(MATCH(bhpc_data[size],$EC$13,0)),MATCH(ROW(bhpc_data[sku]),ROW(bhpc_data[sku])),""),ROWS($A$15:A380)+$B$3))),IF($EC$13="",INDEX(bhpc_data[sku],SMALL(IF(ISNUMBER(MATCH(bhpc_data[sex],$EC$11,0)),MATCH(ROW(bhpc_data[sku]),ROW(bhpc_data[sku])),""),ROWS($A$15:A380)+$B$3)),INDEX(bhpc_data[sku],SMALL(IF(ISNUMBER(MATCH(bhpc_data[sex],$EC$11,0)*MATCH(bhpc_data[size],$EC$13,0)),MATCH(ROW(bhpc_data[sku]),ROW(bhpc_data[sku])),""),ROWS($A$15:A380)+$B$3)))),IF($EC$11="",IF($EC$13="",INDEX(bhpc_data[sku],SMALL(IF(ISNUMBER(MATCH(bhpc_data[category],$EC$9,0)),MATCH(ROW(bhpc_data[sku]),ROW(bhpc_data[sku])),""),ROWS($A$15:A380)+$B$3)),INDEX(bhpc_data[sku],SMALL(IF(ISNUMBER(MATCH(bhpc_data[category],$EC$9,0)*MATCH(bhpc_data[size],$EC$13,0)),MATCH(ROW(bhpc_data[sku]),ROW(bhpc_data[sku])),""),ROWS($A$15:A380)+$B$3))),IF($EC$13="",INDEX(bhpc_data[sku],SMALL(IF(ISNUMBER(MATCH(bhpc_data[category],$EC$9,0)*MATCH(bhpc_data[sex],$EC$11,0)),MATCH(ROW(bhpc_data[sku]),ROW(bhpc_data[sku])),""),ROWS($A$15:A380)+$B$3)),INDEX(bhpc_data[sku],SMALL(IF(ISNUMBER(MATCH(bhpc_data[category],$EC$9,0)*MATCH(bhpc_data[sex],$EC$11,0)*MATCH(bhpc_data[size],$EC$13,0)),MATCH(ROW(bhpc_data[sku]),ROW(bhpc_data[sku])),""),ROWS($A$15:A380)+$B$3))))),"")</f>
        <v/>
      </c>
      <c r="EF375" s="440" t="str" cm="1">
        <f t="array" ref="EF375">IFERROR(IF($EC$9="",IF($EC$11="",IF($EC$13="",INDEX(bhpc_data[description],SMALL(MATCH(ROW(bhpc_data[sku]),ROW(bhpc_data[sku])),ROWS($A$15:A380)+$B$3)),INDEX(bhpc_data[description],SMALL(IF(ISNUMBER(MATCH(bhpc_data[size],$EC$13,0)),MATCH(ROW(bhpc_data[sku]),ROW(bhpc_data[sku])),""),ROWS($A$15:A380)+$B$3))),IF($EC$13="",INDEX(bhpc_data[description],SMALL(IF(ISNUMBER(MATCH(bhpc_data[sex],$EC$11,0)),MATCH(ROW(bhpc_data[sku]),ROW(bhpc_data[sku])),""),ROWS($A$15:A380)+$B$3)),INDEX(bhpc_data[description],SMALL(IF(ISNUMBER(MATCH(bhpc_data[sex],$EC$11,0)*MATCH(bhpc_data[size],$EC$13,0)),MATCH(ROW(bhpc_data[sku]),ROW(bhpc_data[sku])),""),ROWS($A$15:A380)+$B$3)))),IF($EC$11="",IF($EC$13="",INDEX(bhpc_data[description],SMALL(IF(ISNUMBER(MATCH(bhpc_data[category],$EC$9,0)),MATCH(ROW(bhpc_data[sku]),ROW(bhpc_data[sku])),""),ROWS($A$15:A380)+$B$3)),INDEX(bhpc_data[description],SMALL(IF(ISNUMBER(MATCH(bhpc_data[category],$EC$9,0)*MATCH(bhpc_data[size],$EC$13,0)),MATCH(ROW(bhpc_data[sku]),ROW(bhpc_data[sku])),""),ROWS($A$15:A380)+$B$3))),IF($EC$13="",INDEX(bhpc_data[description],SMALL(IF(ISNUMBER(MATCH(bhpc_data[category],$EC$9,0)*MATCH(bhpc_data[sex],$EC$11,0)),MATCH(ROW(bhpc_data[sku]),ROW(bhpc_data[sku])),""),ROWS($A$15:A380)+$B$3)),INDEX(bhpc_data[description],SMALL(IF(ISNUMBER(MATCH(bhpc_data[category],$EC$9,0)*MATCH(bhpc_data[sex],$EC$11,0)*MATCH(bhpc_data[size],$EC$13,0)),MATCH(ROW(bhpc_data[sku]),ROW(bhpc_data[sku])),""),ROWS($A$15:A380)+$B$3))))),"")</f>
        <v/>
      </c>
      <c r="EG375" s="441" t="str">
        <f>IFERROR(IF('BHPC MANAGER'!$EE375="","",INDEX(inventory[ESISTENZA],MATCH('BHPC MANAGER'!$EE375,inventory[SKU],0))),0)</f>
        <v/>
      </c>
      <c r="EH375" s="442"/>
      <c r="EI375" s="442" t="str">
        <f t="shared" si="23"/>
        <v/>
      </c>
      <c r="EJ375" s="443"/>
      <c r="EK375" s="444" t="str">
        <f t="shared" si="24"/>
        <v/>
      </c>
    </row>
    <row r="376" spans="135:141" x14ac:dyDescent="0.35">
      <c r="EE376" s="445" t="str" cm="1">
        <f t="array" ref="EE376">IFERROR(IF($EC$9="",IF($EC$11="",IF($EC$13="",INDEX(bhpc_data[sku],SMALL(MATCH(ROW(bhpc_data[sku]),ROW(bhpc_data[sku])),ROWS($A$15:A381)+$B$3)),INDEX(bhpc_data[sku],SMALL(IF(ISNUMBER(MATCH(bhpc_data[size],$EC$13,0)),MATCH(ROW(bhpc_data[sku]),ROW(bhpc_data[sku])),""),ROWS($A$15:A381)+$B$3))),IF($EC$13="",INDEX(bhpc_data[sku],SMALL(IF(ISNUMBER(MATCH(bhpc_data[sex],$EC$11,0)),MATCH(ROW(bhpc_data[sku]),ROW(bhpc_data[sku])),""),ROWS($A$15:A381)+$B$3)),INDEX(bhpc_data[sku],SMALL(IF(ISNUMBER(MATCH(bhpc_data[sex],$EC$11,0)*MATCH(bhpc_data[size],$EC$13,0)),MATCH(ROW(bhpc_data[sku]),ROW(bhpc_data[sku])),""),ROWS($A$15:A381)+$B$3)))),IF($EC$11="",IF($EC$13="",INDEX(bhpc_data[sku],SMALL(IF(ISNUMBER(MATCH(bhpc_data[category],$EC$9,0)),MATCH(ROW(bhpc_data[sku]),ROW(bhpc_data[sku])),""),ROWS($A$15:A381)+$B$3)),INDEX(bhpc_data[sku],SMALL(IF(ISNUMBER(MATCH(bhpc_data[category],$EC$9,0)*MATCH(bhpc_data[size],$EC$13,0)),MATCH(ROW(bhpc_data[sku]),ROW(bhpc_data[sku])),""),ROWS($A$15:A381)+$B$3))),IF($EC$13="",INDEX(bhpc_data[sku],SMALL(IF(ISNUMBER(MATCH(bhpc_data[category],$EC$9,0)*MATCH(bhpc_data[sex],$EC$11,0)),MATCH(ROW(bhpc_data[sku]),ROW(bhpc_data[sku])),""),ROWS($A$15:A381)+$B$3)),INDEX(bhpc_data[sku],SMALL(IF(ISNUMBER(MATCH(bhpc_data[category],$EC$9,0)*MATCH(bhpc_data[sex],$EC$11,0)*MATCH(bhpc_data[size],$EC$13,0)),MATCH(ROW(bhpc_data[sku]),ROW(bhpc_data[sku])),""),ROWS($A$15:A381)+$B$3))))),"")</f>
        <v/>
      </c>
      <c r="EF376" s="446" t="str" cm="1">
        <f t="array" ref="EF376">IFERROR(IF($EC$9="",IF($EC$11="",IF($EC$13="",INDEX(bhpc_data[description],SMALL(MATCH(ROW(bhpc_data[sku]),ROW(bhpc_data[sku])),ROWS($A$15:A381)+$B$3)),INDEX(bhpc_data[description],SMALL(IF(ISNUMBER(MATCH(bhpc_data[size],$EC$13,0)),MATCH(ROW(bhpc_data[sku]),ROW(bhpc_data[sku])),""),ROWS($A$15:A381)+$B$3))),IF($EC$13="",INDEX(bhpc_data[description],SMALL(IF(ISNUMBER(MATCH(bhpc_data[sex],$EC$11,0)),MATCH(ROW(bhpc_data[sku]),ROW(bhpc_data[sku])),""),ROWS($A$15:A381)+$B$3)),INDEX(bhpc_data[description],SMALL(IF(ISNUMBER(MATCH(bhpc_data[sex],$EC$11,0)*MATCH(bhpc_data[size],$EC$13,0)),MATCH(ROW(bhpc_data[sku]),ROW(bhpc_data[sku])),""),ROWS($A$15:A381)+$B$3)))),IF($EC$11="",IF($EC$13="",INDEX(bhpc_data[description],SMALL(IF(ISNUMBER(MATCH(bhpc_data[category],$EC$9,0)),MATCH(ROW(bhpc_data[sku]),ROW(bhpc_data[sku])),""),ROWS($A$15:A381)+$B$3)),INDEX(bhpc_data[description],SMALL(IF(ISNUMBER(MATCH(bhpc_data[category],$EC$9,0)*MATCH(bhpc_data[size],$EC$13,0)),MATCH(ROW(bhpc_data[sku]),ROW(bhpc_data[sku])),""),ROWS($A$15:A381)+$B$3))),IF($EC$13="",INDEX(bhpc_data[description],SMALL(IF(ISNUMBER(MATCH(bhpc_data[category],$EC$9,0)*MATCH(bhpc_data[sex],$EC$11,0)),MATCH(ROW(bhpc_data[sku]),ROW(bhpc_data[sku])),""),ROWS($A$15:A381)+$B$3)),INDEX(bhpc_data[description],SMALL(IF(ISNUMBER(MATCH(bhpc_data[category],$EC$9,0)*MATCH(bhpc_data[sex],$EC$11,0)*MATCH(bhpc_data[size],$EC$13,0)),MATCH(ROW(bhpc_data[sku]),ROW(bhpc_data[sku])),""),ROWS($A$15:A381)+$B$3))))),"")</f>
        <v/>
      </c>
      <c r="EG376" s="447" t="str">
        <f>IFERROR(IF('BHPC MANAGER'!$EE376="","",INDEX(inventory[ESISTENZA],MATCH('BHPC MANAGER'!$EE376,inventory[SKU],0))),0)</f>
        <v/>
      </c>
      <c r="EH376" s="448"/>
      <c r="EI376" s="448" t="str">
        <f t="shared" si="23"/>
        <v/>
      </c>
      <c r="EJ376" s="449"/>
      <c r="EK376" s="450" t="str">
        <f t="shared" si="24"/>
        <v/>
      </c>
    </row>
    <row r="377" spans="135:141" x14ac:dyDescent="0.35">
      <c r="EE377" s="439" t="str" cm="1">
        <f t="array" ref="EE377">IFERROR(IF($EC$9="",IF($EC$11="",IF($EC$13="",INDEX(bhpc_data[sku],SMALL(MATCH(ROW(bhpc_data[sku]),ROW(bhpc_data[sku])),ROWS($A$15:A382)+$B$3)),INDEX(bhpc_data[sku],SMALL(IF(ISNUMBER(MATCH(bhpc_data[size],$EC$13,0)),MATCH(ROW(bhpc_data[sku]),ROW(bhpc_data[sku])),""),ROWS($A$15:A382)+$B$3))),IF($EC$13="",INDEX(bhpc_data[sku],SMALL(IF(ISNUMBER(MATCH(bhpc_data[sex],$EC$11,0)),MATCH(ROW(bhpc_data[sku]),ROW(bhpc_data[sku])),""),ROWS($A$15:A382)+$B$3)),INDEX(bhpc_data[sku],SMALL(IF(ISNUMBER(MATCH(bhpc_data[sex],$EC$11,0)*MATCH(bhpc_data[size],$EC$13,0)),MATCH(ROW(bhpc_data[sku]),ROW(bhpc_data[sku])),""),ROWS($A$15:A382)+$B$3)))),IF($EC$11="",IF($EC$13="",INDEX(bhpc_data[sku],SMALL(IF(ISNUMBER(MATCH(bhpc_data[category],$EC$9,0)),MATCH(ROW(bhpc_data[sku]),ROW(bhpc_data[sku])),""),ROWS($A$15:A382)+$B$3)),INDEX(bhpc_data[sku],SMALL(IF(ISNUMBER(MATCH(bhpc_data[category],$EC$9,0)*MATCH(bhpc_data[size],$EC$13,0)),MATCH(ROW(bhpc_data[sku]),ROW(bhpc_data[sku])),""),ROWS($A$15:A382)+$B$3))),IF($EC$13="",INDEX(bhpc_data[sku],SMALL(IF(ISNUMBER(MATCH(bhpc_data[category],$EC$9,0)*MATCH(bhpc_data[sex],$EC$11,0)),MATCH(ROW(bhpc_data[sku]),ROW(bhpc_data[sku])),""),ROWS($A$15:A382)+$B$3)),INDEX(bhpc_data[sku],SMALL(IF(ISNUMBER(MATCH(bhpc_data[category],$EC$9,0)*MATCH(bhpc_data[sex],$EC$11,0)*MATCH(bhpc_data[size],$EC$13,0)),MATCH(ROW(bhpc_data[sku]),ROW(bhpc_data[sku])),""),ROWS($A$15:A382)+$B$3))))),"")</f>
        <v/>
      </c>
      <c r="EF377" s="440" t="str" cm="1">
        <f t="array" ref="EF377">IFERROR(IF($EC$9="",IF($EC$11="",IF($EC$13="",INDEX(bhpc_data[description],SMALL(MATCH(ROW(bhpc_data[sku]),ROW(bhpc_data[sku])),ROWS($A$15:A382)+$B$3)),INDEX(bhpc_data[description],SMALL(IF(ISNUMBER(MATCH(bhpc_data[size],$EC$13,0)),MATCH(ROW(bhpc_data[sku]),ROW(bhpc_data[sku])),""),ROWS($A$15:A382)+$B$3))),IF($EC$13="",INDEX(bhpc_data[description],SMALL(IF(ISNUMBER(MATCH(bhpc_data[sex],$EC$11,0)),MATCH(ROW(bhpc_data[sku]),ROW(bhpc_data[sku])),""),ROWS($A$15:A382)+$B$3)),INDEX(bhpc_data[description],SMALL(IF(ISNUMBER(MATCH(bhpc_data[sex],$EC$11,0)*MATCH(bhpc_data[size],$EC$13,0)),MATCH(ROW(bhpc_data[sku]),ROW(bhpc_data[sku])),""),ROWS($A$15:A382)+$B$3)))),IF($EC$11="",IF($EC$13="",INDEX(bhpc_data[description],SMALL(IF(ISNUMBER(MATCH(bhpc_data[category],$EC$9,0)),MATCH(ROW(bhpc_data[sku]),ROW(bhpc_data[sku])),""),ROWS($A$15:A382)+$B$3)),INDEX(bhpc_data[description],SMALL(IF(ISNUMBER(MATCH(bhpc_data[category],$EC$9,0)*MATCH(bhpc_data[size],$EC$13,0)),MATCH(ROW(bhpc_data[sku]),ROW(bhpc_data[sku])),""),ROWS($A$15:A382)+$B$3))),IF($EC$13="",INDEX(bhpc_data[description],SMALL(IF(ISNUMBER(MATCH(bhpc_data[category],$EC$9,0)*MATCH(bhpc_data[sex],$EC$11,0)),MATCH(ROW(bhpc_data[sku]),ROW(bhpc_data[sku])),""),ROWS($A$15:A382)+$B$3)),INDEX(bhpc_data[description],SMALL(IF(ISNUMBER(MATCH(bhpc_data[category],$EC$9,0)*MATCH(bhpc_data[sex],$EC$11,0)*MATCH(bhpc_data[size],$EC$13,0)),MATCH(ROW(bhpc_data[sku]),ROW(bhpc_data[sku])),""),ROWS($A$15:A382)+$B$3))))),"")</f>
        <v/>
      </c>
      <c r="EG377" s="441" t="str">
        <f>IFERROR(IF('BHPC MANAGER'!$EE377="","",INDEX(inventory[ESISTENZA],MATCH('BHPC MANAGER'!$EE377,inventory[SKU],0))),0)</f>
        <v/>
      </c>
      <c r="EH377" s="442"/>
      <c r="EI377" s="442" t="str">
        <f t="shared" si="23"/>
        <v/>
      </c>
      <c r="EJ377" s="443"/>
      <c r="EK377" s="444" t="str">
        <f t="shared" si="24"/>
        <v/>
      </c>
    </row>
    <row r="378" spans="135:141" x14ac:dyDescent="0.35">
      <c r="EE378" s="445" t="str" cm="1">
        <f t="array" ref="EE378">IFERROR(IF($EC$9="",IF($EC$11="",IF($EC$13="",INDEX(bhpc_data[sku],SMALL(MATCH(ROW(bhpc_data[sku]),ROW(bhpc_data[sku])),ROWS($A$15:A383)+$B$3)),INDEX(bhpc_data[sku],SMALL(IF(ISNUMBER(MATCH(bhpc_data[size],$EC$13,0)),MATCH(ROW(bhpc_data[sku]),ROW(bhpc_data[sku])),""),ROWS($A$15:A383)+$B$3))),IF($EC$13="",INDEX(bhpc_data[sku],SMALL(IF(ISNUMBER(MATCH(bhpc_data[sex],$EC$11,0)),MATCH(ROW(bhpc_data[sku]),ROW(bhpc_data[sku])),""),ROWS($A$15:A383)+$B$3)),INDEX(bhpc_data[sku],SMALL(IF(ISNUMBER(MATCH(bhpc_data[sex],$EC$11,0)*MATCH(bhpc_data[size],$EC$13,0)),MATCH(ROW(bhpc_data[sku]),ROW(bhpc_data[sku])),""),ROWS($A$15:A383)+$B$3)))),IF($EC$11="",IF($EC$13="",INDEX(bhpc_data[sku],SMALL(IF(ISNUMBER(MATCH(bhpc_data[category],$EC$9,0)),MATCH(ROW(bhpc_data[sku]),ROW(bhpc_data[sku])),""),ROWS($A$15:A383)+$B$3)),INDEX(bhpc_data[sku],SMALL(IF(ISNUMBER(MATCH(bhpc_data[category],$EC$9,0)*MATCH(bhpc_data[size],$EC$13,0)),MATCH(ROW(bhpc_data[sku]),ROW(bhpc_data[sku])),""),ROWS($A$15:A383)+$B$3))),IF($EC$13="",INDEX(bhpc_data[sku],SMALL(IF(ISNUMBER(MATCH(bhpc_data[category],$EC$9,0)*MATCH(bhpc_data[sex],$EC$11,0)),MATCH(ROW(bhpc_data[sku]),ROW(bhpc_data[sku])),""),ROWS($A$15:A383)+$B$3)),INDEX(bhpc_data[sku],SMALL(IF(ISNUMBER(MATCH(bhpc_data[category],$EC$9,0)*MATCH(bhpc_data[sex],$EC$11,0)*MATCH(bhpc_data[size],$EC$13,0)),MATCH(ROW(bhpc_data[sku]),ROW(bhpc_data[sku])),""),ROWS($A$15:A383)+$B$3))))),"")</f>
        <v/>
      </c>
      <c r="EF378" s="446" t="str" cm="1">
        <f t="array" ref="EF378">IFERROR(IF($EC$9="",IF($EC$11="",IF($EC$13="",INDEX(bhpc_data[description],SMALL(MATCH(ROW(bhpc_data[sku]),ROW(bhpc_data[sku])),ROWS($A$15:A383)+$B$3)),INDEX(bhpc_data[description],SMALL(IF(ISNUMBER(MATCH(bhpc_data[size],$EC$13,0)),MATCH(ROW(bhpc_data[sku]),ROW(bhpc_data[sku])),""),ROWS($A$15:A383)+$B$3))),IF($EC$13="",INDEX(bhpc_data[description],SMALL(IF(ISNUMBER(MATCH(bhpc_data[sex],$EC$11,0)),MATCH(ROW(bhpc_data[sku]),ROW(bhpc_data[sku])),""),ROWS($A$15:A383)+$B$3)),INDEX(bhpc_data[description],SMALL(IF(ISNUMBER(MATCH(bhpc_data[sex],$EC$11,0)*MATCH(bhpc_data[size],$EC$13,0)),MATCH(ROW(bhpc_data[sku]),ROW(bhpc_data[sku])),""),ROWS($A$15:A383)+$B$3)))),IF($EC$11="",IF($EC$13="",INDEX(bhpc_data[description],SMALL(IF(ISNUMBER(MATCH(bhpc_data[category],$EC$9,0)),MATCH(ROW(bhpc_data[sku]),ROW(bhpc_data[sku])),""),ROWS($A$15:A383)+$B$3)),INDEX(bhpc_data[description],SMALL(IF(ISNUMBER(MATCH(bhpc_data[category],$EC$9,0)*MATCH(bhpc_data[size],$EC$13,0)),MATCH(ROW(bhpc_data[sku]),ROW(bhpc_data[sku])),""),ROWS($A$15:A383)+$B$3))),IF($EC$13="",INDEX(bhpc_data[description],SMALL(IF(ISNUMBER(MATCH(bhpc_data[category],$EC$9,0)*MATCH(bhpc_data[sex],$EC$11,0)),MATCH(ROW(bhpc_data[sku]),ROW(bhpc_data[sku])),""),ROWS($A$15:A383)+$B$3)),INDEX(bhpc_data[description],SMALL(IF(ISNUMBER(MATCH(bhpc_data[category],$EC$9,0)*MATCH(bhpc_data[sex],$EC$11,0)*MATCH(bhpc_data[size],$EC$13,0)),MATCH(ROW(bhpc_data[sku]),ROW(bhpc_data[sku])),""),ROWS($A$15:A383)+$B$3))))),"")</f>
        <v/>
      </c>
      <c r="EG378" s="447" t="str">
        <f>IFERROR(IF('BHPC MANAGER'!$EE378="","",INDEX(inventory[ESISTENZA],MATCH('BHPC MANAGER'!$EE378,inventory[SKU],0))),0)</f>
        <v/>
      </c>
      <c r="EH378" s="448"/>
      <c r="EI378" s="448" t="str">
        <f t="shared" si="23"/>
        <v/>
      </c>
      <c r="EJ378" s="449"/>
      <c r="EK378" s="450" t="str">
        <f t="shared" si="24"/>
        <v/>
      </c>
    </row>
    <row r="379" spans="135:141" x14ac:dyDescent="0.35">
      <c r="EE379" s="439" t="str" cm="1">
        <f t="array" ref="EE379">IFERROR(IF($EC$9="",IF($EC$11="",IF($EC$13="",INDEX(bhpc_data[sku],SMALL(MATCH(ROW(bhpc_data[sku]),ROW(bhpc_data[sku])),ROWS($A$15:A384)+$B$3)),INDEX(bhpc_data[sku],SMALL(IF(ISNUMBER(MATCH(bhpc_data[size],$EC$13,0)),MATCH(ROW(bhpc_data[sku]),ROW(bhpc_data[sku])),""),ROWS($A$15:A384)+$B$3))),IF($EC$13="",INDEX(bhpc_data[sku],SMALL(IF(ISNUMBER(MATCH(bhpc_data[sex],$EC$11,0)),MATCH(ROW(bhpc_data[sku]),ROW(bhpc_data[sku])),""),ROWS($A$15:A384)+$B$3)),INDEX(bhpc_data[sku],SMALL(IF(ISNUMBER(MATCH(bhpc_data[sex],$EC$11,0)*MATCH(bhpc_data[size],$EC$13,0)),MATCH(ROW(bhpc_data[sku]),ROW(bhpc_data[sku])),""),ROWS($A$15:A384)+$B$3)))),IF($EC$11="",IF($EC$13="",INDEX(bhpc_data[sku],SMALL(IF(ISNUMBER(MATCH(bhpc_data[category],$EC$9,0)),MATCH(ROW(bhpc_data[sku]),ROW(bhpc_data[sku])),""),ROWS($A$15:A384)+$B$3)),INDEX(bhpc_data[sku],SMALL(IF(ISNUMBER(MATCH(bhpc_data[category],$EC$9,0)*MATCH(bhpc_data[size],$EC$13,0)),MATCH(ROW(bhpc_data[sku]),ROW(bhpc_data[sku])),""),ROWS($A$15:A384)+$B$3))),IF($EC$13="",INDEX(bhpc_data[sku],SMALL(IF(ISNUMBER(MATCH(bhpc_data[category],$EC$9,0)*MATCH(bhpc_data[sex],$EC$11,0)),MATCH(ROW(bhpc_data[sku]),ROW(bhpc_data[sku])),""),ROWS($A$15:A384)+$B$3)),INDEX(bhpc_data[sku],SMALL(IF(ISNUMBER(MATCH(bhpc_data[category],$EC$9,0)*MATCH(bhpc_data[sex],$EC$11,0)*MATCH(bhpc_data[size],$EC$13,0)),MATCH(ROW(bhpc_data[sku]),ROW(bhpc_data[sku])),""),ROWS($A$15:A384)+$B$3))))),"")</f>
        <v/>
      </c>
      <c r="EF379" s="440" t="str" cm="1">
        <f t="array" ref="EF379">IFERROR(IF($EC$9="",IF($EC$11="",IF($EC$13="",INDEX(bhpc_data[description],SMALL(MATCH(ROW(bhpc_data[sku]),ROW(bhpc_data[sku])),ROWS($A$15:A384)+$B$3)),INDEX(bhpc_data[description],SMALL(IF(ISNUMBER(MATCH(bhpc_data[size],$EC$13,0)),MATCH(ROW(bhpc_data[sku]),ROW(bhpc_data[sku])),""),ROWS($A$15:A384)+$B$3))),IF($EC$13="",INDEX(bhpc_data[description],SMALL(IF(ISNUMBER(MATCH(bhpc_data[sex],$EC$11,0)),MATCH(ROW(bhpc_data[sku]),ROW(bhpc_data[sku])),""),ROWS($A$15:A384)+$B$3)),INDEX(bhpc_data[description],SMALL(IF(ISNUMBER(MATCH(bhpc_data[sex],$EC$11,0)*MATCH(bhpc_data[size],$EC$13,0)),MATCH(ROW(bhpc_data[sku]),ROW(bhpc_data[sku])),""),ROWS($A$15:A384)+$B$3)))),IF($EC$11="",IF($EC$13="",INDEX(bhpc_data[description],SMALL(IF(ISNUMBER(MATCH(bhpc_data[category],$EC$9,0)),MATCH(ROW(bhpc_data[sku]),ROW(bhpc_data[sku])),""),ROWS($A$15:A384)+$B$3)),INDEX(bhpc_data[description],SMALL(IF(ISNUMBER(MATCH(bhpc_data[category],$EC$9,0)*MATCH(bhpc_data[size],$EC$13,0)),MATCH(ROW(bhpc_data[sku]),ROW(bhpc_data[sku])),""),ROWS($A$15:A384)+$B$3))),IF($EC$13="",INDEX(bhpc_data[description],SMALL(IF(ISNUMBER(MATCH(bhpc_data[category],$EC$9,0)*MATCH(bhpc_data[sex],$EC$11,0)),MATCH(ROW(bhpc_data[sku]),ROW(bhpc_data[sku])),""),ROWS($A$15:A384)+$B$3)),INDEX(bhpc_data[description],SMALL(IF(ISNUMBER(MATCH(bhpc_data[category],$EC$9,0)*MATCH(bhpc_data[sex],$EC$11,0)*MATCH(bhpc_data[size],$EC$13,0)),MATCH(ROW(bhpc_data[sku]),ROW(bhpc_data[sku])),""),ROWS($A$15:A384)+$B$3))))),"")</f>
        <v/>
      </c>
      <c r="EG379" s="441" t="str">
        <f>IFERROR(IF('BHPC MANAGER'!$EE379="","",INDEX(inventory[ESISTENZA],MATCH('BHPC MANAGER'!$EE379,inventory[SKU],0))),0)</f>
        <v/>
      </c>
      <c r="EH379" s="442"/>
      <c r="EI379" s="442" t="str">
        <f t="shared" ref="EI379:EI400" si="25">IF(EE379="","",IFERROR(EG379+EH379,EG379))</f>
        <v/>
      </c>
      <c r="EJ379" s="443"/>
      <c r="EK379" s="444" t="str">
        <f t="shared" ref="EK379:EK400" si="26">IF(EE379="","",IFERROR(EI379+EJ379,EI379))</f>
        <v/>
      </c>
    </row>
    <row r="380" spans="135:141" x14ac:dyDescent="0.35">
      <c r="EE380" s="445" t="str" cm="1">
        <f t="array" ref="EE380">IFERROR(IF($EC$9="",IF($EC$11="",IF($EC$13="",INDEX(bhpc_data[sku],SMALL(MATCH(ROW(bhpc_data[sku]),ROW(bhpc_data[sku])),ROWS($A$15:A385)+$B$3)),INDEX(bhpc_data[sku],SMALL(IF(ISNUMBER(MATCH(bhpc_data[size],$EC$13,0)),MATCH(ROW(bhpc_data[sku]),ROW(bhpc_data[sku])),""),ROWS($A$15:A385)+$B$3))),IF($EC$13="",INDEX(bhpc_data[sku],SMALL(IF(ISNUMBER(MATCH(bhpc_data[sex],$EC$11,0)),MATCH(ROW(bhpc_data[sku]),ROW(bhpc_data[sku])),""),ROWS($A$15:A385)+$B$3)),INDEX(bhpc_data[sku],SMALL(IF(ISNUMBER(MATCH(bhpc_data[sex],$EC$11,0)*MATCH(bhpc_data[size],$EC$13,0)),MATCH(ROW(bhpc_data[sku]),ROW(bhpc_data[sku])),""),ROWS($A$15:A385)+$B$3)))),IF($EC$11="",IF($EC$13="",INDEX(bhpc_data[sku],SMALL(IF(ISNUMBER(MATCH(bhpc_data[category],$EC$9,0)),MATCH(ROW(bhpc_data[sku]),ROW(bhpc_data[sku])),""),ROWS($A$15:A385)+$B$3)),INDEX(bhpc_data[sku],SMALL(IF(ISNUMBER(MATCH(bhpc_data[category],$EC$9,0)*MATCH(bhpc_data[size],$EC$13,0)),MATCH(ROW(bhpc_data[sku]),ROW(bhpc_data[sku])),""),ROWS($A$15:A385)+$B$3))),IF($EC$13="",INDEX(bhpc_data[sku],SMALL(IF(ISNUMBER(MATCH(bhpc_data[category],$EC$9,0)*MATCH(bhpc_data[sex],$EC$11,0)),MATCH(ROW(bhpc_data[sku]),ROW(bhpc_data[sku])),""),ROWS($A$15:A385)+$B$3)),INDEX(bhpc_data[sku],SMALL(IF(ISNUMBER(MATCH(bhpc_data[category],$EC$9,0)*MATCH(bhpc_data[sex],$EC$11,0)*MATCH(bhpc_data[size],$EC$13,0)),MATCH(ROW(bhpc_data[sku]),ROW(bhpc_data[sku])),""),ROWS($A$15:A385)+$B$3))))),"")</f>
        <v/>
      </c>
      <c r="EF380" s="446" t="str" cm="1">
        <f t="array" ref="EF380">IFERROR(IF($EC$9="",IF($EC$11="",IF($EC$13="",INDEX(bhpc_data[description],SMALL(MATCH(ROW(bhpc_data[sku]),ROW(bhpc_data[sku])),ROWS($A$15:A385)+$B$3)),INDEX(bhpc_data[description],SMALL(IF(ISNUMBER(MATCH(bhpc_data[size],$EC$13,0)),MATCH(ROW(bhpc_data[sku]),ROW(bhpc_data[sku])),""),ROWS($A$15:A385)+$B$3))),IF($EC$13="",INDEX(bhpc_data[description],SMALL(IF(ISNUMBER(MATCH(bhpc_data[sex],$EC$11,0)),MATCH(ROW(bhpc_data[sku]),ROW(bhpc_data[sku])),""),ROWS($A$15:A385)+$B$3)),INDEX(bhpc_data[description],SMALL(IF(ISNUMBER(MATCH(bhpc_data[sex],$EC$11,0)*MATCH(bhpc_data[size],$EC$13,0)),MATCH(ROW(bhpc_data[sku]),ROW(bhpc_data[sku])),""),ROWS($A$15:A385)+$B$3)))),IF($EC$11="",IF($EC$13="",INDEX(bhpc_data[description],SMALL(IF(ISNUMBER(MATCH(bhpc_data[category],$EC$9,0)),MATCH(ROW(bhpc_data[sku]),ROW(bhpc_data[sku])),""),ROWS($A$15:A385)+$B$3)),INDEX(bhpc_data[description],SMALL(IF(ISNUMBER(MATCH(bhpc_data[category],$EC$9,0)*MATCH(bhpc_data[size],$EC$13,0)),MATCH(ROW(bhpc_data[sku]),ROW(bhpc_data[sku])),""),ROWS($A$15:A385)+$B$3))),IF($EC$13="",INDEX(bhpc_data[description],SMALL(IF(ISNUMBER(MATCH(bhpc_data[category],$EC$9,0)*MATCH(bhpc_data[sex],$EC$11,0)),MATCH(ROW(bhpc_data[sku]),ROW(bhpc_data[sku])),""),ROWS($A$15:A385)+$B$3)),INDEX(bhpc_data[description],SMALL(IF(ISNUMBER(MATCH(bhpc_data[category],$EC$9,0)*MATCH(bhpc_data[sex],$EC$11,0)*MATCH(bhpc_data[size],$EC$13,0)),MATCH(ROW(bhpc_data[sku]),ROW(bhpc_data[sku])),""),ROWS($A$15:A385)+$B$3))))),"")</f>
        <v/>
      </c>
      <c r="EG380" s="447" t="str">
        <f>IFERROR(IF('BHPC MANAGER'!$EE380="","",INDEX(inventory[ESISTENZA],MATCH('BHPC MANAGER'!$EE380,inventory[SKU],0))),0)</f>
        <v/>
      </c>
      <c r="EH380" s="448"/>
      <c r="EI380" s="448" t="str">
        <f t="shared" si="25"/>
        <v/>
      </c>
      <c r="EJ380" s="449"/>
      <c r="EK380" s="450" t="str">
        <f t="shared" si="26"/>
        <v/>
      </c>
    </row>
    <row r="381" spans="135:141" x14ac:dyDescent="0.35">
      <c r="EE381" s="439" t="str" cm="1">
        <f t="array" ref="EE381">IFERROR(IF($EC$9="",IF($EC$11="",IF($EC$13="",INDEX(bhpc_data[sku],SMALL(MATCH(ROW(bhpc_data[sku]),ROW(bhpc_data[sku])),ROWS($A$15:A386)+$B$3)),INDEX(bhpc_data[sku],SMALL(IF(ISNUMBER(MATCH(bhpc_data[size],$EC$13,0)),MATCH(ROW(bhpc_data[sku]),ROW(bhpc_data[sku])),""),ROWS($A$15:A386)+$B$3))),IF($EC$13="",INDEX(bhpc_data[sku],SMALL(IF(ISNUMBER(MATCH(bhpc_data[sex],$EC$11,0)),MATCH(ROW(bhpc_data[sku]),ROW(bhpc_data[sku])),""),ROWS($A$15:A386)+$B$3)),INDEX(bhpc_data[sku],SMALL(IF(ISNUMBER(MATCH(bhpc_data[sex],$EC$11,0)*MATCH(bhpc_data[size],$EC$13,0)),MATCH(ROW(bhpc_data[sku]),ROW(bhpc_data[sku])),""),ROWS($A$15:A386)+$B$3)))),IF($EC$11="",IF($EC$13="",INDEX(bhpc_data[sku],SMALL(IF(ISNUMBER(MATCH(bhpc_data[category],$EC$9,0)),MATCH(ROW(bhpc_data[sku]),ROW(bhpc_data[sku])),""),ROWS($A$15:A386)+$B$3)),INDEX(bhpc_data[sku],SMALL(IF(ISNUMBER(MATCH(bhpc_data[category],$EC$9,0)*MATCH(bhpc_data[size],$EC$13,0)),MATCH(ROW(bhpc_data[sku]),ROW(bhpc_data[sku])),""),ROWS($A$15:A386)+$B$3))),IF($EC$13="",INDEX(bhpc_data[sku],SMALL(IF(ISNUMBER(MATCH(bhpc_data[category],$EC$9,0)*MATCH(bhpc_data[sex],$EC$11,0)),MATCH(ROW(bhpc_data[sku]),ROW(bhpc_data[sku])),""),ROWS($A$15:A386)+$B$3)),INDEX(bhpc_data[sku],SMALL(IF(ISNUMBER(MATCH(bhpc_data[category],$EC$9,0)*MATCH(bhpc_data[sex],$EC$11,0)*MATCH(bhpc_data[size],$EC$13,0)),MATCH(ROW(bhpc_data[sku]),ROW(bhpc_data[sku])),""),ROWS($A$15:A386)+$B$3))))),"")</f>
        <v/>
      </c>
      <c r="EF381" s="440" t="str" cm="1">
        <f t="array" ref="EF381">IFERROR(IF($EC$9="",IF($EC$11="",IF($EC$13="",INDEX(bhpc_data[description],SMALL(MATCH(ROW(bhpc_data[sku]),ROW(bhpc_data[sku])),ROWS($A$15:A386)+$B$3)),INDEX(bhpc_data[description],SMALL(IF(ISNUMBER(MATCH(bhpc_data[size],$EC$13,0)),MATCH(ROW(bhpc_data[sku]),ROW(bhpc_data[sku])),""),ROWS($A$15:A386)+$B$3))),IF($EC$13="",INDEX(bhpc_data[description],SMALL(IF(ISNUMBER(MATCH(bhpc_data[sex],$EC$11,0)),MATCH(ROW(bhpc_data[sku]),ROW(bhpc_data[sku])),""),ROWS($A$15:A386)+$B$3)),INDEX(bhpc_data[description],SMALL(IF(ISNUMBER(MATCH(bhpc_data[sex],$EC$11,0)*MATCH(bhpc_data[size],$EC$13,0)),MATCH(ROW(bhpc_data[sku]),ROW(bhpc_data[sku])),""),ROWS($A$15:A386)+$B$3)))),IF($EC$11="",IF($EC$13="",INDEX(bhpc_data[description],SMALL(IF(ISNUMBER(MATCH(bhpc_data[category],$EC$9,0)),MATCH(ROW(bhpc_data[sku]),ROW(bhpc_data[sku])),""),ROWS($A$15:A386)+$B$3)),INDEX(bhpc_data[description],SMALL(IF(ISNUMBER(MATCH(bhpc_data[category],$EC$9,0)*MATCH(bhpc_data[size],$EC$13,0)),MATCH(ROW(bhpc_data[sku]),ROW(bhpc_data[sku])),""),ROWS($A$15:A386)+$B$3))),IF($EC$13="",INDEX(bhpc_data[description],SMALL(IF(ISNUMBER(MATCH(bhpc_data[category],$EC$9,0)*MATCH(bhpc_data[sex],$EC$11,0)),MATCH(ROW(bhpc_data[sku]),ROW(bhpc_data[sku])),""),ROWS($A$15:A386)+$B$3)),INDEX(bhpc_data[description],SMALL(IF(ISNUMBER(MATCH(bhpc_data[category],$EC$9,0)*MATCH(bhpc_data[sex],$EC$11,0)*MATCH(bhpc_data[size],$EC$13,0)),MATCH(ROW(bhpc_data[sku]),ROW(bhpc_data[sku])),""),ROWS($A$15:A386)+$B$3))))),"")</f>
        <v/>
      </c>
      <c r="EG381" s="441" t="str">
        <f>IFERROR(IF('BHPC MANAGER'!$EE381="","",INDEX(inventory[ESISTENZA],MATCH('BHPC MANAGER'!$EE381,inventory[SKU],0))),0)</f>
        <v/>
      </c>
      <c r="EH381" s="442"/>
      <c r="EI381" s="442" t="str">
        <f t="shared" si="25"/>
        <v/>
      </c>
      <c r="EJ381" s="443"/>
      <c r="EK381" s="444" t="str">
        <f t="shared" si="26"/>
        <v/>
      </c>
    </row>
    <row r="382" spans="135:141" x14ac:dyDescent="0.35">
      <c r="EE382" s="445" t="str" cm="1">
        <f t="array" ref="EE382">IFERROR(IF($EC$9="",IF($EC$11="",IF($EC$13="",INDEX(bhpc_data[sku],SMALL(MATCH(ROW(bhpc_data[sku]),ROW(bhpc_data[sku])),ROWS($A$15:A387)+$B$3)),INDEX(bhpc_data[sku],SMALL(IF(ISNUMBER(MATCH(bhpc_data[size],$EC$13,0)),MATCH(ROW(bhpc_data[sku]),ROW(bhpc_data[sku])),""),ROWS($A$15:A387)+$B$3))),IF($EC$13="",INDEX(bhpc_data[sku],SMALL(IF(ISNUMBER(MATCH(bhpc_data[sex],$EC$11,0)),MATCH(ROW(bhpc_data[sku]),ROW(bhpc_data[sku])),""),ROWS($A$15:A387)+$B$3)),INDEX(bhpc_data[sku],SMALL(IF(ISNUMBER(MATCH(bhpc_data[sex],$EC$11,0)*MATCH(bhpc_data[size],$EC$13,0)),MATCH(ROW(bhpc_data[sku]),ROW(bhpc_data[sku])),""),ROWS($A$15:A387)+$B$3)))),IF($EC$11="",IF($EC$13="",INDEX(bhpc_data[sku],SMALL(IF(ISNUMBER(MATCH(bhpc_data[category],$EC$9,0)),MATCH(ROW(bhpc_data[sku]),ROW(bhpc_data[sku])),""),ROWS($A$15:A387)+$B$3)),INDEX(bhpc_data[sku],SMALL(IF(ISNUMBER(MATCH(bhpc_data[category],$EC$9,0)*MATCH(bhpc_data[size],$EC$13,0)),MATCH(ROW(bhpc_data[sku]),ROW(bhpc_data[sku])),""),ROWS($A$15:A387)+$B$3))),IF($EC$13="",INDEX(bhpc_data[sku],SMALL(IF(ISNUMBER(MATCH(bhpc_data[category],$EC$9,0)*MATCH(bhpc_data[sex],$EC$11,0)),MATCH(ROW(bhpc_data[sku]),ROW(bhpc_data[sku])),""),ROWS($A$15:A387)+$B$3)),INDEX(bhpc_data[sku],SMALL(IF(ISNUMBER(MATCH(bhpc_data[category],$EC$9,0)*MATCH(bhpc_data[sex],$EC$11,0)*MATCH(bhpc_data[size],$EC$13,0)),MATCH(ROW(bhpc_data[sku]),ROW(bhpc_data[sku])),""),ROWS($A$15:A387)+$B$3))))),"")</f>
        <v/>
      </c>
      <c r="EF382" s="446" t="str" cm="1">
        <f t="array" ref="EF382">IFERROR(IF($EC$9="",IF($EC$11="",IF($EC$13="",INDEX(bhpc_data[description],SMALL(MATCH(ROW(bhpc_data[sku]),ROW(bhpc_data[sku])),ROWS($A$15:A387)+$B$3)),INDEX(bhpc_data[description],SMALL(IF(ISNUMBER(MATCH(bhpc_data[size],$EC$13,0)),MATCH(ROW(bhpc_data[sku]),ROW(bhpc_data[sku])),""),ROWS($A$15:A387)+$B$3))),IF($EC$13="",INDEX(bhpc_data[description],SMALL(IF(ISNUMBER(MATCH(bhpc_data[sex],$EC$11,0)),MATCH(ROW(bhpc_data[sku]),ROW(bhpc_data[sku])),""),ROWS($A$15:A387)+$B$3)),INDEX(bhpc_data[description],SMALL(IF(ISNUMBER(MATCH(bhpc_data[sex],$EC$11,0)*MATCH(bhpc_data[size],$EC$13,0)),MATCH(ROW(bhpc_data[sku]),ROW(bhpc_data[sku])),""),ROWS($A$15:A387)+$B$3)))),IF($EC$11="",IF($EC$13="",INDEX(bhpc_data[description],SMALL(IF(ISNUMBER(MATCH(bhpc_data[category],$EC$9,0)),MATCH(ROW(bhpc_data[sku]),ROW(bhpc_data[sku])),""),ROWS($A$15:A387)+$B$3)),INDEX(bhpc_data[description],SMALL(IF(ISNUMBER(MATCH(bhpc_data[category],$EC$9,0)*MATCH(bhpc_data[size],$EC$13,0)),MATCH(ROW(bhpc_data[sku]),ROW(bhpc_data[sku])),""),ROWS($A$15:A387)+$B$3))),IF($EC$13="",INDEX(bhpc_data[description],SMALL(IF(ISNUMBER(MATCH(bhpc_data[category],$EC$9,0)*MATCH(bhpc_data[sex],$EC$11,0)),MATCH(ROW(bhpc_data[sku]),ROW(bhpc_data[sku])),""),ROWS($A$15:A387)+$B$3)),INDEX(bhpc_data[description],SMALL(IF(ISNUMBER(MATCH(bhpc_data[category],$EC$9,0)*MATCH(bhpc_data[sex],$EC$11,0)*MATCH(bhpc_data[size],$EC$13,0)),MATCH(ROW(bhpc_data[sku]),ROW(bhpc_data[sku])),""),ROWS($A$15:A387)+$B$3))))),"")</f>
        <v/>
      </c>
      <c r="EG382" s="447" t="str">
        <f>IFERROR(IF('BHPC MANAGER'!$EE382="","",INDEX(inventory[ESISTENZA],MATCH('BHPC MANAGER'!$EE382,inventory[SKU],0))),0)</f>
        <v/>
      </c>
      <c r="EH382" s="448"/>
      <c r="EI382" s="448" t="str">
        <f t="shared" si="25"/>
        <v/>
      </c>
      <c r="EJ382" s="449"/>
      <c r="EK382" s="450" t="str">
        <f t="shared" si="26"/>
        <v/>
      </c>
    </row>
    <row r="383" spans="135:141" x14ac:dyDescent="0.35">
      <c r="EE383" s="439" t="str" cm="1">
        <f t="array" ref="EE383">IFERROR(IF($EC$9="",IF($EC$11="",IF($EC$13="",INDEX(bhpc_data[sku],SMALL(MATCH(ROW(bhpc_data[sku]),ROW(bhpc_data[sku])),ROWS($A$15:A388)+$B$3)),INDEX(bhpc_data[sku],SMALL(IF(ISNUMBER(MATCH(bhpc_data[size],$EC$13,0)),MATCH(ROW(bhpc_data[sku]),ROW(bhpc_data[sku])),""),ROWS($A$15:A388)+$B$3))),IF($EC$13="",INDEX(bhpc_data[sku],SMALL(IF(ISNUMBER(MATCH(bhpc_data[sex],$EC$11,0)),MATCH(ROW(bhpc_data[sku]),ROW(bhpc_data[sku])),""),ROWS($A$15:A388)+$B$3)),INDEX(bhpc_data[sku],SMALL(IF(ISNUMBER(MATCH(bhpc_data[sex],$EC$11,0)*MATCH(bhpc_data[size],$EC$13,0)),MATCH(ROW(bhpc_data[sku]),ROW(bhpc_data[sku])),""),ROWS($A$15:A388)+$B$3)))),IF($EC$11="",IF($EC$13="",INDEX(bhpc_data[sku],SMALL(IF(ISNUMBER(MATCH(bhpc_data[category],$EC$9,0)),MATCH(ROW(bhpc_data[sku]),ROW(bhpc_data[sku])),""),ROWS($A$15:A388)+$B$3)),INDEX(bhpc_data[sku],SMALL(IF(ISNUMBER(MATCH(bhpc_data[category],$EC$9,0)*MATCH(bhpc_data[size],$EC$13,0)),MATCH(ROW(bhpc_data[sku]),ROW(bhpc_data[sku])),""),ROWS($A$15:A388)+$B$3))),IF($EC$13="",INDEX(bhpc_data[sku],SMALL(IF(ISNUMBER(MATCH(bhpc_data[category],$EC$9,0)*MATCH(bhpc_data[sex],$EC$11,0)),MATCH(ROW(bhpc_data[sku]),ROW(bhpc_data[sku])),""),ROWS($A$15:A388)+$B$3)),INDEX(bhpc_data[sku],SMALL(IF(ISNUMBER(MATCH(bhpc_data[category],$EC$9,0)*MATCH(bhpc_data[sex],$EC$11,0)*MATCH(bhpc_data[size],$EC$13,0)),MATCH(ROW(bhpc_data[sku]),ROW(bhpc_data[sku])),""),ROWS($A$15:A388)+$B$3))))),"")</f>
        <v/>
      </c>
      <c r="EF383" s="440" t="str" cm="1">
        <f t="array" ref="EF383">IFERROR(IF($EC$9="",IF($EC$11="",IF($EC$13="",INDEX(bhpc_data[description],SMALL(MATCH(ROW(bhpc_data[sku]),ROW(bhpc_data[sku])),ROWS($A$15:A388)+$B$3)),INDEX(bhpc_data[description],SMALL(IF(ISNUMBER(MATCH(bhpc_data[size],$EC$13,0)),MATCH(ROW(bhpc_data[sku]),ROW(bhpc_data[sku])),""),ROWS($A$15:A388)+$B$3))),IF($EC$13="",INDEX(bhpc_data[description],SMALL(IF(ISNUMBER(MATCH(bhpc_data[sex],$EC$11,0)),MATCH(ROW(bhpc_data[sku]),ROW(bhpc_data[sku])),""),ROWS($A$15:A388)+$B$3)),INDEX(bhpc_data[description],SMALL(IF(ISNUMBER(MATCH(bhpc_data[sex],$EC$11,0)*MATCH(bhpc_data[size],$EC$13,0)),MATCH(ROW(bhpc_data[sku]),ROW(bhpc_data[sku])),""),ROWS($A$15:A388)+$B$3)))),IF($EC$11="",IF($EC$13="",INDEX(bhpc_data[description],SMALL(IF(ISNUMBER(MATCH(bhpc_data[category],$EC$9,0)),MATCH(ROW(bhpc_data[sku]),ROW(bhpc_data[sku])),""),ROWS($A$15:A388)+$B$3)),INDEX(bhpc_data[description],SMALL(IF(ISNUMBER(MATCH(bhpc_data[category],$EC$9,0)*MATCH(bhpc_data[size],$EC$13,0)),MATCH(ROW(bhpc_data[sku]),ROW(bhpc_data[sku])),""),ROWS($A$15:A388)+$B$3))),IF($EC$13="",INDEX(bhpc_data[description],SMALL(IF(ISNUMBER(MATCH(bhpc_data[category],$EC$9,0)*MATCH(bhpc_data[sex],$EC$11,0)),MATCH(ROW(bhpc_data[sku]),ROW(bhpc_data[sku])),""),ROWS($A$15:A388)+$B$3)),INDEX(bhpc_data[description],SMALL(IF(ISNUMBER(MATCH(bhpc_data[category],$EC$9,0)*MATCH(bhpc_data[sex],$EC$11,0)*MATCH(bhpc_data[size],$EC$13,0)),MATCH(ROW(bhpc_data[sku]),ROW(bhpc_data[sku])),""),ROWS($A$15:A388)+$B$3))))),"")</f>
        <v/>
      </c>
      <c r="EG383" s="441" t="str">
        <f>IFERROR(IF('BHPC MANAGER'!$EE383="","",INDEX(inventory[ESISTENZA],MATCH('BHPC MANAGER'!$EE383,inventory[SKU],0))),0)</f>
        <v/>
      </c>
      <c r="EH383" s="442"/>
      <c r="EI383" s="442" t="str">
        <f t="shared" si="25"/>
        <v/>
      </c>
      <c r="EJ383" s="443"/>
      <c r="EK383" s="444" t="str">
        <f t="shared" si="26"/>
        <v/>
      </c>
    </row>
    <row r="384" spans="135:141" x14ac:dyDescent="0.35">
      <c r="EE384" s="445" t="str" cm="1">
        <f t="array" ref="EE384">IFERROR(IF($EC$9="",IF($EC$11="",IF($EC$13="",INDEX(bhpc_data[sku],SMALL(MATCH(ROW(bhpc_data[sku]),ROW(bhpc_data[sku])),ROWS($A$15:A389)+$B$3)),INDEX(bhpc_data[sku],SMALL(IF(ISNUMBER(MATCH(bhpc_data[size],$EC$13,0)),MATCH(ROW(bhpc_data[sku]),ROW(bhpc_data[sku])),""),ROWS($A$15:A389)+$B$3))),IF($EC$13="",INDEX(bhpc_data[sku],SMALL(IF(ISNUMBER(MATCH(bhpc_data[sex],$EC$11,0)),MATCH(ROW(bhpc_data[sku]),ROW(bhpc_data[sku])),""),ROWS($A$15:A389)+$B$3)),INDEX(bhpc_data[sku],SMALL(IF(ISNUMBER(MATCH(bhpc_data[sex],$EC$11,0)*MATCH(bhpc_data[size],$EC$13,0)),MATCH(ROW(bhpc_data[sku]),ROW(bhpc_data[sku])),""),ROWS($A$15:A389)+$B$3)))),IF($EC$11="",IF($EC$13="",INDEX(bhpc_data[sku],SMALL(IF(ISNUMBER(MATCH(bhpc_data[category],$EC$9,0)),MATCH(ROW(bhpc_data[sku]),ROW(bhpc_data[sku])),""),ROWS($A$15:A389)+$B$3)),INDEX(bhpc_data[sku],SMALL(IF(ISNUMBER(MATCH(bhpc_data[category],$EC$9,0)*MATCH(bhpc_data[size],$EC$13,0)),MATCH(ROW(bhpc_data[sku]),ROW(bhpc_data[sku])),""),ROWS($A$15:A389)+$B$3))),IF($EC$13="",INDEX(bhpc_data[sku],SMALL(IF(ISNUMBER(MATCH(bhpc_data[category],$EC$9,0)*MATCH(bhpc_data[sex],$EC$11,0)),MATCH(ROW(bhpc_data[sku]),ROW(bhpc_data[sku])),""),ROWS($A$15:A389)+$B$3)),INDEX(bhpc_data[sku],SMALL(IF(ISNUMBER(MATCH(bhpc_data[category],$EC$9,0)*MATCH(bhpc_data[sex],$EC$11,0)*MATCH(bhpc_data[size],$EC$13,0)),MATCH(ROW(bhpc_data[sku]),ROW(bhpc_data[sku])),""),ROWS($A$15:A389)+$B$3))))),"")</f>
        <v/>
      </c>
      <c r="EF384" s="446" t="str" cm="1">
        <f t="array" ref="EF384">IFERROR(IF($EC$9="",IF($EC$11="",IF($EC$13="",INDEX(bhpc_data[description],SMALL(MATCH(ROW(bhpc_data[sku]),ROW(bhpc_data[sku])),ROWS($A$15:A389)+$B$3)),INDEX(bhpc_data[description],SMALL(IF(ISNUMBER(MATCH(bhpc_data[size],$EC$13,0)),MATCH(ROW(bhpc_data[sku]),ROW(bhpc_data[sku])),""),ROWS($A$15:A389)+$B$3))),IF($EC$13="",INDEX(bhpc_data[description],SMALL(IF(ISNUMBER(MATCH(bhpc_data[sex],$EC$11,0)),MATCH(ROW(bhpc_data[sku]),ROW(bhpc_data[sku])),""),ROWS($A$15:A389)+$B$3)),INDEX(bhpc_data[description],SMALL(IF(ISNUMBER(MATCH(bhpc_data[sex],$EC$11,0)*MATCH(bhpc_data[size],$EC$13,0)),MATCH(ROW(bhpc_data[sku]),ROW(bhpc_data[sku])),""),ROWS($A$15:A389)+$B$3)))),IF($EC$11="",IF($EC$13="",INDEX(bhpc_data[description],SMALL(IF(ISNUMBER(MATCH(bhpc_data[category],$EC$9,0)),MATCH(ROW(bhpc_data[sku]),ROW(bhpc_data[sku])),""),ROWS($A$15:A389)+$B$3)),INDEX(bhpc_data[description],SMALL(IF(ISNUMBER(MATCH(bhpc_data[category],$EC$9,0)*MATCH(bhpc_data[size],$EC$13,0)),MATCH(ROW(bhpc_data[sku]),ROW(bhpc_data[sku])),""),ROWS($A$15:A389)+$B$3))),IF($EC$13="",INDEX(bhpc_data[description],SMALL(IF(ISNUMBER(MATCH(bhpc_data[category],$EC$9,0)*MATCH(bhpc_data[sex],$EC$11,0)),MATCH(ROW(bhpc_data[sku]),ROW(bhpc_data[sku])),""),ROWS($A$15:A389)+$B$3)),INDEX(bhpc_data[description],SMALL(IF(ISNUMBER(MATCH(bhpc_data[category],$EC$9,0)*MATCH(bhpc_data[sex],$EC$11,0)*MATCH(bhpc_data[size],$EC$13,0)),MATCH(ROW(bhpc_data[sku]),ROW(bhpc_data[sku])),""),ROWS($A$15:A389)+$B$3))))),"")</f>
        <v/>
      </c>
      <c r="EG384" s="447" t="str">
        <f>IFERROR(IF('BHPC MANAGER'!$EE384="","",INDEX(inventory[ESISTENZA],MATCH('BHPC MANAGER'!$EE384,inventory[SKU],0))),0)</f>
        <v/>
      </c>
      <c r="EH384" s="448"/>
      <c r="EI384" s="448" t="str">
        <f t="shared" si="25"/>
        <v/>
      </c>
      <c r="EJ384" s="449"/>
      <c r="EK384" s="450" t="str">
        <f t="shared" si="26"/>
        <v/>
      </c>
    </row>
    <row r="385" spans="135:141" x14ac:dyDescent="0.35">
      <c r="EE385" s="439" t="str" cm="1">
        <f t="array" ref="EE385">IFERROR(IF($EC$9="",IF($EC$11="",IF($EC$13="",INDEX(bhpc_data[sku],SMALL(MATCH(ROW(bhpc_data[sku]),ROW(bhpc_data[sku])),ROWS($A$15:A390)+$B$3)),INDEX(bhpc_data[sku],SMALL(IF(ISNUMBER(MATCH(bhpc_data[size],$EC$13,0)),MATCH(ROW(bhpc_data[sku]),ROW(bhpc_data[sku])),""),ROWS($A$15:A390)+$B$3))),IF($EC$13="",INDEX(bhpc_data[sku],SMALL(IF(ISNUMBER(MATCH(bhpc_data[sex],$EC$11,0)),MATCH(ROW(bhpc_data[sku]),ROW(bhpc_data[sku])),""),ROWS($A$15:A390)+$B$3)),INDEX(bhpc_data[sku],SMALL(IF(ISNUMBER(MATCH(bhpc_data[sex],$EC$11,0)*MATCH(bhpc_data[size],$EC$13,0)),MATCH(ROW(bhpc_data[sku]),ROW(bhpc_data[sku])),""),ROWS($A$15:A390)+$B$3)))),IF($EC$11="",IF($EC$13="",INDEX(bhpc_data[sku],SMALL(IF(ISNUMBER(MATCH(bhpc_data[category],$EC$9,0)),MATCH(ROW(bhpc_data[sku]),ROW(bhpc_data[sku])),""),ROWS($A$15:A390)+$B$3)),INDEX(bhpc_data[sku],SMALL(IF(ISNUMBER(MATCH(bhpc_data[category],$EC$9,0)*MATCH(bhpc_data[size],$EC$13,0)),MATCH(ROW(bhpc_data[sku]),ROW(bhpc_data[sku])),""),ROWS($A$15:A390)+$B$3))),IF($EC$13="",INDEX(bhpc_data[sku],SMALL(IF(ISNUMBER(MATCH(bhpc_data[category],$EC$9,0)*MATCH(bhpc_data[sex],$EC$11,0)),MATCH(ROW(bhpc_data[sku]),ROW(bhpc_data[sku])),""),ROWS($A$15:A390)+$B$3)),INDEX(bhpc_data[sku],SMALL(IF(ISNUMBER(MATCH(bhpc_data[category],$EC$9,0)*MATCH(bhpc_data[sex],$EC$11,0)*MATCH(bhpc_data[size],$EC$13,0)),MATCH(ROW(bhpc_data[sku]),ROW(bhpc_data[sku])),""),ROWS($A$15:A390)+$B$3))))),"")</f>
        <v/>
      </c>
      <c r="EF385" s="440" t="str" cm="1">
        <f t="array" ref="EF385">IFERROR(IF($EC$9="",IF($EC$11="",IF($EC$13="",INDEX(bhpc_data[description],SMALL(MATCH(ROW(bhpc_data[sku]),ROW(bhpc_data[sku])),ROWS($A$15:A390)+$B$3)),INDEX(bhpc_data[description],SMALL(IF(ISNUMBER(MATCH(bhpc_data[size],$EC$13,0)),MATCH(ROW(bhpc_data[sku]),ROW(bhpc_data[sku])),""),ROWS($A$15:A390)+$B$3))),IF($EC$13="",INDEX(bhpc_data[description],SMALL(IF(ISNUMBER(MATCH(bhpc_data[sex],$EC$11,0)),MATCH(ROW(bhpc_data[sku]),ROW(bhpc_data[sku])),""),ROWS($A$15:A390)+$B$3)),INDEX(bhpc_data[description],SMALL(IF(ISNUMBER(MATCH(bhpc_data[sex],$EC$11,0)*MATCH(bhpc_data[size],$EC$13,0)),MATCH(ROW(bhpc_data[sku]),ROW(bhpc_data[sku])),""),ROWS($A$15:A390)+$B$3)))),IF($EC$11="",IF($EC$13="",INDEX(bhpc_data[description],SMALL(IF(ISNUMBER(MATCH(bhpc_data[category],$EC$9,0)),MATCH(ROW(bhpc_data[sku]),ROW(bhpc_data[sku])),""),ROWS($A$15:A390)+$B$3)),INDEX(bhpc_data[description],SMALL(IF(ISNUMBER(MATCH(bhpc_data[category],$EC$9,0)*MATCH(bhpc_data[size],$EC$13,0)),MATCH(ROW(bhpc_data[sku]),ROW(bhpc_data[sku])),""),ROWS($A$15:A390)+$B$3))),IF($EC$13="",INDEX(bhpc_data[description],SMALL(IF(ISNUMBER(MATCH(bhpc_data[category],$EC$9,0)*MATCH(bhpc_data[sex],$EC$11,0)),MATCH(ROW(bhpc_data[sku]),ROW(bhpc_data[sku])),""),ROWS($A$15:A390)+$B$3)),INDEX(bhpc_data[description],SMALL(IF(ISNUMBER(MATCH(bhpc_data[category],$EC$9,0)*MATCH(bhpc_data[sex],$EC$11,0)*MATCH(bhpc_data[size],$EC$13,0)),MATCH(ROW(bhpc_data[sku]),ROW(bhpc_data[sku])),""),ROWS($A$15:A390)+$B$3))))),"")</f>
        <v/>
      </c>
      <c r="EG385" s="441" t="str">
        <f>IFERROR(IF('BHPC MANAGER'!$EE385="","",INDEX(inventory[ESISTENZA],MATCH('BHPC MANAGER'!$EE385,inventory[SKU],0))),0)</f>
        <v/>
      </c>
      <c r="EH385" s="442"/>
      <c r="EI385" s="442" t="str">
        <f t="shared" si="25"/>
        <v/>
      </c>
      <c r="EJ385" s="443"/>
      <c r="EK385" s="444" t="str">
        <f t="shared" si="26"/>
        <v/>
      </c>
    </row>
    <row r="386" spans="135:141" x14ac:dyDescent="0.35">
      <c r="EE386" s="445" t="str" cm="1">
        <f t="array" ref="EE386">IFERROR(IF($EC$9="",IF($EC$11="",IF($EC$13="",INDEX(bhpc_data[sku],SMALL(MATCH(ROW(bhpc_data[sku]),ROW(bhpc_data[sku])),ROWS($A$15:A391)+$B$3)),INDEX(bhpc_data[sku],SMALL(IF(ISNUMBER(MATCH(bhpc_data[size],$EC$13,0)),MATCH(ROW(bhpc_data[sku]),ROW(bhpc_data[sku])),""),ROWS($A$15:A391)+$B$3))),IF($EC$13="",INDEX(bhpc_data[sku],SMALL(IF(ISNUMBER(MATCH(bhpc_data[sex],$EC$11,0)),MATCH(ROW(bhpc_data[sku]),ROW(bhpc_data[sku])),""),ROWS($A$15:A391)+$B$3)),INDEX(bhpc_data[sku],SMALL(IF(ISNUMBER(MATCH(bhpc_data[sex],$EC$11,0)*MATCH(bhpc_data[size],$EC$13,0)),MATCH(ROW(bhpc_data[sku]),ROW(bhpc_data[sku])),""),ROWS($A$15:A391)+$B$3)))),IF($EC$11="",IF($EC$13="",INDEX(bhpc_data[sku],SMALL(IF(ISNUMBER(MATCH(bhpc_data[category],$EC$9,0)),MATCH(ROW(bhpc_data[sku]),ROW(bhpc_data[sku])),""),ROWS($A$15:A391)+$B$3)),INDEX(bhpc_data[sku],SMALL(IF(ISNUMBER(MATCH(bhpc_data[category],$EC$9,0)*MATCH(bhpc_data[size],$EC$13,0)),MATCH(ROW(bhpc_data[sku]),ROW(bhpc_data[sku])),""),ROWS($A$15:A391)+$B$3))),IF($EC$13="",INDEX(bhpc_data[sku],SMALL(IF(ISNUMBER(MATCH(bhpc_data[category],$EC$9,0)*MATCH(bhpc_data[sex],$EC$11,0)),MATCH(ROW(bhpc_data[sku]),ROW(bhpc_data[sku])),""),ROWS($A$15:A391)+$B$3)),INDEX(bhpc_data[sku],SMALL(IF(ISNUMBER(MATCH(bhpc_data[category],$EC$9,0)*MATCH(bhpc_data[sex],$EC$11,0)*MATCH(bhpc_data[size],$EC$13,0)),MATCH(ROW(bhpc_data[sku]),ROW(bhpc_data[sku])),""),ROWS($A$15:A391)+$B$3))))),"")</f>
        <v/>
      </c>
      <c r="EF386" s="446" t="str" cm="1">
        <f t="array" ref="EF386">IFERROR(IF($EC$9="",IF($EC$11="",IF($EC$13="",INDEX(bhpc_data[description],SMALL(MATCH(ROW(bhpc_data[sku]),ROW(bhpc_data[sku])),ROWS($A$15:A391)+$B$3)),INDEX(bhpc_data[description],SMALL(IF(ISNUMBER(MATCH(bhpc_data[size],$EC$13,0)),MATCH(ROW(bhpc_data[sku]),ROW(bhpc_data[sku])),""),ROWS($A$15:A391)+$B$3))),IF($EC$13="",INDEX(bhpc_data[description],SMALL(IF(ISNUMBER(MATCH(bhpc_data[sex],$EC$11,0)),MATCH(ROW(bhpc_data[sku]),ROW(bhpc_data[sku])),""),ROWS($A$15:A391)+$B$3)),INDEX(bhpc_data[description],SMALL(IF(ISNUMBER(MATCH(bhpc_data[sex],$EC$11,0)*MATCH(bhpc_data[size],$EC$13,0)),MATCH(ROW(bhpc_data[sku]),ROW(bhpc_data[sku])),""),ROWS($A$15:A391)+$B$3)))),IF($EC$11="",IF($EC$13="",INDEX(bhpc_data[description],SMALL(IF(ISNUMBER(MATCH(bhpc_data[category],$EC$9,0)),MATCH(ROW(bhpc_data[sku]),ROW(bhpc_data[sku])),""),ROWS($A$15:A391)+$B$3)),INDEX(bhpc_data[description],SMALL(IF(ISNUMBER(MATCH(bhpc_data[category],$EC$9,0)*MATCH(bhpc_data[size],$EC$13,0)),MATCH(ROW(bhpc_data[sku]),ROW(bhpc_data[sku])),""),ROWS($A$15:A391)+$B$3))),IF($EC$13="",INDEX(bhpc_data[description],SMALL(IF(ISNUMBER(MATCH(bhpc_data[category],$EC$9,0)*MATCH(bhpc_data[sex],$EC$11,0)),MATCH(ROW(bhpc_data[sku]),ROW(bhpc_data[sku])),""),ROWS($A$15:A391)+$B$3)),INDEX(bhpc_data[description],SMALL(IF(ISNUMBER(MATCH(bhpc_data[category],$EC$9,0)*MATCH(bhpc_data[sex],$EC$11,0)*MATCH(bhpc_data[size],$EC$13,0)),MATCH(ROW(bhpc_data[sku]),ROW(bhpc_data[sku])),""),ROWS($A$15:A391)+$B$3))))),"")</f>
        <v/>
      </c>
      <c r="EG386" s="447" t="str">
        <f>IFERROR(IF('BHPC MANAGER'!$EE386="","",INDEX(inventory[ESISTENZA],MATCH('BHPC MANAGER'!$EE386,inventory[SKU],0))),0)</f>
        <v/>
      </c>
      <c r="EH386" s="448"/>
      <c r="EI386" s="448" t="str">
        <f t="shared" si="25"/>
        <v/>
      </c>
      <c r="EJ386" s="449"/>
      <c r="EK386" s="450" t="str">
        <f t="shared" si="26"/>
        <v/>
      </c>
    </row>
    <row r="387" spans="135:141" x14ac:dyDescent="0.35">
      <c r="EE387" s="439" t="str" cm="1">
        <f t="array" ref="EE387">IFERROR(IF($EC$9="",IF($EC$11="",IF($EC$13="",INDEX(bhpc_data[sku],SMALL(MATCH(ROW(bhpc_data[sku]),ROW(bhpc_data[sku])),ROWS($A$15:A392)+$B$3)),INDEX(bhpc_data[sku],SMALL(IF(ISNUMBER(MATCH(bhpc_data[size],$EC$13,0)),MATCH(ROW(bhpc_data[sku]),ROW(bhpc_data[sku])),""),ROWS($A$15:A392)+$B$3))),IF($EC$13="",INDEX(bhpc_data[sku],SMALL(IF(ISNUMBER(MATCH(bhpc_data[sex],$EC$11,0)),MATCH(ROW(bhpc_data[sku]),ROW(bhpc_data[sku])),""),ROWS($A$15:A392)+$B$3)),INDEX(bhpc_data[sku],SMALL(IF(ISNUMBER(MATCH(bhpc_data[sex],$EC$11,0)*MATCH(bhpc_data[size],$EC$13,0)),MATCH(ROW(bhpc_data[sku]),ROW(bhpc_data[sku])),""),ROWS($A$15:A392)+$B$3)))),IF($EC$11="",IF($EC$13="",INDEX(bhpc_data[sku],SMALL(IF(ISNUMBER(MATCH(bhpc_data[category],$EC$9,0)),MATCH(ROW(bhpc_data[sku]),ROW(bhpc_data[sku])),""),ROWS($A$15:A392)+$B$3)),INDEX(bhpc_data[sku],SMALL(IF(ISNUMBER(MATCH(bhpc_data[category],$EC$9,0)*MATCH(bhpc_data[size],$EC$13,0)),MATCH(ROW(bhpc_data[sku]),ROW(bhpc_data[sku])),""),ROWS($A$15:A392)+$B$3))),IF($EC$13="",INDEX(bhpc_data[sku],SMALL(IF(ISNUMBER(MATCH(bhpc_data[category],$EC$9,0)*MATCH(bhpc_data[sex],$EC$11,0)),MATCH(ROW(bhpc_data[sku]),ROW(bhpc_data[sku])),""),ROWS($A$15:A392)+$B$3)),INDEX(bhpc_data[sku],SMALL(IF(ISNUMBER(MATCH(bhpc_data[category],$EC$9,0)*MATCH(bhpc_data[sex],$EC$11,0)*MATCH(bhpc_data[size],$EC$13,0)),MATCH(ROW(bhpc_data[sku]),ROW(bhpc_data[sku])),""),ROWS($A$15:A392)+$B$3))))),"")</f>
        <v/>
      </c>
      <c r="EF387" s="440" t="str" cm="1">
        <f t="array" ref="EF387">IFERROR(IF($EC$9="",IF($EC$11="",IF($EC$13="",INDEX(bhpc_data[description],SMALL(MATCH(ROW(bhpc_data[sku]),ROW(bhpc_data[sku])),ROWS($A$15:A392)+$B$3)),INDEX(bhpc_data[description],SMALL(IF(ISNUMBER(MATCH(bhpc_data[size],$EC$13,0)),MATCH(ROW(bhpc_data[sku]),ROW(bhpc_data[sku])),""),ROWS($A$15:A392)+$B$3))),IF($EC$13="",INDEX(bhpc_data[description],SMALL(IF(ISNUMBER(MATCH(bhpc_data[sex],$EC$11,0)),MATCH(ROW(bhpc_data[sku]),ROW(bhpc_data[sku])),""),ROWS($A$15:A392)+$B$3)),INDEX(bhpc_data[description],SMALL(IF(ISNUMBER(MATCH(bhpc_data[sex],$EC$11,0)*MATCH(bhpc_data[size],$EC$13,0)),MATCH(ROW(bhpc_data[sku]),ROW(bhpc_data[sku])),""),ROWS($A$15:A392)+$B$3)))),IF($EC$11="",IF($EC$13="",INDEX(bhpc_data[description],SMALL(IF(ISNUMBER(MATCH(bhpc_data[category],$EC$9,0)),MATCH(ROW(bhpc_data[sku]),ROW(bhpc_data[sku])),""),ROWS($A$15:A392)+$B$3)),INDEX(bhpc_data[description],SMALL(IF(ISNUMBER(MATCH(bhpc_data[category],$EC$9,0)*MATCH(bhpc_data[size],$EC$13,0)),MATCH(ROW(bhpc_data[sku]),ROW(bhpc_data[sku])),""),ROWS($A$15:A392)+$B$3))),IF($EC$13="",INDEX(bhpc_data[description],SMALL(IF(ISNUMBER(MATCH(bhpc_data[category],$EC$9,0)*MATCH(bhpc_data[sex],$EC$11,0)),MATCH(ROW(bhpc_data[sku]),ROW(bhpc_data[sku])),""),ROWS($A$15:A392)+$B$3)),INDEX(bhpc_data[description],SMALL(IF(ISNUMBER(MATCH(bhpc_data[category],$EC$9,0)*MATCH(bhpc_data[sex],$EC$11,0)*MATCH(bhpc_data[size],$EC$13,0)),MATCH(ROW(bhpc_data[sku]),ROW(bhpc_data[sku])),""),ROWS($A$15:A392)+$B$3))))),"")</f>
        <v/>
      </c>
      <c r="EG387" s="441" t="str">
        <f>IFERROR(IF('BHPC MANAGER'!$EE387="","",INDEX(inventory[ESISTENZA],MATCH('BHPC MANAGER'!$EE387,inventory[SKU],0))),0)</f>
        <v/>
      </c>
      <c r="EH387" s="442"/>
      <c r="EI387" s="442" t="str">
        <f t="shared" si="25"/>
        <v/>
      </c>
      <c r="EJ387" s="443"/>
      <c r="EK387" s="444" t="str">
        <f t="shared" si="26"/>
        <v/>
      </c>
    </row>
    <row r="388" spans="135:141" x14ac:dyDescent="0.35">
      <c r="EE388" s="445" t="str" cm="1">
        <f t="array" ref="EE388">IFERROR(IF($EC$9="",IF($EC$11="",IF($EC$13="",INDEX(bhpc_data[sku],SMALL(MATCH(ROW(bhpc_data[sku]),ROW(bhpc_data[sku])),ROWS($A$15:A393)+$B$3)),INDEX(bhpc_data[sku],SMALL(IF(ISNUMBER(MATCH(bhpc_data[size],$EC$13,0)),MATCH(ROW(bhpc_data[sku]),ROW(bhpc_data[sku])),""),ROWS($A$15:A393)+$B$3))),IF($EC$13="",INDEX(bhpc_data[sku],SMALL(IF(ISNUMBER(MATCH(bhpc_data[sex],$EC$11,0)),MATCH(ROW(bhpc_data[sku]),ROW(bhpc_data[sku])),""),ROWS($A$15:A393)+$B$3)),INDEX(bhpc_data[sku],SMALL(IF(ISNUMBER(MATCH(bhpc_data[sex],$EC$11,0)*MATCH(bhpc_data[size],$EC$13,0)),MATCH(ROW(bhpc_data[sku]),ROW(bhpc_data[sku])),""),ROWS($A$15:A393)+$B$3)))),IF($EC$11="",IF($EC$13="",INDEX(bhpc_data[sku],SMALL(IF(ISNUMBER(MATCH(bhpc_data[category],$EC$9,0)),MATCH(ROW(bhpc_data[sku]),ROW(bhpc_data[sku])),""),ROWS($A$15:A393)+$B$3)),INDEX(bhpc_data[sku],SMALL(IF(ISNUMBER(MATCH(bhpc_data[category],$EC$9,0)*MATCH(bhpc_data[size],$EC$13,0)),MATCH(ROW(bhpc_data[sku]),ROW(bhpc_data[sku])),""),ROWS($A$15:A393)+$B$3))),IF($EC$13="",INDEX(bhpc_data[sku],SMALL(IF(ISNUMBER(MATCH(bhpc_data[category],$EC$9,0)*MATCH(bhpc_data[sex],$EC$11,0)),MATCH(ROW(bhpc_data[sku]),ROW(bhpc_data[sku])),""),ROWS($A$15:A393)+$B$3)),INDEX(bhpc_data[sku],SMALL(IF(ISNUMBER(MATCH(bhpc_data[category],$EC$9,0)*MATCH(bhpc_data[sex],$EC$11,0)*MATCH(bhpc_data[size],$EC$13,0)),MATCH(ROW(bhpc_data[sku]),ROW(bhpc_data[sku])),""),ROWS($A$15:A393)+$B$3))))),"")</f>
        <v/>
      </c>
      <c r="EF388" s="446" t="str" cm="1">
        <f t="array" ref="EF388">IFERROR(IF($EC$9="",IF($EC$11="",IF($EC$13="",INDEX(bhpc_data[description],SMALL(MATCH(ROW(bhpc_data[sku]),ROW(bhpc_data[sku])),ROWS($A$15:A393)+$B$3)),INDEX(bhpc_data[description],SMALL(IF(ISNUMBER(MATCH(bhpc_data[size],$EC$13,0)),MATCH(ROW(bhpc_data[sku]),ROW(bhpc_data[sku])),""),ROWS($A$15:A393)+$B$3))),IF($EC$13="",INDEX(bhpc_data[description],SMALL(IF(ISNUMBER(MATCH(bhpc_data[sex],$EC$11,0)),MATCH(ROW(bhpc_data[sku]),ROW(bhpc_data[sku])),""),ROWS($A$15:A393)+$B$3)),INDEX(bhpc_data[description],SMALL(IF(ISNUMBER(MATCH(bhpc_data[sex],$EC$11,0)*MATCH(bhpc_data[size],$EC$13,0)),MATCH(ROW(bhpc_data[sku]),ROW(bhpc_data[sku])),""),ROWS($A$15:A393)+$B$3)))),IF($EC$11="",IF($EC$13="",INDEX(bhpc_data[description],SMALL(IF(ISNUMBER(MATCH(bhpc_data[category],$EC$9,0)),MATCH(ROW(bhpc_data[sku]),ROW(bhpc_data[sku])),""),ROWS($A$15:A393)+$B$3)),INDEX(bhpc_data[description],SMALL(IF(ISNUMBER(MATCH(bhpc_data[category],$EC$9,0)*MATCH(bhpc_data[size],$EC$13,0)),MATCH(ROW(bhpc_data[sku]),ROW(bhpc_data[sku])),""),ROWS($A$15:A393)+$B$3))),IF($EC$13="",INDEX(bhpc_data[description],SMALL(IF(ISNUMBER(MATCH(bhpc_data[category],$EC$9,0)*MATCH(bhpc_data[sex],$EC$11,0)),MATCH(ROW(bhpc_data[sku]),ROW(bhpc_data[sku])),""),ROWS($A$15:A393)+$B$3)),INDEX(bhpc_data[description],SMALL(IF(ISNUMBER(MATCH(bhpc_data[category],$EC$9,0)*MATCH(bhpc_data[sex],$EC$11,0)*MATCH(bhpc_data[size],$EC$13,0)),MATCH(ROW(bhpc_data[sku]),ROW(bhpc_data[sku])),""),ROWS($A$15:A393)+$B$3))))),"")</f>
        <v/>
      </c>
      <c r="EG388" s="447" t="str">
        <f>IFERROR(IF('BHPC MANAGER'!$EE388="","",INDEX(inventory[ESISTENZA],MATCH('BHPC MANAGER'!$EE388,inventory[SKU],0))),0)</f>
        <v/>
      </c>
      <c r="EH388" s="448"/>
      <c r="EI388" s="448" t="str">
        <f t="shared" si="25"/>
        <v/>
      </c>
      <c r="EJ388" s="449"/>
      <c r="EK388" s="450" t="str">
        <f t="shared" si="26"/>
        <v/>
      </c>
    </row>
    <row r="389" spans="135:141" x14ac:dyDescent="0.35">
      <c r="EE389" s="439" t="str" cm="1">
        <f t="array" ref="EE389">IFERROR(IF($EC$9="",IF($EC$11="",IF($EC$13="",INDEX(bhpc_data[sku],SMALL(MATCH(ROW(bhpc_data[sku]),ROW(bhpc_data[sku])),ROWS($A$15:A394)+$B$3)),INDEX(bhpc_data[sku],SMALL(IF(ISNUMBER(MATCH(bhpc_data[size],$EC$13,0)),MATCH(ROW(bhpc_data[sku]),ROW(bhpc_data[sku])),""),ROWS($A$15:A394)+$B$3))),IF($EC$13="",INDEX(bhpc_data[sku],SMALL(IF(ISNUMBER(MATCH(bhpc_data[sex],$EC$11,0)),MATCH(ROW(bhpc_data[sku]),ROW(bhpc_data[sku])),""),ROWS($A$15:A394)+$B$3)),INDEX(bhpc_data[sku],SMALL(IF(ISNUMBER(MATCH(bhpc_data[sex],$EC$11,0)*MATCH(bhpc_data[size],$EC$13,0)),MATCH(ROW(bhpc_data[sku]),ROW(bhpc_data[sku])),""),ROWS($A$15:A394)+$B$3)))),IF($EC$11="",IF($EC$13="",INDEX(bhpc_data[sku],SMALL(IF(ISNUMBER(MATCH(bhpc_data[category],$EC$9,0)),MATCH(ROW(bhpc_data[sku]),ROW(bhpc_data[sku])),""),ROWS($A$15:A394)+$B$3)),INDEX(bhpc_data[sku],SMALL(IF(ISNUMBER(MATCH(bhpc_data[category],$EC$9,0)*MATCH(bhpc_data[size],$EC$13,0)),MATCH(ROW(bhpc_data[sku]),ROW(bhpc_data[sku])),""),ROWS($A$15:A394)+$B$3))),IF($EC$13="",INDEX(bhpc_data[sku],SMALL(IF(ISNUMBER(MATCH(bhpc_data[category],$EC$9,0)*MATCH(bhpc_data[sex],$EC$11,0)),MATCH(ROW(bhpc_data[sku]),ROW(bhpc_data[sku])),""),ROWS($A$15:A394)+$B$3)),INDEX(bhpc_data[sku],SMALL(IF(ISNUMBER(MATCH(bhpc_data[category],$EC$9,0)*MATCH(bhpc_data[sex],$EC$11,0)*MATCH(bhpc_data[size],$EC$13,0)),MATCH(ROW(bhpc_data[sku]),ROW(bhpc_data[sku])),""),ROWS($A$15:A394)+$B$3))))),"")</f>
        <v/>
      </c>
      <c r="EF389" s="440" t="str" cm="1">
        <f t="array" ref="EF389">IFERROR(IF($EC$9="",IF($EC$11="",IF($EC$13="",INDEX(bhpc_data[description],SMALL(MATCH(ROW(bhpc_data[sku]),ROW(bhpc_data[sku])),ROWS($A$15:A394)+$B$3)),INDEX(bhpc_data[description],SMALL(IF(ISNUMBER(MATCH(bhpc_data[size],$EC$13,0)),MATCH(ROW(bhpc_data[sku]),ROW(bhpc_data[sku])),""),ROWS($A$15:A394)+$B$3))),IF($EC$13="",INDEX(bhpc_data[description],SMALL(IF(ISNUMBER(MATCH(bhpc_data[sex],$EC$11,0)),MATCH(ROW(bhpc_data[sku]),ROW(bhpc_data[sku])),""),ROWS($A$15:A394)+$B$3)),INDEX(bhpc_data[description],SMALL(IF(ISNUMBER(MATCH(bhpc_data[sex],$EC$11,0)*MATCH(bhpc_data[size],$EC$13,0)),MATCH(ROW(bhpc_data[sku]),ROW(bhpc_data[sku])),""),ROWS($A$15:A394)+$B$3)))),IF($EC$11="",IF($EC$13="",INDEX(bhpc_data[description],SMALL(IF(ISNUMBER(MATCH(bhpc_data[category],$EC$9,0)),MATCH(ROW(bhpc_data[sku]),ROW(bhpc_data[sku])),""),ROWS($A$15:A394)+$B$3)),INDEX(bhpc_data[description],SMALL(IF(ISNUMBER(MATCH(bhpc_data[category],$EC$9,0)*MATCH(bhpc_data[size],$EC$13,0)),MATCH(ROW(bhpc_data[sku]),ROW(bhpc_data[sku])),""),ROWS($A$15:A394)+$B$3))),IF($EC$13="",INDEX(bhpc_data[description],SMALL(IF(ISNUMBER(MATCH(bhpc_data[category],$EC$9,0)*MATCH(bhpc_data[sex],$EC$11,0)),MATCH(ROW(bhpc_data[sku]),ROW(bhpc_data[sku])),""),ROWS($A$15:A394)+$B$3)),INDEX(bhpc_data[description],SMALL(IF(ISNUMBER(MATCH(bhpc_data[category],$EC$9,0)*MATCH(bhpc_data[sex],$EC$11,0)*MATCH(bhpc_data[size],$EC$13,0)),MATCH(ROW(bhpc_data[sku]),ROW(bhpc_data[sku])),""),ROWS($A$15:A394)+$B$3))))),"")</f>
        <v/>
      </c>
      <c r="EG389" s="441" t="str">
        <f>IFERROR(IF('BHPC MANAGER'!$EE389="","",INDEX(inventory[ESISTENZA],MATCH('BHPC MANAGER'!$EE389,inventory[SKU],0))),0)</f>
        <v/>
      </c>
      <c r="EH389" s="442"/>
      <c r="EI389" s="442" t="str">
        <f t="shared" si="25"/>
        <v/>
      </c>
      <c r="EJ389" s="443"/>
      <c r="EK389" s="444" t="str">
        <f t="shared" si="26"/>
        <v/>
      </c>
    </row>
    <row r="390" spans="135:141" x14ac:dyDescent="0.35">
      <c r="EE390" s="445" t="str" cm="1">
        <f t="array" ref="EE390">IFERROR(IF($EC$9="",IF($EC$11="",IF($EC$13="",INDEX(bhpc_data[sku],SMALL(MATCH(ROW(bhpc_data[sku]),ROW(bhpc_data[sku])),ROWS($A$15:A395)+$B$3)),INDEX(bhpc_data[sku],SMALL(IF(ISNUMBER(MATCH(bhpc_data[size],$EC$13,0)),MATCH(ROW(bhpc_data[sku]),ROW(bhpc_data[sku])),""),ROWS($A$15:A395)+$B$3))),IF($EC$13="",INDEX(bhpc_data[sku],SMALL(IF(ISNUMBER(MATCH(bhpc_data[sex],$EC$11,0)),MATCH(ROW(bhpc_data[sku]),ROW(bhpc_data[sku])),""),ROWS($A$15:A395)+$B$3)),INDEX(bhpc_data[sku],SMALL(IF(ISNUMBER(MATCH(bhpc_data[sex],$EC$11,0)*MATCH(bhpc_data[size],$EC$13,0)),MATCH(ROW(bhpc_data[sku]),ROW(bhpc_data[sku])),""),ROWS($A$15:A395)+$B$3)))),IF($EC$11="",IF($EC$13="",INDEX(bhpc_data[sku],SMALL(IF(ISNUMBER(MATCH(bhpc_data[category],$EC$9,0)),MATCH(ROW(bhpc_data[sku]),ROW(bhpc_data[sku])),""),ROWS($A$15:A395)+$B$3)),INDEX(bhpc_data[sku],SMALL(IF(ISNUMBER(MATCH(bhpc_data[category],$EC$9,0)*MATCH(bhpc_data[size],$EC$13,0)),MATCH(ROW(bhpc_data[sku]),ROW(bhpc_data[sku])),""),ROWS($A$15:A395)+$B$3))),IF($EC$13="",INDEX(bhpc_data[sku],SMALL(IF(ISNUMBER(MATCH(bhpc_data[category],$EC$9,0)*MATCH(bhpc_data[sex],$EC$11,0)),MATCH(ROW(bhpc_data[sku]),ROW(bhpc_data[sku])),""),ROWS($A$15:A395)+$B$3)),INDEX(bhpc_data[sku],SMALL(IF(ISNUMBER(MATCH(bhpc_data[category],$EC$9,0)*MATCH(bhpc_data[sex],$EC$11,0)*MATCH(bhpc_data[size],$EC$13,0)),MATCH(ROW(bhpc_data[sku]),ROW(bhpc_data[sku])),""),ROWS($A$15:A395)+$B$3))))),"")</f>
        <v/>
      </c>
      <c r="EF390" s="446" t="str" cm="1">
        <f t="array" ref="EF390">IFERROR(IF($EC$9="",IF($EC$11="",IF($EC$13="",INDEX(bhpc_data[description],SMALL(MATCH(ROW(bhpc_data[sku]),ROW(bhpc_data[sku])),ROWS($A$15:A395)+$B$3)),INDEX(bhpc_data[description],SMALL(IF(ISNUMBER(MATCH(bhpc_data[size],$EC$13,0)),MATCH(ROW(bhpc_data[sku]),ROW(bhpc_data[sku])),""),ROWS($A$15:A395)+$B$3))),IF($EC$13="",INDEX(bhpc_data[description],SMALL(IF(ISNUMBER(MATCH(bhpc_data[sex],$EC$11,0)),MATCH(ROW(bhpc_data[sku]),ROW(bhpc_data[sku])),""),ROWS($A$15:A395)+$B$3)),INDEX(bhpc_data[description],SMALL(IF(ISNUMBER(MATCH(bhpc_data[sex],$EC$11,0)*MATCH(bhpc_data[size],$EC$13,0)),MATCH(ROW(bhpc_data[sku]),ROW(bhpc_data[sku])),""),ROWS($A$15:A395)+$B$3)))),IF($EC$11="",IF($EC$13="",INDEX(bhpc_data[description],SMALL(IF(ISNUMBER(MATCH(bhpc_data[category],$EC$9,0)),MATCH(ROW(bhpc_data[sku]),ROW(bhpc_data[sku])),""),ROWS($A$15:A395)+$B$3)),INDEX(bhpc_data[description],SMALL(IF(ISNUMBER(MATCH(bhpc_data[category],$EC$9,0)*MATCH(bhpc_data[size],$EC$13,0)),MATCH(ROW(bhpc_data[sku]),ROW(bhpc_data[sku])),""),ROWS($A$15:A395)+$B$3))),IF($EC$13="",INDEX(bhpc_data[description],SMALL(IF(ISNUMBER(MATCH(bhpc_data[category],$EC$9,0)*MATCH(bhpc_data[sex],$EC$11,0)),MATCH(ROW(bhpc_data[sku]),ROW(bhpc_data[sku])),""),ROWS($A$15:A395)+$B$3)),INDEX(bhpc_data[description],SMALL(IF(ISNUMBER(MATCH(bhpc_data[category],$EC$9,0)*MATCH(bhpc_data[sex],$EC$11,0)*MATCH(bhpc_data[size],$EC$13,0)),MATCH(ROW(bhpc_data[sku]),ROW(bhpc_data[sku])),""),ROWS($A$15:A395)+$B$3))))),"")</f>
        <v/>
      </c>
      <c r="EG390" s="447" t="str">
        <f>IFERROR(IF('BHPC MANAGER'!$EE390="","",INDEX(inventory[ESISTENZA],MATCH('BHPC MANAGER'!$EE390,inventory[SKU],0))),0)</f>
        <v/>
      </c>
      <c r="EH390" s="448"/>
      <c r="EI390" s="448" t="str">
        <f t="shared" si="25"/>
        <v/>
      </c>
      <c r="EJ390" s="449"/>
      <c r="EK390" s="450" t="str">
        <f t="shared" si="26"/>
        <v/>
      </c>
    </row>
    <row r="391" spans="135:141" x14ac:dyDescent="0.35">
      <c r="EE391" s="439" t="str" cm="1">
        <f t="array" ref="EE391">IFERROR(IF($EC$9="",IF($EC$11="",IF($EC$13="",INDEX(bhpc_data[sku],SMALL(MATCH(ROW(bhpc_data[sku]),ROW(bhpc_data[sku])),ROWS($A$15:A396)+$B$3)),INDEX(bhpc_data[sku],SMALL(IF(ISNUMBER(MATCH(bhpc_data[size],$EC$13,0)),MATCH(ROW(bhpc_data[sku]),ROW(bhpc_data[sku])),""),ROWS($A$15:A396)+$B$3))),IF($EC$13="",INDEX(bhpc_data[sku],SMALL(IF(ISNUMBER(MATCH(bhpc_data[sex],$EC$11,0)),MATCH(ROW(bhpc_data[sku]),ROW(bhpc_data[sku])),""),ROWS($A$15:A396)+$B$3)),INDEX(bhpc_data[sku],SMALL(IF(ISNUMBER(MATCH(bhpc_data[sex],$EC$11,0)*MATCH(bhpc_data[size],$EC$13,0)),MATCH(ROW(bhpc_data[sku]),ROW(bhpc_data[sku])),""),ROWS($A$15:A396)+$B$3)))),IF($EC$11="",IF($EC$13="",INDEX(bhpc_data[sku],SMALL(IF(ISNUMBER(MATCH(bhpc_data[category],$EC$9,0)),MATCH(ROW(bhpc_data[sku]),ROW(bhpc_data[sku])),""),ROWS($A$15:A396)+$B$3)),INDEX(bhpc_data[sku],SMALL(IF(ISNUMBER(MATCH(bhpc_data[category],$EC$9,0)*MATCH(bhpc_data[size],$EC$13,0)),MATCH(ROW(bhpc_data[sku]),ROW(bhpc_data[sku])),""),ROWS($A$15:A396)+$B$3))),IF($EC$13="",INDEX(bhpc_data[sku],SMALL(IF(ISNUMBER(MATCH(bhpc_data[category],$EC$9,0)*MATCH(bhpc_data[sex],$EC$11,0)),MATCH(ROW(bhpc_data[sku]),ROW(bhpc_data[sku])),""),ROWS($A$15:A396)+$B$3)),INDEX(bhpc_data[sku],SMALL(IF(ISNUMBER(MATCH(bhpc_data[category],$EC$9,0)*MATCH(bhpc_data[sex],$EC$11,0)*MATCH(bhpc_data[size],$EC$13,0)),MATCH(ROW(bhpc_data[sku]),ROW(bhpc_data[sku])),""),ROWS($A$15:A396)+$B$3))))),"")</f>
        <v/>
      </c>
      <c r="EF391" s="440" t="str" cm="1">
        <f t="array" ref="EF391">IFERROR(IF($EC$9="",IF($EC$11="",IF($EC$13="",INDEX(bhpc_data[description],SMALL(MATCH(ROW(bhpc_data[sku]),ROW(bhpc_data[sku])),ROWS($A$15:A396)+$B$3)),INDEX(bhpc_data[description],SMALL(IF(ISNUMBER(MATCH(bhpc_data[size],$EC$13,0)),MATCH(ROW(bhpc_data[sku]),ROW(bhpc_data[sku])),""),ROWS($A$15:A396)+$B$3))),IF($EC$13="",INDEX(bhpc_data[description],SMALL(IF(ISNUMBER(MATCH(bhpc_data[sex],$EC$11,0)),MATCH(ROW(bhpc_data[sku]),ROW(bhpc_data[sku])),""),ROWS($A$15:A396)+$B$3)),INDEX(bhpc_data[description],SMALL(IF(ISNUMBER(MATCH(bhpc_data[sex],$EC$11,0)*MATCH(bhpc_data[size],$EC$13,0)),MATCH(ROW(bhpc_data[sku]),ROW(bhpc_data[sku])),""),ROWS($A$15:A396)+$B$3)))),IF($EC$11="",IF($EC$13="",INDEX(bhpc_data[description],SMALL(IF(ISNUMBER(MATCH(bhpc_data[category],$EC$9,0)),MATCH(ROW(bhpc_data[sku]),ROW(bhpc_data[sku])),""),ROWS($A$15:A396)+$B$3)),INDEX(bhpc_data[description],SMALL(IF(ISNUMBER(MATCH(bhpc_data[category],$EC$9,0)*MATCH(bhpc_data[size],$EC$13,0)),MATCH(ROW(bhpc_data[sku]),ROW(bhpc_data[sku])),""),ROWS($A$15:A396)+$B$3))),IF($EC$13="",INDEX(bhpc_data[description],SMALL(IF(ISNUMBER(MATCH(bhpc_data[category],$EC$9,0)*MATCH(bhpc_data[sex],$EC$11,0)),MATCH(ROW(bhpc_data[sku]),ROW(bhpc_data[sku])),""),ROWS($A$15:A396)+$B$3)),INDEX(bhpc_data[description],SMALL(IF(ISNUMBER(MATCH(bhpc_data[category],$EC$9,0)*MATCH(bhpc_data[sex],$EC$11,0)*MATCH(bhpc_data[size],$EC$13,0)),MATCH(ROW(bhpc_data[sku]),ROW(bhpc_data[sku])),""),ROWS($A$15:A396)+$B$3))))),"")</f>
        <v/>
      </c>
      <c r="EG391" s="441" t="str">
        <f>IFERROR(IF('BHPC MANAGER'!$EE391="","",INDEX(inventory[ESISTENZA],MATCH('BHPC MANAGER'!$EE391,inventory[SKU],0))),0)</f>
        <v/>
      </c>
      <c r="EH391" s="442"/>
      <c r="EI391" s="442" t="str">
        <f t="shared" si="25"/>
        <v/>
      </c>
      <c r="EJ391" s="443"/>
      <c r="EK391" s="444" t="str">
        <f t="shared" si="26"/>
        <v/>
      </c>
    </row>
    <row r="392" spans="135:141" x14ac:dyDescent="0.35">
      <c r="EE392" s="445" t="str" cm="1">
        <f t="array" ref="EE392">IFERROR(IF($EC$9="",IF($EC$11="",IF($EC$13="",INDEX(bhpc_data[sku],SMALL(MATCH(ROW(bhpc_data[sku]),ROW(bhpc_data[sku])),ROWS($A$15:A397)+$B$3)),INDEX(bhpc_data[sku],SMALL(IF(ISNUMBER(MATCH(bhpc_data[size],$EC$13,0)),MATCH(ROW(bhpc_data[sku]),ROW(bhpc_data[sku])),""),ROWS($A$15:A397)+$B$3))),IF($EC$13="",INDEX(bhpc_data[sku],SMALL(IF(ISNUMBER(MATCH(bhpc_data[sex],$EC$11,0)),MATCH(ROW(bhpc_data[sku]),ROW(bhpc_data[sku])),""),ROWS($A$15:A397)+$B$3)),INDEX(bhpc_data[sku],SMALL(IF(ISNUMBER(MATCH(bhpc_data[sex],$EC$11,0)*MATCH(bhpc_data[size],$EC$13,0)),MATCH(ROW(bhpc_data[sku]),ROW(bhpc_data[sku])),""),ROWS($A$15:A397)+$B$3)))),IF($EC$11="",IF($EC$13="",INDEX(bhpc_data[sku],SMALL(IF(ISNUMBER(MATCH(bhpc_data[category],$EC$9,0)),MATCH(ROW(bhpc_data[sku]),ROW(bhpc_data[sku])),""),ROWS($A$15:A397)+$B$3)),INDEX(bhpc_data[sku],SMALL(IF(ISNUMBER(MATCH(bhpc_data[category],$EC$9,0)*MATCH(bhpc_data[size],$EC$13,0)),MATCH(ROW(bhpc_data[sku]),ROW(bhpc_data[sku])),""),ROWS($A$15:A397)+$B$3))),IF($EC$13="",INDEX(bhpc_data[sku],SMALL(IF(ISNUMBER(MATCH(bhpc_data[category],$EC$9,0)*MATCH(bhpc_data[sex],$EC$11,0)),MATCH(ROW(bhpc_data[sku]),ROW(bhpc_data[sku])),""),ROWS($A$15:A397)+$B$3)),INDEX(bhpc_data[sku],SMALL(IF(ISNUMBER(MATCH(bhpc_data[category],$EC$9,0)*MATCH(bhpc_data[sex],$EC$11,0)*MATCH(bhpc_data[size],$EC$13,0)),MATCH(ROW(bhpc_data[sku]),ROW(bhpc_data[sku])),""),ROWS($A$15:A397)+$B$3))))),"")</f>
        <v/>
      </c>
      <c r="EF392" s="446" t="str" cm="1">
        <f t="array" ref="EF392">IFERROR(IF($EC$9="",IF($EC$11="",IF($EC$13="",INDEX(bhpc_data[description],SMALL(MATCH(ROW(bhpc_data[sku]),ROW(bhpc_data[sku])),ROWS($A$15:A397)+$B$3)),INDEX(bhpc_data[description],SMALL(IF(ISNUMBER(MATCH(bhpc_data[size],$EC$13,0)),MATCH(ROW(bhpc_data[sku]),ROW(bhpc_data[sku])),""),ROWS($A$15:A397)+$B$3))),IF($EC$13="",INDEX(bhpc_data[description],SMALL(IF(ISNUMBER(MATCH(bhpc_data[sex],$EC$11,0)),MATCH(ROW(bhpc_data[sku]),ROW(bhpc_data[sku])),""),ROWS($A$15:A397)+$B$3)),INDEX(bhpc_data[description],SMALL(IF(ISNUMBER(MATCH(bhpc_data[sex],$EC$11,0)*MATCH(bhpc_data[size],$EC$13,0)),MATCH(ROW(bhpc_data[sku]),ROW(bhpc_data[sku])),""),ROWS($A$15:A397)+$B$3)))),IF($EC$11="",IF($EC$13="",INDEX(bhpc_data[description],SMALL(IF(ISNUMBER(MATCH(bhpc_data[category],$EC$9,0)),MATCH(ROW(bhpc_data[sku]),ROW(bhpc_data[sku])),""),ROWS($A$15:A397)+$B$3)),INDEX(bhpc_data[description],SMALL(IF(ISNUMBER(MATCH(bhpc_data[category],$EC$9,0)*MATCH(bhpc_data[size],$EC$13,0)),MATCH(ROW(bhpc_data[sku]),ROW(bhpc_data[sku])),""),ROWS($A$15:A397)+$B$3))),IF($EC$13="",INDEX(bhpc_data[description],SMALL(IF(ISNUMBER(MATCH(bhpc_data[category],$EC$9,0)*MATCH(bhpc_data[sex],$EC$11,0)),MATCH(ROW(bhpc_data[sku]),ROW(bhpc_data[sku])),""),ROWS($A$15:A397)+$B$3)),INDEX(bhpc_data[description],SMALL(IF(ISNUMBER(MATCH(bhpc_data[category],$EC$9,0)*MATCH(bhpc_data[sex],$EC$11,0)*MATCH(bhpc_data[size],$EC$13,0)),MATCH(ROW(bhpc_data[sku]),ROW(bhpc_data[sku])),""),ROWS($A$15:A397)+$B$3))))),"")</f>
        <v/>
      </c>
      <c r="EG392" s="447" t="str">
        <f>IFERROR(IF('BHPC MANAGER'!$EE392="","",INDEX(inventory[ESISTENZA],MATCH('BHPC MANAGER'!$EE392,inventory[SKU],0))),0)</f>
        <v/>
      </c>
      <c r="EH392" s="448"/>
      <c r="EI392" s="448" t="str">
        <f t="shared" si="25"/>
        <v/>
      </c>
      <c r="EJ392" s="449"/>
      <c r="EK392" s="450" t="str">
        <f t="shared" si="26"/>
        <v/>
      </c>
    </row>
    <row r="393" spans="135:141" x14ac:dyDescent="0.35">
      <c r="EE393" s="439" t="str" cm="1">
        <f t="array" ref="EE393">IFERROR(IF($EC$9="",IF($EC$11="",IF($EC$13="",INDEX(bhpc_data[sku],SMALL(MATCH(ROW(bhpc_data[sku]),ROW(bhpc_data[sku])),ROWS($A$15:A398)+$B$3)),INDEX(bhpc_data[sku],SMALL(IF(ISNUMBER(MATCH(bhpc_data[size],$EC$13,0)),MATCH(ROW(bhpc_data[sku]),ROW(bhpc_data[sku])),""),ROWS($A$15:A398)+$B$3))),IF($EC$13="",INDEX(bhpc_data[sku],SMALL(IF(ISNUMBER(MATCH(bhpc_data[sex],$EC$11,0)),MATCH(ROW(bhpc_data[sku]),ROW(bhpc_data[sku])),""),ROWS($A$15:A398)+$B$3)),INDEX(bhpc_data[sku],SMALL(IF(ISNUMBER(MATCH(bhpc_data[sex],$EC$11,0)*MATCH(bhpc_data[size],$EC$13,0)),MATCH(ROW(bhpc_data[sku]),ROW(bhpc_data[sku])),""),ROWS($A$15:A398)+$B$3)))),IF($EC$11="",IF($EC$13="",INDEX(bhpc_data[sku],SMALL(IF(ISNUMBER(MATCH(bhpc_data[category],$EC$9,0)),MATCH(ROW(bhpc_data[sku]),ROW(bhpc_data[sku])),""),ROWS($A$15:A398)+$B$3)),INDEX(bhpc_data[sku],SMALL(IF(ISNUMBER(MATCH(bhpc_data[category],$EC$9,0)*MATCH(bhpc_data[size],$EC$13,0)),MATCH(ROW(bhpc_data[sku]),ROW(bhpc_data[sku])),""),ROWS($A$15:A398)+$B$3))),IF($EC$13="",INDEX(bhpc_data[sku],SMALL(IF(ISNUMBER(MATCH(bhpc_data[category],$EC$9,0)*MATCH(bhpc_data[sex],$EC$11,0)),MATCH(ROW(bhpc_data[sku]),ROW(bhpc_data[sku])),""),ROWS($A$15:A398)+$B$3)),INDEX(bhpc_data[sku],SMALL(IF(ISNUMBER(MATCH(bhpc_data[category],$EC$9,0)*MATCH(bhpc_data[sex],$EC$11,0)*MATCH(bhpc_data[size],$EC$13,0)),MATCH(ROW(bhpc_data[sku]),ROW(bhpc_data[sku])),""),ROWS($A$15:A398)+$B$3))))),"")</f>
        <v/>
      </c>
      <c r="EF393" s="440" t="str" cm="1">
        <f t="array" ref="EF393">IFERROR(IF($EC$9="",IF($EC$11="",IF($EC$13="",INDEX(bhpc_data[description],SMALL(MATCH(ROW(bhpc_data[sku]),ROW(bhpc_data[sku])),ROWS($A$15:A398)+$B$3)),INDEX(bhpc_data[description],SMALL(IF(ISNUMBER(MATCH(bhpc_data[size],$EC$13,0)),MATCH(ROW(bhpc_data[sku]),ROW(bhpc_data[sku])),""),ROWS($A$15:A398)+$B$3))),IF($EC$13="",INDEX(bhpc_data[description],SMALL(IF(ISNUMBER(MATCH(bhpc_data[sex],$EC$11,0)),MATCH(ROW(bhpc_data[sku]),ROW(bhpc_data[sku])),""),ROWS($A$15:A398)+$B$3)),INDEX(bhpc_data[description],SMALL(IF(ISNUMBER(MATCH(bhpc_data[sex],$EC$11,0)*MATCH(bhpc_data[size],$EC$13,0)),MATCH(ROW(bhpc_data[sku]),ROW(bhpc_data[sku])),""),ROWS($A$15:A398)+$B$3)))),IF($EC$11="",IF($EC$13="",INDEX(bhpc_data[description],SMALL(IF(ISNUMBER(MATCH(bhpc_data[category],$EC$9,0)),MATCH(ROW(bhpc_data[sku]),ROW(bhpc_data[sku])),""),ROWS($A$15:A398)+$B$3)),INDEX(bhpc_data[description],SMALL(IF(ISNUMBER(MATCH(bhpc_data[category],$EC$9,0)*MATCH(bhpc_data[size],$EC$13,0)),MATCH(ROW(bhpc_data[sku]),ROW(bhpc_data[sku])),""),ROWS($A$15:A398)+$B$3))),IF($EC$13="",INDEX(bhpc_data[description],SMALL(IF(ISNUMBER(MATCH(bhpc_data[category],$EC$9,0)*MATCH(bhpc_data[sex],$EC$11,0)),MATCH(ROW(bhpc_data[sku]),ROW(bhpc_data[sku])),""),ROWS($A$15:A398)+$B$3)),INDEX(bhpc_data[description],SMALL(IF(ISNUMBER(MATCH(bhpc_data[category],$EC$9,0)*MATCH(bhpc_data[sex],$EC$11,0)*MATCH(bhpc_data[size],$EC$13,0)),MATCH(ROW(bhpc_data[sku]),ROW(bhpc_data[sku])),""),ROWS($A$15:A398)+$B$3))))),"")</f>
        <v/>
      </c>
      <c r="EG393" s="441" t="str">
        <f>IFERROR(IF('BHPC MANAGER'!$EE393="","",INDEX(inventory[ESISTENZA],MATCH('BHPC MANAGER'!$EE393,inventory[SKU],0))),0)</f>
        <v/>
      </c>
      <c r="EH393" s="442"/>
      <c r="EI393" s="442" t="str">
        <f t="shared" si="25"/>
        <v/>
      </c>
      <c r="EJ393" s="443"/>
      <c r="EK393" s="444" t="str">
        <f t="shared" si="26"/>
        <v/>
      </c>
    </row>
    <row r="394" spans="135:141" x14ac:dyDescent="0.35">
      <c r="EE394" s="445" t="str" cm="1">
        <f t="array" ref="EE394">IFERROR(IF($EC$9="",IF($EC$11="",IF($EC$13="",INDEX(bhpc_data[sku],SMALL(MATCH(ROW(bhpc_data[sku]),ROW(bhpc_data[sku])),ROWS($A$15:A399)+$B$3)),INDEX(bhpc_data[sku],SMALL(IF(ISNUMBER(MATCH(bhpc_data[size],$EC$13,0)),MATCH(ROW(bhpc_data[sku]),ROW(bhpc_data[sku])),""),ROWS($A$15:A399)+$B$3))),IF($EC$13="",INDEX(bhpc_data[sku],SMALL(IF(ISNUMBER(MATCH(bhpc_data[sex],$EC$11,0)),MATCH(ROW(bhpc_data[sku]),ROW(bhpc_data[sku])),""),ROWS($A$15:A399)+$B$3)),INDEX(bhpc_data[sku],SMALL(IF(ISNUMBER(MATCH(bhpc_data[sex],$EC$11,0)*MATCH(bhpc_data[size],$EC$13,0)),MATCH(ROW(bhpc_data[sku]),ROW(bhpc_data[sku])),""),ROWS($A$15:A399)+$B$3)))),IF($EC$11="",IF($EC$13="",INDEX(bhpc_data[sku],SMALL(IF(ISNUMBER(MATCH(bhpc_data[category],$EC$9,0)),MATCH(ROW(bhpc_data[sku]),ROW(bhpc_data[sku])),""),ROWS($A$15:A399)+$B$3)),INDEX(bhpc_data[sku],SMALL(IF(ISNUMBER(MATCH(bhpc_data[category],$EC$9,0)*MATCH(bhpc_data[size],$EC$13,0)),MATCH(ROW(bhpc_data[sku]),ROW(bhpc_data[sku])),""),ROWS($A$15:A399)+$B$3))),IF($EC$13="",INDEX(bhpc_data[sku],SMALL(IF(ISNUMBER(MATCH(bhpc_data[category],$EC$9,0)*MATCH(bhpc_data[sex],$EC$11,0)),MATCH(ROW(bhpc_data[sku]),ROW(bhpc_data[sku])),""),ROWS($A$15:A399)+$B$3)),INDEX(bhpc_data[sku],SMALL(IF(ISNUMBER(MATCH(bhpc_data[category],$EC$9,0)*MATCH(bhpc_data[sex],$EC$11,0)*MATCH(bhpc_data[size],$EC$13,0)),MATCH(ROW(bhpc_data[sku]),ROW(bhpc_data[sku])),""),ROWS($A$15:A399)+$B$3))))),"")</f>
        <v/>
      </c>
      <c r="EF394" s="446" t="str" cm="1">
        <f t="array" ref="EF394">IFERROR(IF($EC$9="",IF($EC$11="",IF($EC$13="",INDEX(bhpc_data[description],SMALL(MATCH(ROW(bhpc_data[sku]),ROW(bhpc_data[sku])),ROWS($A$15:A399)+$B$3)),INDEX(bhpc_data[description],SMALL(IF(ISNUMBER(MATCH(bhpc_data[size],$EC$13,0)),MATCH(ROW(bhpc_data[sku]),ROW(bhpc_data[sku])),""),ROWS($A$15:A399)+$B$3))),IF($EC$13="",INDEX(bhpc_data[description],SMALL(IF(ISNUMBER(MATCH(bhpc_data[sex],$EC$11,0)),MATCH(ROW(bhpc_data[sku]),ROW(bhpc_data[sku])),""),ROWS($A$15:A399)+$B$3)),INDEX(bhpc_data[description],SMALL(IF(ISNUMBER(MATCH(bhpc_data[sex],$EC$11,0)*MATCH(bhpc_data[size],$EC$13,0)),MATCH(ROW(bhpc_data[sku]),ROW(bhpc_data[sku])),""),ROWS($A$15:A399)+$B$3)))),IF($EC$11="",IF($EC$13="",INDEX(bhpc_data[description],SMALL(IF(ISNUMBER(MATCH(bhpc_data[category],$EC$9,0)),MATCH(ROW(bhpc_data[sku]),ROW(bhpc_data[sku])),""),ROWS($A$15:A399)+$B$3)),INDEX(bhpc_data[description],SMALL(IF(ISNUMBER(MATCH(bhpc_data[category],$EC$9,0)*MATCH(bhpc_data[size],$EC$13,0)),MATCH(ROW(bhpc_data[sku]),ROW(bhpc_data[sku])),""),ROWS($A$15:A399)+$B$3))),IF($EC$13="",INDEX(bhpc_data[description],SMALL(IF(ISNUMBER(MATCH(bhpc_data[category],$EC$9,0)*MATCH(bhpc_data[sex],$EC$11,0)),MATCH(ROW(bhpc_data[sku]),ROW(bhpc_data[sku])),""),ROWS($A$15:A399)+$B$3)),INDEX(bhpc_data[description],SMALL(IF(ISNUMBER(MATCH(bhpc_data[category],$EC$9,0)*MATCH(bhpc_data[sex],$EC$11,0)*MATCH(bhpc_data[size],$EC$13,0)),MATCH(ROW(bhpc_data[sku]),ROW(bhpc_data[sku])),""),ROWS($A$15:A399)+$B$3))))),"")</f>
        <v/>
      </c>
      <c r="EG394" s="447" t="str">
        <f>IFERROR(IF('BHPC MANAGER'!$EE394="","",INDEX(inventory[ESISTENZA],MATCH('BHPC MANAGER'!$EE394,inventory[SKU],0))),0)</f>
        <v/>
      </c>
      <c r="EH394" s="448"/>
      <c r="EI394" s="448" t="str">
        <f t="shared" si="25"/>
        <v/>
      </c>
      <c r="EJ394" s="449"/>
      <c r="EK394" s="450" t="str">
        <f t="shared" si="26"/>
        <v/>
      </c>
    </row>
    <row r="395" spans="135:141" x14ac:dyDescent="0.35">
      <c r="EE395" s="439" t="str" cm="1">
        <f t="array" ref="EE395">IFERROR(IF($EC$9="",IF($EC$11="",IF($EC$13="",INDEX(bhpc_data[sku],SMALL(MATCH(ROW(bhpc_data[sku]),ROW(bhpc_data[sku])),ROWS($A$15:A400)+$B$3)),INDEX(bhpc_data[sku],SMALL(IF(ISNUMBER(MATCH(bhpc_data[size],$EC$13,0)),MATCH(ROW(bhpc_data[sku]),ROW(bhpc_data[sku])),""),ROWS($A$15:A400)+$B$3))),IF($EC$13="",INDEX(bhpc_data[sku],SMALL(IF(ISNUMBER(MATCH(bhpc_data[sex],$EC$11,0)),MATCH(ROW(bhpc_data[sku]),ROW(bhpc_data[sku])),""),ROWS($A$15:A400)+$B$3)),INDEX(bhpc_data[sku],SMALL(IF(ISNUMBER(MATCH(bhpc_data[sex],$EC$11,0)*MATCH(bhpc_data[size],$EC$13,0)),MATCH(ROW(bhpc_data[sku]),ROW(bhpc_data[sku])),""),ROWS($A$15:A400)+$B$3)))),IF($EC$11="",IF($EC$13="",INDEX(bhpc_data[sku],SMALL(IF(ISNUMBER(MATCH(bhpc_data[category],$EC$9,0)),MATCH(ROW(bhpc_data[sku]),ROW(bhpc_data[sku])),""),ROWS($A$15:A400)+$B$3)),INDEX(bhpc_data[sku],SMALL(IF(ISNUMBER(MATCH(bhpc_data[category],$EC$9,0)*MATCH(bhpc_data[size],$EC$13,0)),MATCH(ROW(bhpc_data[sku]),ROW(bhpc_data[sku])),""),ROWS($A$15:A400)+$B$3))),IF($EC$13="",INDEX(bhpc_data[sku],SMALL(IF(ISNUMBER(MATCH(bhpc_data[category],$EC$9,0)*MATCH(bhpc_data[sex],$EC$11,0)),MATCH(ROW(bhpc_data[sku]),ROW(bhpc_data[sku])),""),ROWS($A$15:A400)+$B$3)),INDEX(bhpc_data[sku],SMALL(IF(ISNUMBER(MATCH(bhpc_data[category],$EC$9,0)*MATCH(bhpc_data[sex],$EC$11,0)*MATCH(bhpc_data[size],$EC$13,0)),MATCH(ROW(bhpc_data[sku]),ROW(bhpc_data[sku])),""),ROWS($A$15:A400)+$B$3))))),"")</f>
        <v/>
      </c>
      <c r="EF395" s="440" t="str" cm="1">
        <f t="array" ref="EF395">IFERROR(IF($EC$9="",IF($EC$11="",IF($EC$13="",INDEX(bhpc_data[description],SMALL(MATCH(ROW(bhpc_data[sku]),ROW(bhpc_data[sku])),ROWS($A$15:A400)+$B$3)),INDEX(bhpc_data[description],SMALL(IF(ISNUMBER(MATCH(bhpc_data[size],$EC$13,0)),MATCH(ROW(bhpc_data[sku]),ROW(bhpc_data[sku])),""),ROWS($A$15:A400)+$B$3))),IF($EC$13="",INDEX(bhpc_data[description],SMALL(IF(ISNUMBER(MATCH(bhpc_data[sex],$EC$11,0)),MATCH(ROW(bhpc_data[sku]),ROW(bhpc_data[sku])),""),ROWS($A$15:A400)+$B$3)),INDEX(bhpc_data[description],SMALL(IF(ISNUMBER(MATCH(bhpc_data[sex],$EC$11,0)*MATCH(bhpc_data[size],$EC$13,0)),MATCH(ROW(bhpc_data[sku]),ROW(bhpc_data[sku])),""),ROWS($A$15:A400)+$B$3)))),IF($EC$11="",IF($EC$13="",INDEX(bhpc_data[description],SMALL(IF(ISNUMBER(MATCH(bhpc_data[category],$EC$9,0)),MATCH(ROW(bhpc_data[sku]),ROW(bhpc_data[sku])),""),ROWS($A$15:A400)+$B$3)),INDEX(bhpc_data[description],SMALL(IF(ISNUMBER(MATCH(bhpc_data[category],$EC$9,0)*MATCH(bhpc_data[size],$EC$13,0)),MATCH(ROW(bhpc_data[sku]),ROW(bhpc_data[sku])),""),ROWS($A$15:A400)+$B$3))),IF($EC$13="",INDEX(bhpc_data[description],SMALL(IF(ISNUMBER(MATCH(bhpc_data[category],$EC$9,0)*MATCH(bhpc_data[sex],$EC$11,0)),MATCH(ROW(bhpc_data[sku]),ROW(bhpc_data[sku])),""),ROWS($A$15:A400)+$B$3)),INDEX(bhpc_data[description],SMALL(IF(ISNUMBER(MATCH(bhpc_data[category],$EC$9,0)*MATCH(bhpc_data[sex],$EC$11,0)*MATCH(bhpc_data[size],$EC$13,0)),MATCH(ROW(bhpc_data[sku]),ROW(bhpc_data[sku])),""),ROWS($A$15:A400)+$B$3))))),"")</f>
        <v/>
      </c>
      <c r="EG395" s="441" t="str">
        <f>IFERROR(IF('BHPC MANAGER'!$EE395="","",INDEX(inventory[ESISTENZA],MATCH('BHPC MANAGER'!$EE395,inventory[SKU],0))),0)</f>
        <v/>
      </c>
      <c r="EH395" s="442"/>
      <c r="EI395" s="442" t="str">
        <f t="shared" si="25"/>
        <v/>
      </c>
      <c r="EJ395" s="443"/>
      <c r="EK395" s="444" t="str">
        <f t="shared" si="26"/>
        <v/>
      </c>
    </row>
    <row r="396" spans="135:141" x14ac:dyDescent="0.35">
      <c r="EE396" s="445" t="str" cm="1">
        <f t="array" ref="EE396">IFERROR(IF($EC$9="",IF($EC$11="",IF($EC$13="",INDEX(bhpc_data[sku],SMALL(MATCH(ROW(bhpc_data[sku]),ROW(bhpc_data[sku])),ROWS($A$15:A401)+$B$3)),INDEX(bhpc_data[sku],SMALL(IF(ISNUMBER(MATCH(bhpc_data[size],$EC$13,0)),MATCH(ROW(bhpc_data[sku]),ROW(bhpc_data[sku])),""),ROWS($A$15:A401)+$B$3))),IF($EC$13="",INDEX(bhpc_data[sku],SMALL(IF(ISNUMBER(MATCH(bhpc_data[sex],$EC$11,0)),MATCH(ROW(bhpc_data[sku]),ROW(bhpc_data[sku])),""),ROWS($A$15:A401)+$B$3)),INDEX(bhpc_data[sku],SMALL(IF(ISNUMBER(MATCH(bhpc_data[sex],$EC$11,0)*MATCH(bhpc_data[size],$EC$13,0)),MATCH(ROW(bhpc_data[sku]),ROW(bhpc_data[sku])),""),ROWS($A$15:A401)+$B$3)))),IF($EC$11="",IF($EC$13="",INDEX(bhpc_data[sku],SMALL(IF(ISNUMBER(MATCH(bhpc_data[category],$EC$9,0)),MATCH(ROW(bhpc_data[sku]),ROW(bhpc_data[sku])),""),ROWS($A$15:A401)+$B$3)),INDEX(bhpc_data[sku],SMALL(IF(ISNUMBER(MATCH(bhpc_data[category],$EC$9,0)*MATCH(bhpc_data[size],$EC$13,0)),MATCH(ROW(bhpc_data[sku]),ROW(bhpc_data[sku])),""),ROWS($A$15:A401)+$B$3))),IF($EC$13="",INDEX(bhpc_data[sku],SMALL(IF(ISNUMBER(MATCH(bhpc_data[category],$EC$9,0)*MATCH(bhpc_data[sex],$EC$11,0)),MATCH(ROW(bhpc_data[sku]),ROW(bhpc_data[sku])),""),ROWS($A$15:A401)+$B$3)),INDEX(bhpc_data[sku],SMALL(IF(ISNUMBER(MATCH(bhpc_data[category],$EC$9,0)*MATCH(bhpc_data[sex],$EC$11,0)*MATCH(bhpc_data[size],$EC$13,0)),MATCH(ROW(bhpc_data[sku]),ROW(bhpc_data[sku])),""),ROWS($A$15:A401)+$B$3))))),"")</f>
        <v/>
      </c>
      <c r="EF396" s="446" t="str" cm="1">
        <f t="array" ref="EF396">IFERROR(IF($EC$9="",IF($EC$11="",IF($EC$13="",INDEX(bhpc_data[description],SMALL(MATCH(ROW(bhpc_data[sku]),ROW(bhpc_data[sku])),ROWS($A$15:A401)+$B$3)),INDEX(bhpc_data[description],SMALL(IF(ISNUMBER(MATCH(bhpc_data[size],$EC$13,0)),MATCH(ROW(bhpc_data[sku]),ROW(bhpc_data[sku])),""),ROWS($A$15:A401)+$B$3))),IF($EC$13="",INDEX(bhpc_data[description],SMALL(IF(ISNUMBER(MATCH(bhpc_data[sex],$EC$11,0)),MATCH(ROW(bhpc_data[sku]),ROW(bhpc_data[sku])),""),ROWS($A$15:A401)+$B$3)),INDEX(bhpc_data[description],SMALL(IF(ISNUMBER(MATCH(bhpc_data[sex],$EC$11,0)*MATCH(bhpc_data[size],$EC$13,0)),MATCH(ROW(bhpc_data[sku]),ROW(bhpc_data[sku])),""),ROWS($A$15:A401)+$B$3)))),IF($EC$11="",IF($EC$13="",INDEX(bhpc_data[description],SMALL(IF(ISNUMBER(MATCH(bhpc_data[category],$EC$9,0)),MATCH(ROW(bhpc_data[sku]),ROW(bhpc_data[sku])),""),ROWS($A$15:A401)+$B$3)),INDEX(bhpc_data[description],SMALL(IF(ISNUMBER(MATCH(bhpc_data[category],$EC$9,0)*MATCH(bhpc_data[size],$EC$13,0)),MATCH(ROW(bhpc_data[sku]),ROW(bhpc_data[sku])),""),ROWS($A$15:A401)+$B$3))),IF($EC$13="",INDEX(bhpc_data[description],SMALL(IF(ISNUMBER(MATCH(bhpc_data[category],$EC$9,0)*MATCH(bhpc_data[sex],$EC$11,0)),MATCH(ROW(bhpc_data[sku]),ROW(bhpc_data[sku])),""),ROWS($A$15:A401)+$B$3)),INDEX(bhpc_data[description],SMALL(IF(ISNUMBER(MATCH(bhpc_data[category],$EC$9,0)*MATCH(bhpc_data[sex],$EC$11,0)*MATCH(bhpc_data[size],$EC$13,0)),MATCH(ROW(bhpc_data[sku]),ROW(bhpc_data[sku])),""),ROWS($A$15:A401)+$B$3))))),"")</f>
        <v/>
      </c>
      <c r="EG396" s="447" t="str">
        <f>IFERROR(IF('BHPC MANAGER'!$EE396="","",INDEX(inventory[ESISTENZA],MATCH('BHPC MANAGER'!$EE396,inventory[SKU],0))),0)</f>
        <v/>
      </c>
      <c r="EH396" s="448"/>
      <c r="EI396" s="448" t="str">
        <f t="shared" si="25"/>
        <v/>
      </c>
      <c r="EJ396" s="449"/>
      <c r="EK396" s="450" t="str">
        <f t="shared" si="26"/>
        <v/>
      </c>
    </row>
    <row r="397" spans="135:141" x14ac:dyDescent="0.35">
      <c r="EE397" s="439" t="str" cm="1">
        <f t="array" ref="EE397">IFERROR(IF($EC$9="",IF($EC$11="",IF($EC$13="",INDEX(bhpc_data[sku],SMALL(MATCH(ROW(bhpc_data[sku]),ROW(bhpc_data[sku])),ROWS($A$15:A402)+$B$3)),INDEX(bhpc_data[sku],SMALL(IF(ISNUMBER(MATCH(bhpc_data[size],$EC$13,0)),MATCH(ROW(bhpc_data[sku]),ROW(bhpc_data[sku])),""),ROWS($A$15:A402)+$B$3))),IF($EC$13="",INDEX(bhpc_data[sku],SMALL(IF(ISNUMBER(MATCH(bhpc_data[sex],$EC$11,0)),MATCH(ROW(bhpc_data[sku]),ROW(bhpc_data[sku])),""),ROWS($A$15:A402)+$B$3)),INDEX(bhpc_data[sku],SMALL(IF(ISNUMBER(MATCH(bhpc_data[sex],$EC$11,0)*MATCH(bhpc_data[size],$EC$13,0)),MATCH(ROW(bhpc_data[sku]),ROW(bhpc_data[sku])),""),ROWS($A$15:A402)+$B$3)))),IF($EC$11="",IF($EC$13="",INDEX(bhpc_data[sku],SMALL(IF(ISNUMBER(MATCH(bhpc_data[category],$EC$9,0)),MATCH(ROW(bhpc_data[sku]),ROW(bhpc_data[sku])),""),ROWS($A$15:A402)+$B$3)),INDEX(bhpc_data[sku],SMALL(IF(ISNUMBER(MATCH(bhpc_data[category],$EC$9,0)*MATCH(bhpc_data[size],$EC$13,0)),MATCH(ROW(bhpc_data[sku]),ROW(bhpc_data[sku])),""),ROWS($A$15:A402)+$B$3))),IF($EC$13="",INDEX(bhpc_data[sku],SMALL(IF(ISNUMBER(MATCH(bhpc_data[category],$EC$9,0)*MATCH(bhpc_data[sex],$EC$11,0)),MATCH(ROW(bhpc_data[sku]),ROW(bhpc_data[sku])),""),ROWS($A$15:A402)+$B$3)),INDEX(bhpc_data[sku],SMALL(IF(ISNUMBER(MATCH(bhpc_data[category],$EC$9,0)*MATCH(bhpc_data[sex],$EC$11,0)*MATCH(bhpc_data[size],$EC$13,0)),MATCH(ROW(bhpc_data[sku]),ROW(bhpc_data[sku])),""),ROWS($A$15:A402)+$B$3))))),"")</f>
        <v/>
      </c>
      <c r="EF397" s="440" t="str" cm="1">
        <f t="array" ref="EF397">IFERROR(IF($EC$9="",IF($EC$11="",IF($EC$13="",INDEX(bhpc_data[description],SMALL(MATCH(ROW(bhpc_data[sku]),ROW(bhpc_data[sku])),ROWS($A$15:A402)+$B$3)),INDEX(bhpc_data[description],SMALL(IF(ISNUMBER(MATCH(bhpc_data[size],$EC$13,0)),MATCH(ROW(bhpc_data[sku]),ROW(bhpc_data[sku])),""),ROWS($A$15:A402)+$B$3))),IF($EC$13="",INDEX(bhpc_data[description],SMALL(IF(ISNUMBER(MATCH(bhpc_data[sex],$EC$11,0)),MATCH(ROW(bhpc_data[sku]),ROW(bhpc_data[sku])),""),ROWS($A$15:A402)+$B$3)),INDEX(bhpc_data[description],SMALL(IF(ISNUMBER(MATCH(bhpc_data[sex],$EC$11,0)*MATCH(bhpc_data[size],$EC$13,0)),MATCH(ROW(bhpc_data[sku]),ROW(bhpc_data[sku])),""),ROWS($A$15:A402)+$B$3)))),IF($EC$11="",IF($EC$13="",INDEX(bhpc_data[description],SMALL(IF(ISNUMBER(MATCH(bhpc_data[category],$EC$9,0)),MATCH(ROW(bhpc_data[sku]),ROW(bhpc_data[sku])),""),ROWS($A$15:A402)+$B$3)),INDEX(bhpc_data[description],SMALL(IF(ISNUMBER(MATCH(bhpc_data[category],$EC$9,0)*MATCH(bhpc_data[size],$EC$13,0)),MATCH(ROW(bhpc_data[sku]),ROW(bhpc_data[sku])),""),ROWS($A$15:A402)+$B$3))),IF($EC$13="",INDEX(bhpc_data[description],SMALL(IF(ISNUMBER(MATCH(bhpc_data[category],$EC$9,0)*MATCH(bhpc_data[sex],$EC$11,0)),MATCH(ROW(bhpc_data[sku]),ROW(bhpc_data[sku])),""),ROWS($A$15:A402)+$B$3)),INDEX(bhpc_data[description],SMALL(IF(ISNUMBER(MATCH(bhpc_data[category],$EC$9,0)*MATCH(bhpc_data[sex],$EC$11,0)*MATCH(bhpc_data[size],$EC$13,0)),MATCH(ROW(bhpc_data[sku]),ROW(bhpc_data[sku])),""),ROWS($A$15:A402)+$B$3))))),"")</f>
        <v/>
      </c>
      <c r="EG397" s="441" t="str">
        <f>IFERROR(IF('BHPC MANAGER'!$EE397="","",INDEX(inventory[ESISTENZA],MATCH('BHPC MANAGER'!$EE397,inventory[SKU],0))),0)</f>
        <v/>
      </c>
      <c r="EH397" s="442"/>
      <c r="EI397" s="442" t="str">
        <f t="shared" si="25"/>
        <v/>
      </c>
      <c r="EJ397" s="443"/>
      <c r="EK397" s="444" t="str">
        <f t="shared" si="26"/>
        <v/>
      </c>
    </row>
    <row r="398" spans="135:141" x14ac:dyDescent="0.35">
      <c r="EE398" s="445" t="str" cm="1">
        <f t="array" ref="EE398">IFERROR(IF($EC$9="",IF($EC$11="",IF($EC$13="",INDEX(bhpc_data[sku],SMALL(MATCH(ROW(bhpc_data[sku]),ROW(bhpc_data[sku])),ROWS($A$15:A403)+$B$3)),INDEX(bhpc_data[sku],SMALL(IF(ISNUMBER(MATCH(bhpc_data[size],$EC$13,0)),MATCH(ROW(bhpc_data[sku]),ROW(bhpc_data[sku])),""),ROWS($A$15:A403)+$B$3))),IF($EC$13="",INDEX(bhpc_data[sku],SMALL(IF(ISNUMBER(MATCH(bhpc_data[sex],$EC$11,0)),MATCH(ROW(bhpc_data[sku]),ROW(bhpc_data[sku])),""),ROWS($A$15:A403)+$B$3)),INDEX(bhpc_data[sku],SMALL(IF(ISNUMBER(MATCH(bhpc_data[sex],$EC$11,0)*MATCH(bhpc_data[size],$EC$13,0)),MATCH(ROW(bhpc_data[sku]),ROW(bhpc_data[sku])),""),ROWS($A$15:A403)+$B$3)))),IF($EC$11="",IF($EC$13="",INDEX(bhpc_data[sku],SMALL(IF(ISNUMBER(MATCH(bhpc_data[category],$EC$9,0)),MATCH(ROW(bhpc_data[sku]),ROW(bhpc_data[sku])),""),ROWS($A$15:A403)+$B$3)),INDEX(bhpc_data[sku],SMALL(IF(ISNUMBER(MATCH(bhpc_data[category],$EC$9,0)*MATCH(bhpc_data[size],$EC$13,0)),MATCH(ROW(bhpc_data[sku]),ROW(bhpc_data[sku])),""),ROWS($A$15:A403)+$B$3))),IF($EC$13="",INDEX(bhpc_data[sku],SMALL(IF(ISNUMBER(MATCH(bhpc_data[category],$EC$9,0)*MATCH(bhpc_data[sex],$EC$11,0)),MATCH(ROW(bhpc_data[sku]),ROW(bhpc_data[sku])),""),ROWS($A$15:A403)+$B$3)),INDEX(bhpc_data[sku],SMALL(IF(ISNUMBER(MATCH(bhpc_data[category],$EC$9,0)*MATCH(bhpc_data[sex],$EC$11,0)*MATCH(bhpc_data[size],$EC$13,0)),MATCH(ROW(bhpc_data[sku]),ROW(bhpc_data[sku])),""),ROWS($A$15:A403)+$B$3))))),"")</f>
        <v/>
      </c>
      <c r="EF398" s="446" t="str" cm="1">
        <f t="array" ref="EF398">IFERROR(IF($EC$9="",IF($EC$11="",IF($EC$13="",INDEX(bhpc_data[description],SMALL(MATCH(ROW(bhpc_data[sku]),ROW(bhpc_data[sku])),ROWS($A$15:A403)+$B$3)),INDEX(bhpc_data[description],SMALL(IF(ISNUMBER(MATCH(bhpc_data[size],$EC$13,0)),MATCH(ROW(bhpc_data[sku]),ROW(bhpc_data[sku])),""),ROWS($A$15:A403)+$B$3))),IF($EC$13="",INDEX(bhpc_data[description],SMALL(IF(ISNUMBER(MATCH(bhpc_data[sex],$EC$11,0)),MATCH(ROW(bhpc_data[sku]),ROW(bhpc_data[sku])),""),ROWS($A$15:A403)+$B$3)),INDEX(bhpc_data[description],SMALL(IF(ISNUMBER(MATCH(bhpc_data[sex],$EC$11,0)*MATCH(bhpc_data[size],$EC$13,0)),MATCH(ROW(bhpc_data[sku]),ROW(bhpc_data[sku])),""),ROWS($A$15:A403)+$B$3)))),IF($EC$11="",IF($EC$13="",INDEX(bhpc_data[description],SMALL(IF(ISNUMBER(MATCH(bhpc_data[category],$EC$9,0)),MATCH(ROW(bhpc_data[sku]),ROW(bhpc_data[sku])),""),ROWS($A$15:A403)+$B$3)),INDEX(bhpc_data[description],SMALL(IF(ISNUMBER(MATCH(bhpc_data[category],$EC$9,0)*MATCH(bhpc_data[size],$EC$13,0)),MATCH(ROW(bhpc_data[sku]),ROW(bhpc_data[sku])),""),ROWS($A$15:A403)+$B$3))),IF($EC$13="",INDEX(bhpc_data[description],SMALL(IF(ISNUMBER(MATCH(bhpc_data[category],$EC$9,0)*MATCH(bhpc_data[sex],$EC$11,0)),MATCH(ROW(bhpc_data[sku]),ROW(bhpc_data[sku])),""),ROWS($A$15:A403)+$B$3)),INDEX(bhpc_data[description],SMALL(IF(ISNUMBER(MATCH(bhpc_data[category],$EC$9,0)*MATCH(bhpc_data[sex],$EC$11,0)*MATCH(bhpc_data[size],$EC$13,0)),MATCH(ROW(bhpc_data[sku]),ROW(bhpc_data[sku])),""),ROWS($A$15:A403)+$B$3))))),"")</f>
        <v/>
      </c>
      <c r="EG398" s="447" t="str">
        <f>IFERROR(IF('BHPC MANAGER'!$EE398="","",INDEX(inventory[ESISTENZA],MATCH('BHPC MANAGER'!$EE398,inventory[SKU],0))),0)</f>
        <v/>
      </c>
      <c r="EH398" s="448"/>
      <c r="EI398" s="448" t="str">
        <f t="shared" si="25"/>
        <v/>
      </c>
      <c r="EJ398" s="449"/>
      <c r="EK398" s="450" t="str">
        <f t="shared" si="26"/>
        <v/>
      </c>
    </row>
    <row r="399" spans="135:141" x14ac:dyDescent="0.35">
      <c r="EE399" s="439" t="str" cm="1">
        <f t="array" ref="EE399">IFERROR(IF($EC$9="",IF($EC$11="",IF($EC$13="",INDEX(bhpc_data[sku],SMALL(MATCH(ROW(bhpc_data[sku]),ROW(bhpc_data[sku])),ROWS($A$15:A404)+$B$3)),INDEX(bhpc_data[sku],SMALL(IF(ISNUMBER(MATCH(bhpc_data[size],$EC$13,0)),MATCH(ROW(bhpc_data[sku]),ROW(bhpc_data[sku])),""),ROWS($A$15:A404)+$B$3))),IF($EC$13="",INDEX(bhpc_data[sku],SMALL(IF(ISNUMBER(MATCH(bhpc_data[sex],$EC$11,0)),MATCH(ROW(bhpc_data[sku]),ROW(bhpc_data[sku])),""),ROWS($A$15:A404)+$B$3)),INDEX(bhpc_data[sku],SMALL(IF(ISNUMBER(MATCH(bhpc_data[sex],$EC$11,0)*MATCH(bhpc_data[size],$EC$13,0)),MATCH(ROW(bhpc_data[sku]),ROW(bhpc_data[sku])),""),ROWS($A$15:A404)+$B$3)))),IF($EC$11="",IF($EC$13="",INDEX(bhpc_data[sku],SMALL(IF(ISNUMBER(MATCH(bhpc_data[category],$EC$9,0)),MATCH(ROW(bhpc_data[sku]),ROW(bhpc_data[sku])),""),ROWS($A$15:A404)+$B$3)),INDEX(bhpc_data[sku],SMALL(IF(ISNUMBER(MATCH(bhpc_data[category],$EC$9,0)*MATCH(bhpc_data[size],$EC$13,0)),MATCH(ROW(bhpc_data[sku]),ROW(bhpc_data[sku])),""),ROWS($A$15:A404)+$B$3))),IF($EC$13="",INDEX(bhpc_data[sku],SMALL(IF(ISNUMBER(MATCH(bhpc_data[category],$EC$9,0)*MATCH(bhpc_data[sex],$EC$11,0)),MATCH(ROW(bhpc_data[sku]),ROW(bhpc_data[sku])),""),ROWS($A$15:A404)+$B$3)),INDEX(bhpc_data[sku],SMALL(IF(ISNUMBER(MATCH(bhpc_data[category],$EC$9,0)*MATCH(bhpc_data[sex],$EC$11,0)*MATCH(bhpc_data[size],$EC$13,0)),MATCH(ROW(bhpc_data[sku]),ROW(bhpc_data[sku])),""),ROWS($A$15:A404)+$B$3))))),"")</f>
        <v/>
      </c>
      <c r="EF399" s="440" t="str" cm="1">
        <f t="array" ref="EF399">IFERROR(IF($EC$9="",IF($EC$11="",IF($EC$13="",INDEX(bhpc_data[description],SMALL(MATCH(ROW(bhpc_data[sku]),ROW(bhpc_data[sku])),ROWS($A$15:A404)+$B$3)),INDEX(bhpc_data[description],SMALL(IF(ISNUMBER(MATCH(bhpc_data[size],$EC$13,0)),MATCH(ROW(bhpc_data[sku]),ROW(bhpc_data[sku])),""),ROWS($A$15:A404)+$B$3))),IF($EC$13="",INDEX(bhpc_data[description],SMALL(IF(ISNUMBER(MATCH(bhpc_data[sex],$EC$11,0)),MATCH(ROW(bhpc_data[sku]),ROW(bhpc_data[sku])),""),ROWS($A$15:A404)+$B$3)),INDEX(bhpc_data[description],SMALL(IF(ISNUMBER(MATCH(bhpc_data[sex],$EC$11,0)*MATCH(bhpc_data[size],$EC$13,0)),MATCH(ROW(bhpc_data[sku]),ROW(bhpc_data[sku])),""),ROWS($A$15:A404)+$B$3)))),IF($EC$11="",IF($EC$13="",INDEX(bhpc_data[description],SMALL(IF(ISNUMBER(MATCH(bhpc_data[category],$EC$9,0)),MATCH(ROW(bhpc_data[sku]),ROW(bhpc_data[sku])),""),ROWS($A$15:A404)+$B$3)),INDEX(bhpc_data[description],SMALL(IF(ISNUMBER(MATCH(bhpc_data[category],$EC$9,0)*MATCH(bhpc_data[size],$EC$13,0)),MATCH(ROW(bhpc_data[sku]),ROW(bhpc_data[sku])),""),ROWS($A$15:A404)+$B$3))),IF($EC$13="",INDEX(bhpc_data[description],SMALL(IF(ISNUMBER(MATCH(bhpc_data[category],$EC$9,0)*MATCH(bhpc_data[sex],$EC$11,0)),MATCH(ROW(bhpc_data[sku]),ROW(bhpc_data[sku])),""),ROWS($A$15:A404)+$B$3)),INDEX(bhpc_data[description],SMALL(IF(ISNUMBER(MATCH(bhpc_data[category],$EC$9,0)*MATCH(bhpc_data[sex],$EC$11,0)*MATCH(bhpc_data[size],$EC$13,0)),MATCH(ROW(bhpc_data[sku]),ROW(bhpc_data[sku])),""),ROWS($A$15:A404)+$B$3))))),"")</f>
        <v/>
      </c>
      <c r="EG399" s="441" t="str">
        <f>IFERROR(IF('BHPC MANAGER'!$EE399="","",INDEX(inventory[ESISTENZA],MATCH('BHPC MANAGER'!$EE399,inventory[SKU],0))),0)</f>
        <v/>
      </c>
      <c r="EH399" s="442"/>
      <c r="EI399" s="442" t="str">
        <f t="shared" si="25"/>
        <v/>
      </c>
      <c r="EJ399" s="443"/>
      <c r="EK399" s="444" t="str">
        <f t="shared" si="26"/>
        <v/>
      </c>
    </row>
    <row r="400" spans="135:141" ht="15" thickBot="1" x14ac:dyDescent="0.4">
      <c r="EE400" s="451" t="str" cm="1">
        <f t="array" ref="EE400">IFERROR(IF($EC$9="",IF($EC$11="",IF($EC$13="",INDEX(bhpc_data[sku],SMALL(MATCH(ROW(bhpc_data[sku]),ROW(bhpc_data[sku])),ROWS($A$15:A405)+$B$3)),INDEX(bhpc_data[sku],SMALL(IF(ISNUMBER(MATCH(bhpc_data[size],$EC$13,0)),MATCH(ROW(bhpc_data[sku]),ROW(bhpc_data[sku])),""),ROWS($A$15:A405)+$B$3))),IF($EC$13="",INDEX(bhpc_data[sku],SMALL(IF(ISNUMBER(MATCH(bhpc_data[sex],$EC$11,0)),MATCH(ROW(bhpc_data[sku]),ROW(bhpc_data[sku])),""),ROWS($A$15:A405)+$B$3)),INDEX(bhpc_data[sku],SMALL(IF(ISNUMBER(MATCH(bhpc_data[sex],$EC$11,0)*MATCH(bhpc_data[size],$EC$13,0)),MATCH(ROW(bhpc_data[sku]),ROW(bhpc_data[sku])),""),ROWS($A$15:A405)+$B$3)))),IF($EC$11="",IF($EC$13="",INDEX(bhpc_data[sku],SMALL(IF(ISNUMBER(MATCH(bhpc_data[category],$EC$9,0)),MATCH(ROW(bhpc_data[sku]),ROW(bhpc_data[sku])),""),ROWS($A$15:A405)+$B$3)),INDEX(bhpc_data[sku],SMALL(IF(ISNUMBER(MATCH(bhpc_data[category],$EC$9,0)*MATCH(bhpc_data[size],$EC$13,0)),MATCH(ROW(bhpc_data[sku]),ROW(bhpc_data[sku])),""),ROWS($A$15:A405)+$B$3))),IF($EC$13="",INDEX(bhpc_data[sku],SMALL(IF(ISNUMBER(MATCH(bhpc_data[category],$EC$9,0)*MATCH(bhpc_data[sex],$EC$11,0)),MATCH(ROW(bhpc_data[sku]),ROW(bhpc_data[sku])),""),ROWS($A$15:A405)+$B$3)),INDEX(bhpc_data[sku],SMALL(IF(ISNUMBER(MATCH(bhpc_data[category],$EC$9,0)*MATCH(bhpc_data[sex],$EC$11,0)*MATCH(bhpc_data[size],$EC$13,0)),MATCH(ROW(bhpc_data[sku]),ROW(bhpc_data[sku])),""),ROWS($A$15:A405)+$B$3))))),"")</f>
        <v/>
      </c>
      <c r="EF400" s="452" t="str" cm="1">
        <f t="array" ref="EF400">IFERROR(IF($EC$9="",IF($EC$11="",IF($EC$13="",INDEX(bhpc_data[description],SMALL(MATCH(ROW(bhpc_data[sku]),ROW(bhpc_data[sku])),ROWS($A$15:A405)+$B$3)),INDEX(bhpc_data[description],SMALL(IF(ISNUMBER(MATCH(bhpc_data[size],$EC$13,0)),MATCH(ROW(bhpc_data[sku]),ROW(bhpc_data[sku])),""),ROWS($A$15:A405)+$B$3))),IF($EC$13="",INDEX(bhpc_data[description],SMALL(IF(ISNUMBER(MATCH(bhpc_data[sex],$EC$11,0)),MATCH(ROW(bhpc_data[sku]),ROW(bhpc_data[sku])),""),ROWS($A$15:A405)+$B$3)),INDEX(bhpc_data[description],SMALL(IF(ISNUMBER(MATCH(bhpc_data[sex],$EC$11,0)*MATCH(bhpc_data[size],$EC$13,0)),MATCH(ROW(bhpc_data[sku]),ROW(bhpc_data[sku])),""),ROWS($A$15:A405)+$B$3)))),IF($EC$11="",IF($EC$13="",INDEX(bhpc_data[description],SMALL(IF(ISNUMBER(MATCH(bhpc_data[category],$EC$9,0)),MATCH(ROW(bhpc_data[sku]),ROW(bhpc_data[sku])),""),ROWS($A$15:A405)+$B$3)),INDEX(bhpc_data[description],SMALL(IF(ISNUMBER(MATCH(bhpc_data[category],$EC$9,0)*MATCH(bhpc_data[size],$EC$13,0)),MATCH(ROW(bhpc_data[sku]),ROW(bhpc_data[sku])),""),ROWS($A$15:A405)+$B$3))),IF($EC$13="",INDEX(bhpc_data[description],SMALL(IF(ISNUMBER(MATCH(bhpc_data[category],$EC$9,0)*MATCH(bhpc_data[sex],$EC$11,0)),MATCH(ROW(bhpc_data[sku]),ROW(bhpc_data[sku])),""),ROWS($A$15:A405)+$B$3)),INDEX(bhpc_data[description],SMALL(IF(ISNUMBER(MATCH(bhpc_data[category],$EC$9,0)*MATCH(bhpc_data[sex],$EC$11,0)*MATCH(bhpc_data[size],$EC$13,0)),MATCH(ROW(bhpc_data[sku]),ROW(bhpc_data[sku])),""),ROWS($A$15:A405)+$B$3))))),"")</f>
        <v/>
      </c>
      <c r="EG400" s="453" t="str">
        <f>IFERROR(IF('BHPC MANAGER'!$EE400="","",INDEX(inventory[ESISTENZA],MATCH('BHPC MANAGER'!$EE400,inventory[SKU],0))),0)</f>
        <v/>
      </c>
      <c r="EH400" s="454"/>
      <c r="EI400" s="454" t="str">
        <f t="shared" si="25"/>
        <v/>
      </c>
      <c r="EJ400" s="455"/>
      <c r="EK400" s="456" t="str">
        <f t="shared" si="26"/>
        <v/>
      </c>
    </row>
  </sheetData>
  <sortState xmlns:xlrd2="http://schemas.microsoft.com/office/spreadsheetml/2017/richdata2" ref="BZ10:CT14">
    <sortCondition ref="CM10:CM14" customList="PRESTIGE,MASSTIGE,DEODORANT,GIFTSET,BODYMIST,ROLL-ON,TESTER,PACKING MATERIAL,CLOTHING,SUNGLASSES"/>
    <sortCondition ref="BZ10:BZ14"/>
  </sortState>
  <dataConsolidate/>
  <mergeCells count="34">
    <mergeCell ref="EJ8:EJ9"/>
    <mergeCell ref="EK8:EK9"/>
    <mergeCell ref="G12:I12"/>
    <mergeCell ref="BD22:BH23"/>
    <mergeCell ref="BD19:BH20"/>
    <mergeCell ref="BX18:BX19"/>
    <mergeCell ref="EF8:EF9"/>
    <mergeCell ref="EE8:EE9"/>
    <mergeCell ref="EG8:EG9"/>
    <mergeCell ref="EH8:EH9"/>
    <mergeCell ref="EI8:EI9"/>
    <mergeCell ref="AR25:AT26"/>
    <mergeCell ref="AT20:AT21"/>
    <mergeCell ref="AS20:AS21"/>
    <mergeCell ref="G10:I10"/>
    <mergeCell ref="G28:I28"/>
    <mergeCell ref="G24:I24"/>
    <mergeCell ref="G26:I26"/>
    <mergeCell ref="G14:I16"/>
    <mergeCell ref="G20:I20"/>
    <mergeCell ref="G18:I18"/>
    <mergeCell ref="BB32:BD32"/>
    <mergeCell ref="BB31:BD31"/>
    <mergeCell ref="AR38:AT38"/>
    <mergeCell ref="AX27:AY27"/>
    <mergeCell ref="AR33:AT34"/>
    <mergeCell ref="BB27:BH30"/>
    <mergeCell ref="AX29:AY29"/>
    <mergeCell ref="G32:I42"/>
    <mergeCell ref="G29:I29"/>
    <mergeCell ref="G30:I30"/>
    <mergeCell ref="G25:I25"/>
    <mergeCell ref="N6:O6"/>
    <mergeCell ref="N7:O7"/>
  </mergeCells>
  <phoneticPr fontId="56" type="noConversion"/>
  <conditionalFormatting sqref="L10:O60 Q10:W60">
    <cfRule type="expression" dxfId="40" priority="24">
      <formula>$B$2=ROW()</formula>
    </cfRule>
  </conditionalFormatting>
  <conditionalFormatting sqref="V10:W60">
    <cfRule type="cellIs" dxfId="39" priority="14" operator="equal">
      <formula>"DONE"</formula>
    </cfRule>
    <cfRule type="cellIs" dxfId="38" priority="27" operator="equal">
      <formula>"ALL READY"</formula>
    </cfRule>
    <cfRule type="cellIs" dxfId="37" priority="53" operator="equal">
      <formula>"SHIPPED"</formula>
    </cfRule>
    <cfRule type="cellIs" dxfId="36" priority="54" operator="equal">
      <formula>"ON WAITING"</formula>
    </cfRule>
    <cfRule type="cellIs" dxfId="35" priority="55" operator="equal">
      <formula>"PREPARING"</formula>
    </cfRule>
    <cfRule type="cellIs" dxfId="34" priority="59" operator="equal">
      <formula>"TO LOAD"</formula>
    </cfRule>
    <cfRule type="cellIs" dxfId="33" priority="67" operator="equal">
      <formula>"IN TRANSIT"</formula>
    </cfRule>
    <cfRule type="cellIs" dxfId="32" priority="72" operator="equal">
      <formula>"DELIVERED"</formula>
    </cfRule>
  </conditionalFormatting>
  <conditionalFormatting sqref="G28:G30 G32 D19:D21 G20:I20 G14 G18 G10 G24:G26 G22">
    <cfRule type="cellIs" dxfId="31" priority="73" operator="equal">
      <formula>0</formula>
    </cfRule>
  </conditionalFormatting>
  <conditionalFormatting sqref="N10:N60">
    <cfRule type="cellIs" dxfId="30" priority="20" operator="equal">
      <formula>"PRODUCTION"</formula>
    </cfRule>
    <cfRule type="cellIs" dxfId="29" priority="34" operator="equal">
      <formula>"SUPPLY"</formula>
    </cfRule>
    <cfRule type="cellIs" dxfId="28" priority="36" operator="equal">
      <formula>"SAMPLING"</formula>
    </cfRule>
    <cfRule type="cellIs" dxfId="27" priority="37" operator="equal">
      <formula>"SALE"</formula>
    </cfRule>
  </conditionalFormatting>
  <conditionalFormatting sqref="D24:D27">
    <cfRule type="cellIs" dxfId="26" priority="75" operator="equal">
      <formula>0</formula>
    </cfRule>
    <cfRule type="containsErrors" dxfId="25" priority="76">
      <formula>ISERROR(D24)</formula>
    </cfRule>
  </conditionalFormatting>
  <conditionalFormatting sqref="EK10:EK400">
    <cfRule type="cellIs" dxfId="24" priority="12" operator="equal">
      <formula>0</formula>
    </cfRule>
    <cfRule type="cellIs" dxfId="23" priority="15" operator="lessThan">
      <formula>0</formula>
    </cfRule>
    <cfRule type="cellIs" dxfId="22" priority="19" operator="notEqual">
      <formula>0</formula>
    </cfRule>
  </conditionalFormatting>
  <conditionalFormatting sqref="CU10:CU110">
    <cfRule type="expression" dxfId="21" priority="17">
      <formula>AND(CU10&gt;=0,CU10&lt;&gt;"")</formula>
    </cfRule>
    <cfRule type="cellIs" dxfId="20" priority="18" operator="lessThan">
      <formula>0</formula>
    </cfRule>
    <cfRule type="cellIs" dxfId="19" priority="77" operator="equal">
      <formula>"NO"</formula>
    </cfRule>
    <cfRule type="cellIs" dxfId="18" priority="78" operator="equal">
      <formula>"OK"</formula>
    </cfRule>
  </conditionalFormatting>
  <conditionalFormatting sqref="S10:T60">
    <cfRule type="cellIs" dxfId="17" priority="38" operator="equal">
      <formula>FALSE</formula>
    </cfRule>
  </conditionalFormatting>
  <conditionalFormatting sqref="P10:W60">
    <cfRule type="expression" dxfId="16" priority="25">
      <formula>AND($B$2=ROW(), $P10=0)</formula>
    </cfRule>
  </conditionalFormatting>
  <conditionalFormatting sqref="S10:S60">
    <cfRule type="cellIs" dxfId="15" priority="4" operator="equal">
      <formula>"GOODS SENT"</formula>
    </cfRule>
    <cfRule type="expression" dxfId="14" priority="22">
      <formula>AND($B$2=ROW(), S10&lt;&gt;0)</formula>
    </cfRule>
  </conditionalFormatting>
  <conditionalFormatting sqref="S10:S60">
    <cfRule type="expression" dxfId="13" priority="28">
      <formula>S10=0</formula>
    </cfRule>
  </conditionalFormatting>
  <conditionalFormatting sqref="T10:T110 S10:S60">
    <cfRule type="cellIs" dxfId="12" priority="49" operator="equal">
      <formula>TRUE</formula>
    </cfRule>
  </conditionalFormatting>
  <conditionalFormatting sqref="U10:U60">
    <cfRule type="cellIs" dxfId="11" priority="31" operator="equal">
      <formula>"BY ROAD"</formula>
    </cfRule>
    <cfRule type="cellIs" dxfId="10" priority="32" operator="equal">
      <formula>"BY SEA"</formula>
    </cfRule>
    <cfRule type="cellIs" dxfId="9" priority="33" operator="equal">
      <formula>"BY AIR"</formula>
    </cfRule>
  </conditionalFormatting>
  <conditionalFormatting sqref="P10:P60">
    <cfRule type="expression" dxfId="8" priority="23">
      <formula>AND($B$2=ROW(), $P10&lt;&gt;0)</formula>
    </cfRule>
    <cfRule type="expression" dxfId="7" priority="30">
      <formula>$P10=0</formula>
    </cfRule>
  </conditionalFormatting>
  <conditionalFormatting sqref="Q10:Q60">
    <cfRule type="expression" dxfId="6" priority="21">
      <formula>AND($B$2=ROW(), $Q10=0)</formula>
    </cfRule>
    <cfRule type="expression" dxfId="5" priority="29">
      <formula>$Q10=0</formula>
    </cfRule>
  </conditionalFormatting>
  <conditionalFormatting sqref="W10:W60">
    <cfRule type="cellIs" dxfId="4" priority="5" operator="equal">
      <formula>"WAITING"</formula>
    </cfRule>
    <cfRule type="cellIs" dxfId="3" priority="6" operator="equal">
      <formula>"OK"</formula>
    </cfRule>
  </conditionalFormatting>
  <conditionalFormatting sqref="EK251:EK400">
    <cfRule type="cellIs" dxfId="2" priority="1" operator="equal">
      <formula>0</formula>
    </cfRule>
    <cfRule type="cellIs" dxfId="1" priority="2" operator="lessThan">
      <formula>0</formula>
    </cfRule>
    <cfRule type="cellIs" dxfId="0" priority="3" operator="notEqual">
      <formula>0</formula>
    </cfRule>
  </conditionalFormatting>
  <dataValidations count="25">
    <dataValidation type="list" allowBlank="1" showInputMessage="1" showErrorMessage="1" sqref="CX35" xr:uid="{00000000-0002-0000-0B00-000000000000}">
      <formula1>"NO PALLET,CONSOLIDATO,PER CATEGORIA,PER SKU,PER SESSO"</formula1>
    </dataValidation>
    <dataValidation type="list" allowBlank="1" showInputMessage="1" showErrorMessage="1" sqref="CX36" xr:uid="{00000000-0002-0000-0B00-000001000000}">
      <formula1>"80x120,100x120"</formula1>
    </dataValidation>
    <dataValidation type="list" allowBlank="1" showInputMessage="1" showErrorMessage="1" sqref="DL6:DV6" xr:uid="{00000000-0002-0000-0B00-000002000000}">
      <formula1>"Z:\Stephane\Applicazioni Coppo\BHPC\CRM BHPC\docs\,C:\Users\steph\OneDrive\Coppo1896\applicazioni\CRM BHPC\docs\"</formula1>
    </dataValidation>
    <dataValidation type="list" allowBlank="1" showInputMessage="1" showErrorMessage="1" sqref="AT29" xr:uid="{00000000-0002-0000-0B00-000003000000}">
      <formula1>"BY ROAD,BY SEA,BY AIR"</formula1>
    </dataValidation>
    <dataValidation type="list" allowBlank="1" showInputMessage="1" showErrorMessage="1" sqref="AX29:AY29" xr:uid="{00000000-0002-0000-0B00-000004000000}">
      <formula1>$AR$51:$AR$59</formula1>
    </dataValidation>
    <dataValidation type="list" allowBlank="1" showInputMessage="1" showErrorMessage="1" sqref="AR13" xr:uid="{00000000-0002-0000-0B00-000005000000}">
      <formula1>"EUR,USD,GBP"</formula1>
    </dataValidation>
    <dataValidation type="list" allowBlank="1" showInputMessage="1" showErrorMessage="1" sqref="AR28" xr:uid="{00000000-0002-0000-0B00-000006000000}">
      <formula1>"80x120,100x120,NO PALLET"</formula1>
    </dataValidation>
    <dataValidation type="list" allowBlank="1" showInputMessage="1" showErrorMessage="1" sqref="AX32 AT14 AT39" xr:uid="{00000000-0002-0000-0B00-000007000000}">
      <formula1>"VERO,FALSO"</formula1>
    </dataValidation>
    <dataValidation type="list" allowBlank="1" showInputMessage="1" showErrorMessage="1" sqref="AZ7" xr:uid="{00000000-0002-0000-0B00-000008000000}">
      <formula1>$AW$49:$BH$49</formula1>
    </dataValidation>
    <dataValidation type="list" allowBlank="1" showInputMessage="1" showErrorMessage="1" sqref="AT13" xr:uid="{00000000-0002-0000-0B00-000009000000}">
      <formula1>"SALE,SAMPLE,SUPPLY"</formula1>
    </dataValidation>
    <dataValidation type="list" allowBlank="1" showInputMessage="1" showErrorMessage="1" sqref="AT18" xr:uid="{00000000-0002-0000-0B00-00000A000000}">
      <formula1>"IN ADVANCE,30 DAYS FROM INVOICE,60 DAYS FROM INVOICE,90 DAYS FROM INVOICE,120 DAYS FROM INVOICE,AGAINST SHIPPING DOCS"</formula1>
    </dataValidation>
    <dataValidation type="list" allowBlank="1" showInputMessage="1" showErrorMessage="1" sqref="EC13" xr:uid="{00000000-0002-0000-0B00-00000B000000}">
      <formula1>"50,100,150,175,200,300"</formula1>
    </dataValidation>
    <dataValidation type="list" allowBlank="1" showInputMessage="1" showErrorMessage="1" sqref="EC11" xr:uid="{00000000-0002-0000-0B00-00000C000000}">
      <formula1>"MAN,WOMAN"</formula1>
    </dataValidation>
    <dataValidation type="list" allowBlank="1" showInputMessage="1" showErrorMessage="1" sqref="AX27:AY27" xr:uid="{00000000-0002-0000-0B00-00000D000000}">
      <formula1>"ON WAITING, PREPARING,SHIPPED"</formula1>
    </dataValidation>
    <dataValidation type="list" allowBlank="1" showInputMessage="1" showErrorMessage="1" sqref="BH11" xr:uid="{00000000-0002-0000-0B00-00000E000000}">
      <formula1>"20',40',40' HC"</formula1>
    </dataValidation>
    <dataValidation type="list" allowBlank="1" showInputMessage="1" showErrorMessage="1" sqref="EC9" xr:uid="{00000000-0002-0000-0B00-00000F000000}">
      <formula1>"MASSTIGE,PRESTIGE,DEODORANT,GIFTSET,BODYMIST,HAIRMIST,ROLL-ON,TESTER,PACKING MATERIAL"</formula1>
    </dataValidation>
    <dataValidation type="date" allowBlank="1" showInputMessage="1" showErrorMessage="1" sqref="FF12 FF10 FF18 FF16 FL12 FL10 FL18 FL16" xr:uid="{00000000-0002-0000-0B00-000010000000}">
      <formula1>45291</formula1>
      <formula2>73415</formula2>
    </dataValidation>
    <dataValidation type="date" allowBlank="1" showInputMessage="1" showErrorMessage="1" sqref="EI7" xr:uid="{00000000-0002-0000-0B00-000011000000}">
      <formula1>43831</formula1>
      <formula2>73050</formula2>
    </dataValidation>
    <dataValidation type="list" allowBlank="1" showInputMessage="1" showErrorMessage="1" sqref="N7" xr:uid="{00000000-0002-0000-0B00-000012000000}">
      <formula1>"Ascending,Descending"</formula1>
    </dataValidation>
    <dataValidation type="list" allowBlank="1" showInputMessage="1" showErrorMessage="1" sqref="N6" xr:uid="{00000000-0002-0000-0B00-000013000000}">
      <formula1>$L$9:$V$9</formula1>
    </dataValidation>
    <dataValidation type="list" allowBlank="1" showInputMessage="1" showErrorMessage="1" sqref="D11" xr:uid="{00000000-0002-0000-0B00-000014000000}">
      <formula1>"ON WAITING,PREPARING,ALL READY,SHIPPED,TO LOAD,IN TRANSIT,DELIVERED"</formula1>
    </dataValidation>
    <dataValidation type="list" allowBlank="1" showInputMessage="1" showErrorMessage="1" sqref="P5" xr:uid="{00000000-0002-0000-0B00-000015000000}">
      <formula1>yearSelDist</formula1>
    </dataValidation>
    <dataValidation type="list" allowBlank="1" showInputMessage="1" showErrorMessage="1" sqref="D9" xr:uid="{00000000-0002-0000-0B00-000016000000}">
      <formula1>clientName</formula1>
    </dataValidation>
    <dataValidation type="list" allowBlank="1" showInputMessage="1" showErrorMessage="1" sqref="D13" xr:uid="{00000000-0002-0000-0B00-000017000000}">
      <formula1>"SALE,SUPPLY,SAMPLING,PRODUCTION"</formula1>
    </dataValidation>
    <dataValidation type="list" allowBlank="1" showInputMessage="1" showErrorMessage="1" sqref="D15" xr:uid="{00000000-0002-0000-0B00-000018000000}">
      <formula1>"2023,2024,2025"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72" r:id="rId4" name="Scroll Bar 168">
              <controlPr defaultSize="0" autoPict="0">
                <anchor moveWithCells="1">
                  <from>
                    <xdr:col>23</xdr:col>
                    <xdr:colOff>12700</xdr:colOff>
                    <xdr:row>9</xdr:row>
                    <xdr:rowOff>0</xdr:rowOff>
                  </from>
                  <to>
                    <xdr:col>24</xdr:col>
                    <xdr:colOff>0</xdr:colOff>
                    <xdr:row>42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3"/>
  <dimension ref="A1:O87"/>
  <sheetViews>
    <sheetView workbookViewId="0">
      <selection activeCell="C22" sqref="C22"/>
    </sheetView>
  </sheetViews>
  <sheetFormatPr defaultRowHeight="14.5" x14ac:dyDescent="0.35"/>
  <cols>
    <col min="1" max="1" width="18.453125" style="57" customWidth="1"/>
    <col min="2" max="2" width="53.26953125" style="1" bestFit="1" customWidth="1"/>
    <col min="3" max="3" width="79.81640625" style="1" bestFit="1" customWidth="1"/>
    <col min="4" max="4" width="14.54296875" style="1" customWidth="1"/>
    <col min="5" max="5" width="17.81640625" style="1" customWidth="1"/>
    <col min="6" max="6" width="18.81640625" style="1" customWidth="1"/>
    <col min="7" max="7" width="11.453125" style="1" customWidth="1"/>
    <col min="8" max="11" width="8.7265625" style="1"/>
    <col min="12" max="12" width="8.7265625" style="5"/>
    <col min="13" max="15" width="8.7265625" style="1"/>
  </cols>
  <sheetData>
    <row r="1" spans="1:13" ht="30" customHeight="1" x14ac:dyDescent="0.35">
      <c r="A1" s="202" t="s">
        <v>947</v>
      </c>
      <c r="B1" s="202" t="s">
        <v>952</v>
      </c>
      <c r="C1" s="202" t="s">
        <v>953</v>
      </c>
      <c r="D1" s="202" t="s">
        <v>439</v>
      </c>
      <c r="E1" s="202" t="s">
        <v>957</v>
      </c>
      <c r="F1" s="460" t="s">
        <v>1012</v>
      </c>
      <c r="G1" s="4" t="s">
        <v>1013</v>
      </c>
      <c r="H1" s="202"/>
      <c r="I1" s="202"/>
      <c r="J1" s="202"/>
      <c r="L1" s="241"/>
      <c r="M1" s="202" t="s">
        <v>958</v>
      </c>
    </row>
    <row r="2" spans="1:13" x14ac:dyDescent="0.35">
      <c r="A2" s="57" t="s">
        <v>160</v>
      </c>
      <c r="B2" s="1" t="s">
        <v>954</v>
      </c>
      <c r="C2" s="1" t="s">
        <v>258</v>
      </c>
      <c r="D2" s="1" t="s">
        <v>235</v>
      </c>
      <c r="E2" s="1" t="s">
        <v>765</v>
      </c>
      <c r="F2" s="461">
        <f t="array" ref="F2">IFERROR(INDEX(orderHistory[order_no],SMALL(IF(ISNUMBER(MATCH(orderHistory[status],$G$2,0)*MATCH(orderHistory[order_type],$G$3,0)*MATCH(orderHistory[lock_goods],$G$4,0)),MATCH(ROW(orderHistory[customer]),ROW(orderHistory[customer])),""),ROWS($A$1:A1))),"")</f>
        <v>140</v>
      </c>
      <c r="G2" s="3" t="s">
        <v>882</v>
      </c>
      <c r="L2" s="5" t="s">
        <v>947</v>
      </c>
    </row>
    <row r="3" spans="1:13" x14ac:dyDescent="0.35">
      <c r="A3" s="57" t="s">
        <v>162</v>
      </c>
      <c r="B3" s="1" t="s">
        <v>919</v>
      </c>
      <c r="C3" s="1" t="s">
        <v>859</v>
      </c>
      <c r="D3" s="1" t="s">
        <v>253</v>
      </c>
      <c r="E3" s="1" t="s">
        <v>945</v>
      </c>
      <c r="F3" s="461" t="str">
        <f t="array" ref="F3">IFERROR(INDEX(orderHistory[order_no],SMALL(IF(ISNUMBER(MATCH(orderHistory[status],$G$2,0)*MATCH(orderHistory[order_type],$G$3,0)*MATCH(orderHistory[lock_goods],$G$4,0)),MATCH(ROW(orderHistory[customer]),ROW(orderHistory[customer])),""),ROWS($A$1:A2))),"")</f>
        <v/>
      </c>
      <c r="G3" s="3" t="s">
        <v>660</v>
      </c>
      <c r="L3" s="5" t="s">
        <v>952</v>
      </c>
      <c r="M3" s="1">
        <f ca="1">COUNTA(payment_method)</f>
        <v>10</v>
      </c>
    </row>
    <row r="4" spans="1:13" x14ac:dyDescent="0.35">
      <c r="A4" s="57" t="s">
        <v>164</v>
      </c>
      <c r="B4" s="1" t="s">
        <v>866</v>
      </c>
      <c r="C4" s="1" t="s">
        <v>315</v>
      </c>
      <c r="D4" s="1" t="s">
        <v>607</v>
      </c>
      <c r="E4" s="1" t="s">
        <v>944</v>
      </c>
      <c r="F4" s="461" t="str">
        <f t="array" ref="F4">IFERROR(INDEX(orderHistory[order_no],SMALL(IF(ISNUMBER(MATCH(orderHistory[status],$G$2,0)*MATCH(orderHistory[order_type],$G$3,0)*MATCH(orderHistory[lock_goods],$G$4,0)),MATCH(ROW(orderHistory[customer]),ROW(orderHistory[customer])),""),ROWS($A$1:A3))),"")</f>
        <v/>
      </c>
      <c r="G4" s="3" t="b">
        <v>1</v>
      </c>
      <c r="L4" s="5" t="s">
        <v>953</v>
      </c>
    </row>
    <row r="5" spans="1:13" x14ac:dyDescent="0.35">
      <c r="A5" s="57" t="s">
        <v>166</v>
      </c>
      <c r="B5" s="1" t="s">
        <v>925</v>
      </c>
      <c r="E5" s="1" t="s">
        <v>946</v>
      </c>
      <c r="F5" s="461" t="str">
        <f t="array" ref="F5">IFERROR(INDEX(orderHistory[order_no],SMALL(IF(ISNUMBER(MATCH(orderHistory[status],$G$2,0)*MATCH(orderHistory[order_type],$G$3,0)*MATCH(orderHistory[lock_goods],$G$4,0)),MATCH(ROW(orderHistory[customer]),ROW(orderHistory[customer])),""),ROWS($A$1:A4))),"")</f>
        <v/>
      </c>
      <c r="G5" s="3"/>
      <c r="L5" s="5" t="s">
        <v>439</v>
      </c>
    </row>
    <row r="6" spans="1:13" x14ac:dyDescent="0.35">
      <c r="A6" s="57" t="s">
        <v>91</v>
      </c>
      <c r="B6" s="1" t="s">
        <v>923</v>
      </c>
      <c r="F6" s="461" t="str">
        <f t="array" ref="F6">IFERROR(INDEX(orderHistory[order_no],SMALL(IF(ISNUMBER(MATCH(orderHistory[status],$G$2,0)*MATCH(orderHistory[order_type],$G$3,0)*MATCH(orderHistory[lock_goods],$G$4,0)),MATCH(ROW(orderHistory[customer]),ROW(orderHistory[customer])),""),ROWS($A$1:A5))),"")</f>
        <v/>
      </c>
      <c r="G6" s="3"/>
      <c r="L6" s="5" t="s">
        <v>957</v>
      </c>
    </row>
    <row r="7" spans="1:13" x14ac:dyDescent="0.35">
      <c r="A7" s="57" t="s">
        <v>93</v>
      </c>
      <c r="B7" s="1" t="s">
        <v>955</v>
      </c>
      <c r="F7" s="461" t="str">
        <f t="array" ref="F7">IFERROR(INDEX(orderHistory[order_no],SMALL(IF(ISNUMBER(MATCH(orderHistory[status],$G$2,0)*MATCH(orderHistory[order_type],$G$3,0)*MATCH(orderHistory[lock_goods],$G$4,0)),MATCH(ROW(orderHistory[customer]),ROW(orderHistory[customer])),""),ROWS($A$1:A6))),"")</f>
        <v/>
      </c>
      <c r="G7" s="3"/>
    </row>
    <row r="8" spans="1:13" x14ac:dyDescent="0.35">
      <c r="A8" s="57" t="s">
        <v>95</v>
      </c>
      <c r="B8" s="1" t="s">
        <v>956</v>
      </c>
      <c r="F8" s="461" t="str">
        <f t="array" ref="F8">IFERROR(INDEX(orderHistory[order_no],SMALL(IF(ISNUMBER(MATCH(orderHistory[status],$G$2,0)*MATCH(orderHistory[order_type],$G$3,0)*MATCH(orderHistory[lock_goods],$G$4,0)),MATCH(ROW(orderHistory[customer]),ROW(orderHistory[customer])),""),ROWS($A$1:A7))),"")</f>
        <v/>
      </c>
      <c r="G8" s="3"/>
    </row>
    <row r="9" spans="1:13" x14ac:dyDescent="0.35">
      <c r="A9" s="57" t="s">
        <v>97</v>
      </c>
      <c r="B9" s="1" t="s">
        <v>985</v>
      </c>
      <c r="F9" s="461" t="str">
        <f t="array" ref="F9">IFERROR(INDEX(orderHistory[order_no],SMALL(IF(ISNUMBER(MATCH(orderHistory[status],$G$2,0)*MATCH(orderHistory[order_type],$G$3,0)*MATCH(orderHistory[lock_goods],$G$4,0)),MATCH(ROW(orderHistory[customer]),ROW(orderHistory[customer])),""),ROWS($A$1:A8))),"")</f>
        <v/>
      </c>
      <c r="G9" s="3"/>
    </row>
    <row r="10" spans="1:13" x14ac:dyDescent="0.35">
      <c r="A10" s="57" t="s">
        <v>54</v>
      </c>
      <c r="B10" s="1" t="s">
        <v>922</v>
      </c>
      <c r="F10" s="461" t="str">
        <f t="array" ref="F10">IFERROR(INDEX(orderHistory[order_no],SMALL(IF(ISNUMBER(MATCH(orderHistory[status],$G$2,0)*MATCH(orderHistory[order_type],$G$3,0)*MATCH(orderHistory[lock_goods],$G$4,0)),MATCH(ROW(orderHistory[customer]),ROW(orderHistory[customer])),""),ROWS($A$1:A9))),"")</f>
        <v/>
      </c>
      <c r="G10" s="3"/>
    </row>
    <row r="11" spans="1:13" x14ac:dyDescent="0.35">
      <c r="A11" s="57" t="s">
        <v>58</v>
      </c>
      <c r="B11" s="1" t="s">
        <v>1353</v>
      </c>
      <c r="F11" s="461" t="str">
        <f t="array" ref="F11">IFERROR(INDEX(orderHistory[order_no],SMALL(IF(ISNUMBER(MATCH(orderHistory[status],$G$2,0)*MATCH(orderHistory[order_type],$G$3,0)*MATCH(orderHistory[lock_goods],$G$4,0)),MATCH(ROW(orderHistory[customer]),ROW(orderHistory[customer])),""),ROWS($A$1:A10))),"")</f>
        <v/>
      </c>
      <c r="G11" s="3"/>
    </row>
    <row r="12" spans="1:13" x14ac:dyDescent="0.35">
      <c r="A12" s="57" t="s">
        <v>60</v>
      </c>
      <c r="F12" s="461" t="str">
        <f t="array" ref="F12">IFERROR(INDEX(orderHistory[order_no],SMALL(IF(ISNUMBER(MATCH(orderHistory[status],$G$2,0)*MATCH(orderHistory[order_type],$G$3,0)*MATCH(orderHistory[lock_goods],$G$4,0)),MATCH(ROW(orderHistory[customer]),ROW(orderHistory[customer])),""),ROWS($A$1:A11))),"")</f>
        <v/>
      </c>
      <c r="G12" s="3"/>
    </row>
    <row r="13" spans="1:13" x14ac:dyDescent="0.35">
      <c r="A13" s="57" t="s">
        <v>62</v>
      </c>
      <c r="F13" s="461" t="str">
        <f t="array" ref="F13">IFERROR(INDEX(orderHistory[order_no],SMALL(IF(ISNUMBER(MATCH(orderHistory[status],$G$2,0)*MATCH(orderHistory[order_type],$G$3,0)*MATCH(orderHistory[lock_goods],$G$4,0)),MATCH(ROW(orderHistory[customer]),ROW(orderHistory[customer])),""),ROWS($A$1:A12))),"")</f>
        <v/>
      </c>
      <c r="G13" s="3"/>
    </row>
    <row r="14" spans="1:13" x14ac:dyDescent="0.35">
      <c r="A14" s="57" t="s">
        <v>149</v>
      </c>
      <c r="F14" s="461" t="str">
        <f t="array" ref="F14">IFERROR(INDEX(orderHistory[order_no],SMALL(IF(ISNUMBER(MATCH(orderHistory[status],$G$2,0)*MATCH(orderHistory[order_type],$G$3,0)*MATCH(orderHistory[lock_goods],$G$4,0)),MATCH(ROW(orderHistory[customer]),ROW(orderHistory[customer])),""),ROWS($A$1:A13))),"")</f>
        <v/>
      </c>
      <c r="G14" s="3"/>
    </row>
    <row r="15" spans="1:13" x14ac:dyDescent="0.35">
      <c r="A15" s="57" t="s">
        <v>154</v>
      </c>
      <c r="F15" s="461" t="str">
        <f t="array" ref="F15">IFERROR(INDEX(orderHistory[order_no],SMALL(IF(ISNUMBER(MATCH(orderHistory[status],$G$2,0)*MATCH(orderHistory[order_type],$G$3,0)*MATCH(orderHistory[lock_goods],$G$4,0)),MATCH(ROW(orderHistory[customer]),ROW(orderHistory[customer])),""),ROWS($A$1:A14))),"")</f>
        <v/>
      </c>
      <c r="G15" s="3"/>
    </row>
    <row r="16" spans="1:13" x14ac:dyDescent="0.35">
      <c r="A16" s="57" t="s">
        <v>156</v>
      </c>
      <c r="F16" s="461" t="str">
        <f t="array" ref="F16">IFERROR(INDEX(orderHistory[order_no],SMALL(IF(ISNUMBER(MATCH(orderHistory[status],$G$2,0)*MATCH(orderHistory[order_type],$G$3,0)*MATCH(orderHistory[lock_goods],$G$4,0)),MATCH(ROW(orderHistory[customer]),ROW(orderHistory[customer])),""),ROWS($A$1:A15))),"")</f>
        <v/>
      </c>
      <c r="G16" s="3"/>
    </row>
    <row r="17" spans="1:7" x14ac:dyDescent="0.35">
      <c r="A17" s="57" t="s">
        <v>158</v>
      </c>
      <c r="F17" s="461" t="str">
        <f t="array" ref="F17">IFERROR(INDEX(orderHistory[order_no],SMALL(IF(ISNUMBER(MATCH(orderHistory[status],$G$2,0)*MATCH(orderHistory[order_type],$G$3,0)*MATCH(orderHistory[lock_goods],$G$4,0)),MATCH(ROW(orderHistory[customer]),ROW(orderHistory[customer])),""),ROWS($A$1:A16))),"")</f>
        <v/>
      </c>
      <c r="G17" s="3"/>
    </row>
    <row r="18" spans="1:7" x14ac:dyDescent="0.35">
      <c r="A18" s="57" t="s">
        <v>64</v>
      </c>
      <c r="F18" s="461" t="str">
        <f t="array" ref="F18">IFERROR(INDEX(orderHistory[order_no],SMALL(IF(ISNUMBER(MATCH(orderHistory[status],$G$2,0)*MATCH(orderHistory[order_type],$G$3,0)*MATCH(orderHistory[lock_goods],$G$4,0)),MATCH(ROW(orderHistory[customer]),ROW(orderHistory[customer])),""),ROWS($A$1:A17))),"")</f>
        <v/>
      </c>
      <c r="G18" s="3"/>
    </row>
    <row r="19" spans="1:7" x14ac:dyDescent="0.35">
      <c r="A19" s="57" t="s">
        <v>66</v>
      </c>
      <c r="F19" s="461" t="str">
        <f t="array" ref="F19">IFERROR(INDEX(orderHistory[order_no],SMALL(IF(ISNUMBER(MATCH(orderHistory[status],$G$2,0)*MATCH(orderHistory[order_type],$G$3,0)*MATCH(orderHistory[lock_goods],$G$4,0)),MATCH(ROW(orderHistory[customer]),ROW(orderHistory[customer])),""),ROWS($A$15:A32))),"")</f>
        <v/>
      </c>
      <c r="G19" s="3"/>
    </row>
    <row r="20" spans="1:7" x14ac:dyDescent="0.35">
      <c r="A20" s="57" t="s">
        <v>68</v>
      </c>
      <c r="F20" s="462" t="str">
        <f t="array" ref="F20">IFERROR(INDEX(orderHistory[order_no],SMALL(IF(ISNUMBER(MATCH(orderHistory[status],$G$2,0)*MATCH(orderHistory[order_type],$G$3,0)*MATCH(orderHistory[lock_goods],$G$4,0)),MATCH(ROW(orderHistory[customer]),ROW(orderHistory[customer])),""),ROWS($A$15:A33))),"")</f>
        <v/>
      </c>
      <c r="G20" s="3"/>
    </row>
    <row r="21" spans="1:7" x14ac:dyDescent="0.35">
      <c r="A21" s="57" t="s">
        <v>70</v>
      </c>
      <c r="G21" s="3"/>
    </row>
    <row r="22" spans="1:7" x14ac:dyDescent="0.35">
      <c r="A22" s="57" t="s">
        <v>99</v>
      </c>
      <c r="G22" s="3"/>
    </row>
    <row r="23" spans="1:7" x14ac:dyDescent="0.35">
      <c r="A23" s="57" t="s">
        <v>101</v>
      </c>
      <c r="G23" s="3"/>
    </row>
    <row r="24" spans="1:7" x14ac:dyDescent="0.35">
      <c r="A24" s="57" t="s">
        <v>103</v>
      </c>
      <c r="G24" s="3"/>
    </row>
    <row r="25" spans="1:7" x14ac:dyDescent="0.35">
      <c r="A25" s="57" t="s">
        <v>105</v>
      </c>
      <c r="G25" s="3"/>
    </row>
    <row r="26" spans="1:7" x14ac:dyDescent="0.35">
      <c r="A26" s="57" t="s">
        <v>107</v>
      </c>
      <c r="G26" s="3"/>
    </row>
    <row r="27" spans="1:7" x14ac:dyDescent="0.35">
      <c r="A27" s="57" t="s">
        <v>110</v>
      </c>
      <c r="G27" s="3"/>
    </row>
    <row r="28" spans="1:7" x14ac:dyDescent="0.35">
      <c r="A28" s="57" t="s">
        <v>112</v>
      </c>
      <c r="G28" s="3"/>
    </row>
    <row r="29" spans="1:7" x14ac:dyDescent="0.35">
      <c r="A29" s="57" t="s">
        <v>114</v>
      </c>
      <c r="G29" s="3"/>
    </row>
    <row r="30" spans="1:7" x14ac:dyDescent="0.35">
      <c r="A30" s="57" t="s">
        <v>116</v>
      </c>
      <c r="G30" s="3"/>
    </row>
    <row r="31" spans="1:7" x14ac:dyDescent="0.35">
      <c r="A31" s="57" t="s">
        <v>118</v>
      </c>
    </row>
    <row r="32" spans="1:7" x14ac:dyDescent="0.35">
      <c r="A32" s="57" t="s">
        <v>120</v>
      </c>
    </row>
    <row r="33" spans="1:1" x14ac:dyDescent="0.35">
      <c r="A33" s="57" t="s">
        <v>122</v>
      </c>
    </row>
    <row r="34" spans="1:1" x14ac:dyDescent="0.35">
      <c r="A34" s="57" t="s">
        <v>141</v>
      </c>
    </row>
    <row r="35" spans="1:1" x14ac:dyDescent="0.35">
      <c r="A35" s="57" t="s">
        <v>143</v>
      </c>
    </row>
    <row r="36" spans="1:1" x14ac:dyDescent="0.35">
      <c r="A36" s="57" t="s">
        <v>179</v>
      </c>
    </row>
    <row r="37" spans="1:1" x14ac:dyDescent="0.35">
      <c r="A37" s="57" t="s">
        <v>182</v>
      </c>
    </row>
    <row r="38" spans="1:1" x14ac:dyDescent="0.35">
      <c r="A38" s="57" t="s">
        <v>184</v>
      </c>
    </row>
    <row r="39" spans="1:1" x14ac:dyDescent="0.35">
      <c r="A39" s="57" t="s">
        <v>186</v>
      </c>
    </row>
    <row r="40" spans="1:1" x14ac:dyDescent="0.35">
      <c r="A40" s="57" t="s">
        <v>72</v>
      </c>
    </row>
    <row r="41" spans="1:1" x14ac:dyDescent="0.35">
      <c r="A41" s="57" t="s">
        <v>74</v>
      </c>
    </row>
    <row r="42" spans="1:1" x14ac:dyDescent="0.35">
      <c r="A42" s="57" t="s">
        <v>76</v>
      </c>
    </row>
    <row r="43" spans="1:1" x14ac:dyDescent="0.35">
      <c r="A43" s="57" t="s">
        <v>78</v>
      </c>
    </row>
    <row r="44" spans="1:1" x14ac:dyDescent="0.35">
      <c r="A44" s="57" t="s">
        <v>17</v>
      </c>
    </row>
    <row r="45" spans="1:1" x14ac:dyDescent="0.35">
      <c r="A45" s="57" t="s">
        <v>23</v>
      </c>
    </row>
    <row r="46" spans="1:1" x14ac:dyDescent="0.35">
      <c r="A46" s="57" t="s">
        <v>25</v>
      </c>
    </row>
    <row r="47" spans="1:1" x14ac:dyDescent="0.35">
      <c r="A47" s="57" t="s">
        <v>27</v>
      </c>
    </row>
    <row r="48" spans="1:1" x14ac:dyDescent="0.35">
      <c r="A48" s="57" t="s">
        <v>29</v>
      </c>
    </row>
    <row r="49" spans="1:1" x14ac:dyDescent="0.35">
      <c r="A49" s="57" t="s">
        <v>32</v>
      </c>
    </row>
    <row r="50" spans="1:1" x14ac:dyDescent="0.35">
      <c r="A50" s="57" t="s">
        <v>34</v>
      </c>
    </row>
    <row r="51" spans="1:1" x14ac:dyDescent="0.35">
      <c r="A51" s="57" t="s">
        <v>36</v>
      </c>
    </row>
    <row r="52" spans="1:1" x14ac:dyDescent="0.35">
      <c r="A52" s="57" t="s">
        <v>80</v>
      </c>
    </row>
    <row r="53" spans="1:1" x14ac:dyDescent="0.35">
      <c r="A53" s="57" t="s">
        <v>82</v>
      </c>
    </row>
    <row r="54" spans="1:1" x14ac:dyDescent="0.35">
      <c r="A54" s="57" t="s">
        <v>84</v>
      </c>
    </row>
    <row r="55" spans="1:1" x14ac:dyDescent="0.35">
      <c r="A55" s="57" t="s">
        <v>86</v>
      </c>
    </row>
    <row r="56" spans="1:1" x14ac:dyDescent="0.35">
      <c r="A56" s="57" t="s">
        <v>38</v>
      </c>
    </row>
    <row r="57" spans="1:1" x14ac:dyDescent="0.35">
      <c r="A57" s="57" t="s">
        <v>40</v>
      </c>
    </row>
    <row r="58" spans="1:1" x14ac:dyDescent="0.35">
      <c r="A58" s="57" t="s">
        <v>42</v>
      </c>
    </row>
    <row r="59" spans="1:1" x14ac:dyDescent="0.35">
      <c r="A59" s="57" t="s">
        <v>44</v>
      </c>
    </row>
    <row r="60" spans="1:1" x14ac:dyDescent="0.35">
      <c r="A60" s="57" t="s">
        <v>46</v>
      </c>
    </row>
    <row r="61" spans="1:1" x14ac:dyDescent="0.35">
      <c r="A61" s="57" t="s">
        <v>48</v>
      </c>
    </row>
    <row r="62" spans="1:1" x14ac:dyDescent="0.35">
      <c r="A62" s="57" t="s">
        <v>50</v>
      </c>
    </row>
    <row r="63" spans="1:1" x14ac:dyDescent="0.35">
      <c r="A63" s="57" t="s">
        <v>52</v>
      </c>
    </row>
    <row r="64" spans="1:1" x14ac:dyDescent="0.35">
      <c r="A64" s="57" t="s">
        <v>188</v>
      </c>
    </row>
    <row r="65" spans="1:1" x14ac:dyDescent="0.35">
      <c r="A65" s="57" t="s">
        <v>190</v>
      </c>
    </row>
    <row r="66" spans="1:1" x14ac:dyDescent="0.35">
      <c r="A66" s="57" t="s">
        <v>192</v>
      </c>
    </row>
    <row r="67" spans="1:1" x14ac:dyDescent="0.35">
      <c r="A67" s="57" t="s">
        <v>194</v>
      </c>
    </row>
    <row r="68" spans="1:1" x14ac:dyDescent="0.35">
      <c r="A68" s="57" t="s">
        <v>196</v>
      </c>
    </row>
    <row r="69" spans="1:1" x14ac:dyDescent="0.35">
      <c r="A69" s="57" t="s">
        <v>198</v>
      </c>
    </row>
    <row r="70" spans="1:1" x14ac:dyDescent="0.35">
      <c r="A70" s="57" t="s">
        <v>88</v>
      </c>
    </row>
    <row r="71" spans="1:1" x14ac:dyDescent="0.35">
      <c r="A71" s="57" t="s">
        <v>200</v>
      </c>
    </row>
    <row r="72" spans="1:1" x14ac:dyDescent="0.35">
      <c r="A72" s="57" t="s">
        <v>202</v>
      </c>
    </row>
    <row r="73" spans="1:1" x14ac:dyDescent="0.35">
      <c r="A73" s="57" t="s">
        <v>204</v>
      </c>
    </row>
    <row r="74" spans="1:1" x14ac:dyDescent="0.35">
      <c r="A74" s="57" t="s">
        <v>168</v>
      </c>
    </row>
    <row r="75" spans="1:1" x14ac:dyDescent="0.35">
      <c r="A75" s="57" t="s">
        <v>177</v>
      </c>
    </row>
    <row r="76" spans="1:1" x14ac:dyDescent="0.35">
      <c r="A76" s="57" t="s">
        <v>175</v>
      </c>
    </row>
    <row r="77" spans="1:1" x14ac:dyDescent="0.35">
      <c r="A77" s="57" t="s">
        <v>173</v>
      </c>
    </row>
    <row r="78" spans="1:1" x14ac:dyDescent="0.35">
      <c r="A78" s="57" t="s">
        <v>124</v>
      </c>
    </row>
    <row r="79" spans="1:1" x14ac:dyDescent="0.35">
      <c r="A79" s="57" t="s">
        <v>127</v>
      </c>
    </row>
    <row r="80" spans="1:1" x14ac:dyDescent="0.35">
      <c r="A80" s="57" t="s">
        <v>129</v>
      </c>
    </row>
    <row r="81" spans="1:1" x14ac:dyDescent="0.35">
      <c r="A81" s="57" t="s">
        <v>131</v>
      </c>
    </row>
    <row r="82" spans="1:1" x14ac:dyDescent="0.35">
      <c r="A82" s="57" t="s">
        <v>133</v>
      </c>
    </row>
    <row r="83" spans="1:1" x14ac:dyDescent="0.35">
      <c r="A83" s="57" t="s">
        <v>135</v>
      </c>
    </row>
    <row r="84" spans="1:1" x14ac:dyDescent="0.35">
      <c r="A84" s="57" t="s">
        <v>137</v>
      </c>
    </row>
    <row r="85" spans="1:1" x14ac:dyDescent="0.35">
      <c r="A85" s="57" t="s">
        <v>139</v>
      </c>
    </row>
    <row r="86" spans="1:1" x14ac:dyDescent="0.35">
      <c r="A86" s="57" t="s">
        <v>145</v>
      </c>
    </row>
    <row r="87" spans="1:1" x14ac:dyDescent="0.35">
      <c r="A87" s="57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13</vt:i4>
      </vt:variant>
      <vt:variant>
        <vt:lpstr>Intervalli denominati</vt:lpstr>
      </vt:variant>
      <vt:variant>
        <vt:i4>35</vt:i4>
      </vt:variant>
    </vt:vector>
  </HeadingPairs>
  <TitlesOfParts>
    <vt:vector size="48" baseType="lpstr">
      <vt:lpstr>bhpc_data</vt:lpstr>
      <vt:lpstr>clientData</vt:lpstr>
      <vt:lpstr>dgn_classFinal</vt:lpstr>
      <vt:lpstr>inventoryBHPC</vt:lpstr>
      <vt:lpstr>multimodal_data</vt:lpstr>
      <vt:lpstr>giftSet_productionData</vt:lpstr>
      <vt:lpstr>orderHistory</vt:lpstr>
      <vt:lpstr>salesHistory</vt:lpstr>
      <vt:lpstr>proformaModelFinal</vt:lpstr>
      <vt:lpstr>plModelFinal</vt:lpstr>
      <vt:lpstr>dgnFinalModel</vt:lpstr>
      <vt:lpstr>BHPC MANAGER</vt:lpstr>
      <vt:lpstr>utility</vt:lpstr>
      <vt:lpstr>dgnFinalModel!Area_stampa</vt:lpstr>
      <vt:lpstr>inventoryBHPC!Area_stampa</vt:lpstr>
      <vt:lpstr>plModelFinal!Area_stampa</vt:lpstr>
      <vt:lpstr>proformaModelFinal!Area_stampa</vt:lpstr>
      <vt:lpstr>proformaModelFinal!bhpcSKU</vt:lpstr>
      <vt:lpstr>BODYMIST</vt:lpstr>
      <vt:lpstr>BODYMIST_200</vt:lpstr>
      <vt:lpstr>BODYMIST_200_PESI</vt:lpstr>
      <vt:lpstr>BODYMIST_250</vt:lpstr>
      <vt:lpstr>BODYMIST_250_PESI</vt:lpstr>
      <vt:lpstr>currencyFields</vt:lpstr>
      <vt:lpstr>DEODORANT</vt:lpstr>
      <vt:lpstr>DEODORANT_150</vt:lpstr>
      <vt:lpstr>DEODORANT_150_PESI</vt:lpstr>
      <vt:lpstr>DEODORANT_175</vt:lpstr>
      <vt:lpstr>DEODORANT_175_PESI</vt:lpstr>
      <vt:lpstr>DEODORANT_250</vt:lpstr>
      <vt:lpstr>DEODORANT_250_PESI</vt:lpstr>
      <vt:lpstr>DEODORANT_300</vt:lpstr>
      <vt:lpstr>DEODORANT_300_PESI</vt:lpstr>
      <vt:lpstr>DEODORANTPRESTIGE</vt:lpstr>
      <vt:lpstr>DEODORANTPRESTIGE_250</vt:lpstr>
      <vt:lpstr>DEODORANTPRESTIGE_250_PESI</vt:lpstr>
      <vt:lpstr>DEODORANTPRESTIGE_300</vt:lpstr>
      <vt:lpstr>DEODORANTPRESTIGE_300_PESI</vt:lpstr>
      <vt:lpstr>plModelFinal!giftSetSku</vt:lpstr>
      <vt:lpstr>proformaModelFinal!giftSetSku</vt:lpstr>
      <vt:lpstr>giftSetSku</vt:lpstr>
      <vt:lpstr>PERFUME</vt:lpstr>
      <vt:lpstr>PERFUME_100</vt:lpstr>
      <vt:lpstr>PERFUME_100_PESI</vt:lpstr>
      <vt:lpstr>PERFUME_50</vt:lpstr>
      <vt:lpstr>PERFUME_50_PESI</vt:lpstr>
      <vt:lpstr>proformaModelFinal!ss</vt:lpstr>
      <vt:lpstr>proformaModelFinal!Titoli_stampa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Stephane Ducci</cp:lastModifiedBy>
  <cp:revision/>
  <cp:lastPrinted>2024-10-09T21:44:39Z</cp:lastPrinted>
  <dcterms:created xsi:type="dcterms:W3CDTF">2016-09-21T06:55:08Z</dcterms:created>
  <dcterms:modified xsi:type="dcterms:W3CDTF">2024-11-01T15:27:23Z</dcterms:modified>
</cp:coreProperties>
</file>